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390" yWindow="240" windowWidth="13140" windowHeight="12285"/>
  </bookViews>
  <sheets>
    <sheet name="NEW-Tables 80-86" sheetId="14" r:id="rId1"/>
    <sheet name="OLD Tables" sheetId="21" r:id="rId2"/>
    <sheet name="FTE Pivot for regular counts" sheetId="9" r:id="rId3"/>
    <sheet name="Pivot-HS Student % of Undergrad" sheetId="16" r:id="rId4"/>
    <sheet name="SCH Data" sheetId="6" r:id="rId5"/>
    <sheet name="Format for FTE" sheetId="19" r:id="rId6"/>
    <sheet name="Format for HS%" sheetId="20" r:id="rId7"/>
  </sheets>
  <definedNames>
    <definedName name="APPHEAD" localSheetId="1">#REF!</definedName>
    <definedName name="CH11ug1" localSheetId="4">'SCH Data'!#REF!</definedName>
    <definedName name="CH11ug2_1" localSheetId="4">'SCH Data'!#REF!</definedName>
    <definedName name="CH11ug3_1" localSheetId="4">'SCH Data'!#REF!</definedName>
    <definedName name="CH11ug4_1" localSheetId="4">'SCH Data'!#REF!</definedName>
    <definedName name="CH13ug1_1" localSheetId="4">'SCH Data'!$Y$545:$Y$612</definedName>
    <definedName name="CH13ug2_1" localSheetId="4">'SCH Data'!$AA$545:$AA$612</definedName>
    <definedName name="CH13ug3" localSheetId="4">'SCH Data'!$AC$545:$AC$612</definedName>
    <definedName name="CH13ug4" localSheetId="4">'SCH Data'!$AE$545:$AE$612</definedName>
    <definedName name="CHHEAD" localSheetId="1">#REF!</definedName>
    <definedName name="Dual07" localSheetId="4">'SCH Data'!#REF!</definedName>
    <definedName name="Dual07_1" localSheetId="4">'SCH Data'!$T$315:$T$330</definedName>
    <definedName name="Dual07_2" localSheetId="4">'SCH Data'!#REF!</definedName>
    <definedName name="Dual07_3" localSheetId="4">'SCH Data'!$T$315:$T$330</definedName>
    <definedName name="Dual08" localSheetId="4">'SCH Data'!#REF!</definedName>
    <definedName name="Dual08_1" localSheetId="4">'SCH Data'!#REF!</definedName>
    <definedName name="Dual08_2" localSheetId="4">'SCH Data'!#REF!</definedName>
    <definedName name="Dual11_1" localSheetId="4">'SCH Data'!#REF!</definedName>
    <definedName name="Dual13" localSheetId="4">'SCH Data'!$U$508:$U$613</definedName>
    <definedName name="JrCH08ug1" localSheetId="4">'SCH Data'!#REF!</definedName>
    <definedName name="JrCH08ug1_1" localSheetId="4">'SCH Data'!#REF!</definedName>
    <definedName name="JrCH08ug1_2" localSheetId="4">'SCH Data'!#REF!</definedName>
    <definedName name="JrCH08ug2" localSheetId="4">'SCH Data'!#REF!</definedName>
    <definedName name="JrCH08ug2_1" localSheetId="4">'SCH Data'!#REF!</definedName>
    <definedName name="JrCH08ug2_2" localSheetId="4">'SCH Data'!#REF!</definedName>
    <definedName name="JrCH08ug3" localSheetId="4">'SCH Data'!#REF!</definedName>
    <definedName name="JrCH08ug3_1" localSheetId="4">'SCH Data'!#REF!</definedName>
    <definedName name="JrCH08ug3_2" localSheetId="4">'SCH Data'!#REF!</definedName>
    <definedName name="JrCH08ug4" localSheetId="4">'SCH Data'!#REF!</definedName>
    <definedName name="JrCH08ug4_1" localSheetId="4">'SCH Data'!#REF!</definedName>
    <definedName name="JrCH08ug4_2" localSheetId="4">'SCH Data'!#REF!</definedName>
    <definedName name="JrSCH08ug1" localSheetId="4">'SCH Data'!#REF!</definedName>
    <definedName name="JrSCH08ug1_1" localSheetId="4">'SCH Data'!#REF!</definedName>
    <definedName name="JrSCH08ug2" localSheetId="4">'SCH Data'!#REF!</definedName>
    <definedName name="JrSCH08ug2_1" localSheetId="4">'SCH Data'!#REF!</definedName>
    <definedName name="JrSCH08ug2_2" localSheetId="4">'SCH Data'!#REF!</definedName>
    <definedName name="JrSCH08ug3" localSheetId="4">'SCH Data'!#REF!</definedName>
    <definedName name="JrSCH08ug3_1" localSheetId="4">'SCH Data'!#REF!</definedName>
    <definedName name="JrSCH08ug3_2" localSheetId="4">'SCH Data'!#REF!</definedName>
    <definedName name="JrSCH08ug4" localSheetId="4">'SCH Data'!#REF!</definedName>
    <definedName name="JrSCH08ug4_1" localSheetId="4">'SCH Data'!#REF!</definedName>
    <definedName name="JrSCH08ug4_2" localSheetId="4">'SCH Data'!#REF!</definedName>
    <definedName name="PAGE_17" localSheetId="1">#REF!</definedName>
    <definedName name="PAGE1" localSheetId="1">#REF!</definedName>
    <definedName name="PAGE10" localSheetId="1">#REF!</definedName>
    <definedName name="PAGE11" localSheetId="1">#REF!</definedName>
    <definedName name="PAGE12" localSheetId="1">#REF!</definedName>
    <definedName name="PAGE13" localSheetId="1">#REF!</definedName>
    <definedName name="PAGE14" localSheetId="1">#REF!</definedName>
    <definedName name="PAGE15" localSheetId="1">#REF!</definedName>
    <definedName name="PAGE16" localSheetId="1">#REF!</definedName>
    <definedName name="PAGE17" localSheetId="1">#REF!</definedName>
    <definedName name="PAGE18" localSheetId="1">#REF!</definedName>
    <definedName name="PAGE19" localSheetId="1">#REF!</definedName>
    <definedName name="PAGE2" localSheetId="1">#REF!</definedName>
    <definedName name="PAGE20" localSheetId="1">#REF!</definedName>
    <definedName name="PAGE3" localSheetId="1">#REF!</definedName>
    <definedName name="PAGE4" localSheetId="1">#REF!</definedName>
    <definedName name="PAGE5" localSheetId="1">#REF!</definedName>
    <definedName name="PAGE6" localSheetId="1">#REF!</definedName>
    <definedName name="PAGE7" localSheetId="1">#REF!</definedName>
    <definedName name="PAGE8" localSheetId="1">#REF!</definedName>
    <definedName name="PAGE9" localSheetId="1">#REF!</definedName>
    <definedName name="PART1" localSheetId="1">#REF!</definedName>
    <definedName name="PART2" localSheetId="1">#REF!</definedName>
    <definedName name="PART3" localSheetId="1">#REF!</definedName>
    <definedName name="PART4A" localSheetId="1">#REF!</definedName>
    <definedName name="PART4B" localSheetId="1">#REF!</definedName>
    <definedName name="PART5" localSheetId="1">#REF!</definedName>
    <definedName name="PART6A" localSheetId="1">#REF!</definedName>
    <definedName name="PART6B" localSheetId="1">#REF!</definedName>
    <definedName name="PART6C" localSheetId="1">#REF!</definedName>
    <definedName name="PART7B" localSheetId="1">#REF!</definedName>
    <definedName name="PART7C" localSheetId="1">#REF!</definedName>
    <definedName name="PART8" localSheetId="1">#REF!</definedName>
    <definedName name="_xlnm.Print_Area" localSheetId="2">'FTE Pivot for regular counts'!$C$5:$R$196</definedName>
    <definedName name="_xlnm.Print_Area" localSheetId="0">'NEW-Tables 80-86'!$A$1:$O$214</definedName>
    <definedName name="_xlnm.Print_Area" localSheetId="1">'OLD Tables'!$A$1:$O$212</definedName>
    <definedName name="_xlnm.Print_Area" localSheetId="3">'Pivot-HS Student % of Undergrad'!$C$6:$T$101</definedName>
    <definedName name="_xlnm.Print_Area" localSheetId="4">'SCH Data'!$A$3</definedName>
    <definedName name="_xlnm.Print_Area">#REF!</definedName>
    <definedName name="_xlnm.Print_Titles" localSheetId="2">'FTE Pivot for regular counts'!$A:$B,'FTE Pivot for regular counts'!$2:$4</definedName>
    <definedName name="_xlnm.Print_Titles" localSheetId="3">'Pivot-HS Student % of Undergrad'!$A:$B,'Pivot-HS Student % of Undergrad'!$4:$5</definedName>
    <definedName name="_xlnm.Print_Titles" localSheetId="4">'SCH Data'!$B:$B</definedName>
    <definedName name="RATIONALE" localSheetId="1">#REF!</definedName>
    <definedName name="RATIONALE2" localSheetId="1">#REF!</definedName>
    <definedName name="SALHEAD" localSheetId="1">#REF!</definedName>
    <definedName name="SCH13ug2" localSheetId="4">'SCH Data'!$K$508:$K$622</definedName>
    <definedName name="SCH13ug3" localSheetId="4">'SCH Data'!$M$508:$M$622</definedName>
    <definedName name="SCH13ug4" localSheetId="4">'SCH Data'!$O$508:$O$622</definedName>
    <definedName name="SrSCH08gr2" localSheetId="4">'SCH Data'!#REF!</definedName>
    <definedName name="SrSCH08gr2_1" localSheetId="4">'SCH Data'!#REF!</definedName>
    <definedName name="SrSCH08gr3" localSheetId="4">'SCH Data'!#REF!</definedName>
    <definedName name="SrSCH08gr3_1" localSheetId="4">'SCH Data'!#REF!</definedName>
    <definedName name="SrSCH08gr4" localSheetId="4">'SCH Data'!#REF!</definedName>
    <definedName name="SrSCH08gr4_1" localSheetId="4">'SCH Data'!#REF!</definedName>
    <definedName name="SrSCH08ug2" localSheetId="4">'SCH Data'!#REF!</definedName>
    <definedName name="SrSCH08ug2_1" localSheetId="4">'SCH Data'!#REF!</definedName>
    <definedName name="SrSCH08ug3" localSheetId="4">'SCH Data'!#REF!</definedName>
    <definedName name="SrSCH08ug3_1" localSheetId="4">'SCH Data'!#REF!</definedName>
    <definedName name="SrSCH08ug4" localSheetId="4">'SCH Data'!#REF!</definedName>
    <definedName name="SrSCH08ug4_1" localSheetId="4">'SCH Data'!#REF!</definedName>
  </definedNames>
  <calcPr calcId="145621"/>
  <pivotCaches>
    <pivotCache cacheId="0" r:id="rId8"/>
    <pivotCache cacheId="1" r:id="rId9"/>
  </pivotCaches>
</workbook>
</file>

<file path=xl/calcChain.xml><?xml version="1.0" encoding="utf-8"?>
<calcChain xmlns="http://schemas.openxmlformats.org/spreadsheetml/2006/main">
  <c r="AX12" i="14" l="1"/>
  <c r="AX13" i="14"/>
  <c r="AX14" i="14"/>
  <c r="AX15" i="14"/>
  <c r="AX16" i="14"/>
  <c r="AX17" i="14"/>
  <c r="AX18" i="14"/>
  <c r="AX19" i="14"/>
  <c r="AX20" i="14"/>
  <c r="AX21" i="14"/>
  <c r="AX22" i="14"/>
  <c r="AX23" i="14"/>
  <c r="AX24" i="14"/>
  <c r="AX25" i="14"/>
  <c r="AX26" i="14"/>
  <c r="AX27" i="14"/>
  <c r="AX28" i="14"/>
  <c r="AX29" i="14"/>
  <c r="AX11" i="14"/>
  <c r="AW12" i="14"/>
  <c r="AW13" i="14"/>
  <c r="AW14" i="14"/>
  <c r="AW15" i="14"/>
  <c r="AW16" i="14"/>
  <c r="AW17" i="14"/>
  <c r="AW18" i="14"/>
  <c r="AW19" i="14"/>
  <c r="AW20" i="14"/>
  <c r="AW21" i="14"/>
  <c r="AW22" i="14"/>
  <c r="AW23" i="14"/>
  <c r="AW24" i="14"/>
  <c r="AW25" i="14"/>
  <c r="AW26" i="14"/>
  <c r="AW27" i="14"/>
  <c r="AW28" i="14"/>
  <c r="AW29" i="14"/>
  <c r="AW11" i="14"/>
  <c r="AV12" i="14"/>
  <c r="AV13" i="14"/>
  <c r="AV14" i="14"/>
  <c r="AV15" i="14"/>
  <c r="AV16" i="14"/>
  <c r="AV17" i="14"/>
  <c r="AV18" i="14"/>
  <c r="AV19" i="14"/>
  <c r="AV20" i="14"/>
  <c r="AV21" i="14"/>
  <c r="AV22" i="14"/>
  <c r="AV23" i="14"/>
  <c r="AV24" i="14"/>
  <c r="AV25" i="14"/>
  <c r="AV26" i="14"/>
  <c r="AV27" i="14"/>
  <c r="AV28" i="14"/>
  <c r="AV29" i="14"/>
  <c r="AV11" i="14"/>
  <c r="AU12" i="14"/>
  <c r="AU13" i="14"/>
  <c r="AU14" i="14"/>
  <c r="AU15" i="14"/>
  <c r="AU16" i="14"/>
  <c r="AU17" i="14"/>
  <c r="AU18" i="14"/>
  <c r="AU19" i="14"/>
  <c r="AU20" i="14"/>
  <c r="AU21" i="14"/>
  <c r="AU22" i="14"/>
  <c r="AU23" i="14"/>
  <c r="AU24" i="14"/>
  <c r="AU25" i="14"/>
  <c r="AU26" i="14"/>
  <c r="AU27" i="14"/>
  <c r="AU28" i="14"/>
  <c r="AU29" i="14"/>
  <c r="AU11" i="14"/>
  <c r="AT12" i="14"/>
  <c r="AT13" i="14"/>
  <c r="AT14" i="14"/>
  <c r="AT15" i="14"/>
  <c r="AT16" i="14"/>
  <c r="AT17" i="14"/>
  <c r="AT18" i="14"/>
  <c r="AT19" i="14"/>
  <c r="AT20" i="14"/>
  <c r="AT21" i="14"/>
  <c r="AT22" i="14"/>
  <c r="AT23" i="14"/>
  <c r="AT24" i="14"/>
  <c r="AT25" i="14"/>
  <c r="AT26" i="14"/>
  <c r="AT27" i="14"/>
  <c r="AT28" i="14"/>
  <c r="AT29" i="14"/>
  <c r="AT11" i="14"/>
  <c r="AS12" i="14"/>
  <c r="AS13" i="14"/>
  <c r="AS14" i="14"/>
  <c r="AS15" i="14"/>
  <c r="AS16" i="14"/>
  <c r="AS17" i="14"/>
  <c r="AS18" i="14"/>
  <c r="AS19" i="14"/>
  <c r="AS20" i="14"/>
  <c r="AS21" i="14"/>
  <c r="AS22" i="14"/>
  <c r="AS23" i="14"/>
  <c r="AS24" i="14"/>
  <c r="AS25" i="14"/>
  <c r="AS26" i="14"/>
  <c r="AS27" i="14"/>
  <c r="AS28" i="14"/>
  <c r="AS29" i="14"/>
  <c r="AS11" i="14"/>
  <c r="AR12" i="14"/>
  <c r="AR13" i="14"/>
  <c r="AR14" i="14"/>
  <c r="AR15" i="14"/>
  <c r="AR16" i="14"/>
  <c r="AR17" i="14"/>
  <c r="AR18" i="14"/>
  <c r="AR19" i="14"/>
  <c r="AR20" i="14"/>
  <c r="AR21" i="14"/>
  <c r="AR22" i="14"/>
  <c r="AR23" i="14"/>
  <c r="AR24" i="14"/>
  <c r="AR25" i="14"/>
  <c r="AR26" i="14"/>
  <c r="AR27" i="14"/>
  <c r="AR28" i="14"/>
  <c r="AR29" i="14"/>
  <c r="AR11" i="14"/>
  <c r="BD164" i="14"/>
  <c r="BD165" i="14"/>
  <c r="BD166" i="14"/>
  <c r="BD167" i="14"/>
  <c r="BD168" i="14"/>
  <c r="BD169" i="14"/>
  <c r="BD170" i="14"/>
  <c r="BD171" i="14"/>
  <c r="BD172" i="14"/>
  <c r="BD173" i="14"/>
  <c r="BD174" i="14"/>
  <c r="BD175" i="14"/>
  <c r="BD176" i="14"/>
  <c r="BD177" i="14"/>
  <c r="BD178" i="14"/>
  <c r="BD179" i="14"/>
  <c r="BD180" i="14"/>
  <c r="BD181" i="14"/>
  <c r="BD163" i="14"/>
  <c r="BC164" i="14"/>
  <c r="BC165" i="14"/>
  <c r="BC166" i="14"/>
  <c r="BC167" i="14"/>
  <c r="BC168" i="14"/>
  <c r="BC169" i="14"/>
  <c r="BC170" i="14"/>
  <c r="BC171" i="14"/>
  <c r="BC172" i="14"/>
  <c r="BC173" i="14"/>
  <c r="BC174" i="14"/>
  <c r="BC175" i="14"/>
  <c r="BC176" i="14"/>
  <c r="BC177" i="14"/>
  <c r="BC178" i="14"/>
  <c r="BC179" i="14"/>
  <c r="BC180" i="14"/>
  <c r="BC181" i="14"/>
  <c r="BC163" i="14"/>
  <c r="BB164" i="14"/>
  <c r="BB165" i="14"/>
  <c r="BB166" i="14"/>
  <c r="BB167" i="14"/>
  <c r="BB168" i="14"/>
  <c r="BB169" i="14"/>
  <c r="BB170" i="14"/>
  <c r="BB171" i="14"/>
  <c r="BB172" i="14"/>
  <c r="BB173" i="14"/>
  <c r="BB174" i="14"/>
  <c r="BB175" i="14"/>
  <c r="BB176" i="14"/>
  <c r="BB177" i="14"/>
  <c r="BB178" i="14"/>
  <c r="BB179" i="14"/>
  <c r="BB180" i="14"/>
  <c r="BB181" i="14"/>
  <c r="BB163" i="14"/>
  <c r="BA164" i="14"/>
  <c r="BA165" i="14"/>
  <c r="BA166" i="14"/>
  <c r="BA167" i="14"/>
  <c r="BA168" i="14"/>
  <c r="BA169" i="14"/>
  <c r="BA170" i="14"/>
  <c r="BA171" i="14"/>
  <c r="BA172" i="14"/>
  <c r="BA173" i="14"/>
  <c r="BA174" i="14"/>
  <c r="BA175" i="14"/>
  <c r="BA176" i="14"/>
  <c r="BA177" i="14"/>
  <c r="BA178" i="14"/>
  <c r="BA179" i="14"/>
  <c r="BA180" i="14"/>
  <c r="BA181" i="14"/>
  <c r="BA163" i="14"/>
  <c r="AZ164" i="14"/>
  <c r="AZ165" i="14"/>
  <c r="AZ166" i="14"/>
  <c r="AZ167" i="14"/>
  <c r="AZ168" i="14"/>
  <c r="AZ169" i="14"/>
  <c r="AZ170" i="14"/>
  <c r="AZ171" i="14"/>
  <c r="AZ172" i="14"/>
  <c r="AZ173" i="14"/>
  <c r="AZ174" i="14"/>
  <c r="AZ175" i="14"/>
  <c r="AZ176" i="14"/>
  <c r="AZ177" i="14"/>
  <c r="AZ178" i="14"/>
  <c r="AZ179" i="14"/>
  <c r="AZ180" i="14"/>
  <c r="AZ181" i="14"/>
  <c r="AZ163" i="14"/>
  <c r="AW194" i="14"/>
  <c r="AW195" i="14"/>
  <c r="AW196" i="14"/>
  <c r="AW197" i="14"/>
  <c r="AW198" i="14"/>
  <c r="AW199" i="14"/>
  <c r="AW200" i="14"/>
  <c r="AW201" i="14"/>
  <c r="AW202" i="14"/>
  <c r="AW203" i="14"/>
  <c r="AW204" i="14"/>
  <c r="AW205" i="14"/>
  <c r="AW206" i="14"/>
  <c r="AW207" i="14"/>
  <c r="AW208" i="14"/>
  <c r="AW209" i="14"/>
  <c r="AW210" i="14"/>
  <c r="AW211" i="14"/>
  <c r="AW193" i="14"/>
  <c r="AV194" i="14"/>
  <c r="AV195" i="14"/>
  <c r="AV196" i="14"/>
  <c r="AV197" i="14"/>
  <c r="AV198" i="14"/>
  <c r="AV199" i="14"/>
  <c r="AV200" i="14"/>
  <c r="AV201" i="14"/>
  <c r="AV202" i="14"/>
  <c r="AV203" i="14"/>
  <c r="AV204" i="14"/>
  <c r="AV205" i="14"/>
  <c r="AV206" i="14"/>
  <c r="AV207" i="14"/>
  <c r="AV208" i="14"/>
  <c r="AV209" i="14"/>
  <c r="AV210" i="14"/>
  <c r="AV211" i="14"/>
  <c r="AV193" i="14"/>
  <c r="AU194" i="14"/>
  <c r="AU195" i="14"/>
  <c r="AU196" i="14"/>
  <c r="AU197" i="14"/>
  <c r="AU198" i="14"/>
  <c r="AU199" i="14"/>
  <c r="AU200" i="14"/>
  <c r="AU201" i="14"/>
  <c r="AU202" i="14"/>
  <c r="AU203" i="14"/>
  <c r="AU204" i="14"/>
  <c r="AU205" i="14"/>
  <c r="AU206" i="14"/>
  <c r="AU207" i="14"/>
  <c r="AU208" i="14"/>
  <c r="AU209" i="14"/>
  <c r="AU210" i="14"/>
  <c r="AU211" i="14"/>
  <c r="AU193" i="14"/>
  <c r="AR194" i="14"/>
  <c r="AR195" i="14"/>
  <c r="AR196" i="14"/>
  <c r="AR197" i="14"/>
  <c r="AR198" i="14"/>
  <c r="AR199" i="14"/>
  <c r="AR200" i="14"/>
  <c r="AR201" i="14"/>
  <c r="AR202" i="14"/>
  <c r="AR203" i="14"/>
  <c r="AR204" i="14"/>
  <c r="AR205" i="14"/>
  <c r="AR206" i="14"/>
  <c r="AR207" i="14"/>
  <c r="AR208" i="14"/>
  <c r="AR209" i="14"/>
  <c r="AR210" i="14"/>
  <c r="AR211" i="14"/>
  <c r="AR193" i="14"/>
  <c r="AQ194" i="14"/>
  <c r="AQ195" i="14"/>
  <c r="AQ196" i="14"/>
  <c r="AQ197" i="14"/>
  <c r="AQ198" i="14"/>
  <c r="AQ199" i="14"/>
  <c r="AQ200" i="14"/>
  <c r="AQ201" i="14"/>
  <c r="AQ202" i="14"/>
  <c r="AQ203" i="14"/>
  <c r="AQ204" i="14"/>
  <c r="AQ205" i="14"/>
  <c r="AQ206" i="14"/>
  <c r="AQ207" i="14"/>
  <c r="AQ208" i="14"/>
  <c r="AQ209" i="14"/>
  <c r="AQ210" i="14"/>
  <c r="AQ211" i="14"/>
  <c r="AQ193" i="14"/>
  <c r="AP194" i="14"/>
  <c r="AP195" i="14"/>
  <c r="AP196" i="14"/>
  <c r="AP197" i="14"/>
  <c r="AP198" i="14"/>
  <c r="AP199" i="14"/>
  <c r="AP200" i="14"/>
  <c r="AP201" i="14"/>
  <c r="AP202" i="14"/>
  <c r="AP203" i="14"/>
  <c r="AP204" i="14"/>
  <c r="AP205" i="14"/>
  <c r="AP206" i="14"/>
  <c r="AP207" i="14"/>
  <c r="AP208" i="14"/>
  <c r="AP209" i="14"/>
  <c r="AP210" i="14"/>
  <c r="AP211" i="14"/>
  <c r="AP193" i="14"/>
  <c r="AW164" i="14"/>
  <c r="AW165" i="14"/>
  <c r="AW166" i="14"/>
  <c r="AW167" i="14"/>
  <c r="AW168" i="14"/>
  <c r="AW169" i="14"/>
  <c r="AW170" i="14"/>
  <c r="AW171" i="14"/>
  <c r="AW172" i="14"/>
  <c r="AW173" i="14"/>
  <c r="AW174" i="14"/>
  <c r="AW175" i="14"/>
  <c r="AW176" i="14"/>
  <c r="AW177" i="14"/>
  <c r="AW178" i="14"/>
  <c r="AW179" i="14"/>
  <c r="AW180" i="14"/>
  <c r="AW181" i="14"/>
  <c r="AW163" i="14"/>
  <c r="AV164" i="14"/>
  <c r="AV165" i="14"/>
  <c r="AV166" i="14"/>
  <c r="AV167" i="14"/>
  <c r="AV168" i="14"/>
  <c r="AV169" i="14"/>
  <c r="AV170" i="14"/>
  <c r="AV171" i="14"/>
  <c r="AV172" i="14"/>
  <c r="AV173" i="14"/>
  <c r="AV174" i="14"/>
  <c r="AV175" i="14"/>
  <c r="AV176" i="14"/>
  <c r="AV177" i="14"/>
  <c r="AV178" i="14"/>
  <c r="AV179" i="14"/>
  <c r="AV180" i="14"/>
  <c r="AV181" i="14"/>
  <c r="AV163" i="14"/>
  <c r="AU164" i="14"/>
  <c r="AU165" i="14"/>
  <c r="AU166" i="14"/>
  <c r="AU167" i="14"/>
  <c r="AU168" i="14"/>
  <c r="AU169" i="14"/>
  <c r="AU170" i="14"/>
  <c r="AU171" i="14"/>
  <c r="AU172" i="14"/>
  <c r="AU173" i="14"/>
  <c r="AU174" i="14"/>
  <c r="AU175" i="14"/>
  <c r="AU176" i="14"/>
  <c r="AU177" i="14"/>
  <c r="AU178" i="14"/>
  <c r="AU179" i="14"/>
  <c r="AU180" i="14"/>
  <c r="AU181" i="14"/>
  <c r="AU163" i="14"/>
  <c r="AT164" i="14"/>
  <c r="AT165" i="14"/>
  <c r="AT166" i="14"/>
  <c r="AT167" i="14"/>
  <c r="AT168" i="14"/>
  <c r="AT169" i="14"/>
  <c r="AT170" i="14"/>
  <c r="AT171" i="14"/>
  <c r="AT172" i="14"/>
  <c r="AT173" i="14"/>
  <c r="AT174" i="14"/>
  <c r="AT175" i="14"/>
  <c r="AT176" i="14"/>
  <c r="AT177" i="14"/>
  <c r="AT178" i="14"/>
  <c r="AT179" i="14"/>
  <c r="AT180" i="14"/>
  <c r="AT181" i="14"/>
  <c r="AS167" i="14"/>
  <c r="AS172" i="14"/>
  <c r="AS177" i="14"/>
  <c r="AO15" i="14"/>
  <c r="AO20" i="14"/>
  <c r="AO25" i="14"/>
  <c r="AN15" i="14"/>
  <c r="AN20" i="14"/>
  <c r="AN25" i="14"/>
  <c r="AM15" i="14"/>
  <c r="AM20" i="14"/>
  <c r="AM25" i="14"/>
  <c r="AL15" i="14"/>
  <c r="AL20" i="14"/>
  <c r="AL25" i="14"/>
  <c r="AK15" i="14"/>
  <c r="AK20" i="14"/>
  <c r="AK25" i="14"/>
  <c r="AJ15" i="14"/>
  <c r="AJ20" i="14"/>
  <c r="AJ25" i="14"/>
  <c r="AI15" i="14"/>
  <c r="AI20" i="14"/>
  <c r="AI25" i="14"/>
  <c r="AV8" i="6" l="1"/>
  <c r="AW8" i="6" s="1"/>
  <c r="AZ8" i="6" s="1"/>
  <c r="AX8" i="6"/>
  <c r="AY8" i="6"/>
  <c r="BA8" i="6"/>
  <c r="AV9" i="6"/>
  <c r="AW9" i="6"/>
  <c r="AZ9" i="6" s="1"/>
  <c r="AX9" i="6"/>
  <c r="AY9" i="6" s="1"/>
  <c r="BA9" i="6"/>
  <c r="AV10" i="6"/>
  <c r="AW10" i="6"/>
  <c r="AZ10" i="6" s="1"/>
  <c r="AX10" i="6"/>
  <c r="AY10" i="6"/>
  <c r="BA10" i="6" s="1"/>
  <c r="AV11" i="6"/>
  <c r="AW11" i="6"/>
  <c r="AZ11" i="6" s="1"/>
  <c r="AX11" i="6"/>
  <c r="AY11" i="6"/>
  <c r="BA11" i="6" s="1"/>
  <c r="AV12" i="6"/>
  <c r="AW12" i="6" s="1"/>
  <c r="AZ12" i="6" s="1"/>
  <c r="AX12" i="6"/>
  <c r="AY12" i="6"/>
  <c r="BA12" i="6"/>
  <c r="AV13" i="6"/>
  <c r="AW13" i="6"/>
  <c r="AZ13" i="6" s="1"/>
  <c r="AX13" i="6"/>
  <c r="AY13" i="6" s="1"/>
  <c r="BA13" i="6"/>
  <c r="AV14" i="6"/>
  <c r="AW14" i="6"/>
  <c r="AZ14" i="6" s="1"/>
  <c r="AX14" i="6"/>
  <c r="AY14" i="6"/>
  <c r="BA14" i="6" s="1"/>
  <c r="AV15" i="6"/>
  <c r="AW15" i="6"/>
  <c r="AZ15" i="6" s="1"/>
  <c r="AX15" i="6"/>
  <c r="AY15" i="6"/>
  <c r="BA15" i="6"/>
  <c r="AV16" i="6"/>
  <c r="AW16" i="6" s="1"/>
  <c r="AZ16" i="6" s="1"/>
  <c r="AX16" i="6"/>
  <c r="AY16" i="6"/>
  <c r="BA16" i="6" s="1"/>
  <c r="AV17" i="6"/>
  <c r="AW17" i="6"/>
  <c r="AZ17" i="6" s="1"/>
  <c r="AX17" i="6"/>
  <c r="AY17" i="6" s="1"/>
  <c r="BA17" i="6"/>
  <c r="AV18" i="6"/>
  <c r="AW18" i="6"/>
  <c r="AZ18" i="6" s="1"/>
  <c r="AX18" i="6"/>
  <c r="AY18" i="6" s="1"/>
  <c r="BA18" i="6" s="1"/>
  <c r="AV19" i="6"/>
  <c r="AW19" i="6"/>
  <c r="AZ19" i="6" s="1"/>
  <c r="AX19" i="6"/>
  <c r="AY19" i="6"/>
  <c r="BA19" i="6"/>
  <c r="AV20" i="6"/>
  <c r="AW20" i="6" s="1"/>
  <c r="AZ20" i="6" s="1"/>
  <c r="AX20" i="6"/>
  <c r="AY20" i="6"/>
  <c r="BA20" i="6"/>
  <c r="AV21" i="6"/>
  <c r="AW21" i="6"/>
  <c r="AZ21" i="6" s="1"/>
  <c r="AX21" i="6"/>
  <c r="AY21" i="6" s="1"/>
  <c r="BA21" i="6"/>
  <c r="AV22" i="6"/>
  <c r="AW22" i="6"/>
  <c r="AZ22" i="6" s="1"/>
  <c r="AX22" i="6"/>
  <c r="AY22" i="6"/>
  <c r="BA22" i="6" s="1"/>
  <c r="AV23" i="6"/>
  <c r="AW23" i="6"/>
  <c r="AZ23" i="6" s="1"/>
  <c r="AX23" i="6"/>
  <c r="AY23" i="6"/>
  <c r="BA23" i="6"/>
  <c r="AV24" i="6"/>
  <c r="AW24" i="6" s="1"/>
  <c r="AZ24" i="6" s="1"/>
  <c r="AX24" i="6"/>
  <c r="AY24" i="6"/>
  <c r="BA24" i="6"/>
  <c r="AV25" i="6"/>
  <c r="AW25" i="6"/>
  <c r="AZ25" i="6" s="1"/>
  <c r="AX25" i="6"/>
  <c r="AY25" i="6" s="1"/>
  <c r="BA25" i="6"/>
  <c r="AV26" i="6"/>
  <c r="AW26" i="6"/>
  <c r="AZ26" i="6" s="1"/>
  <c r="AX26" i="6"/>
  <c r="AY26" i="6"/>
  <c r="BA26" i="6" s="1"/>
  <c r="AV27" i="6"/>
  <c r="AW27" i="6"/>
  <c r="AZ27" i="6" s="1"/>
  <c r="AX27" i="6"/>
  <c r="AY27" i="6"/>
  <c r="BA27" i="6" s="1"/>
  <c r="AV28" i="6"/>
  <c r="AW28" i="6" s="1"/>
  <c r="AZ28" i="6" s="1"/>
  <c r="AX28" i="6"/>
  <c r="AY28" i="6"/>
  <c r="BA28" i="6"/>
  <c r="AV29" i="6"/>
  <c r="AW29" i="6"/>
  <c r="AZ29" i="6" s="1"/>
  <c r="AX29" i="6"/>
  <c r="AY29" i="6" s="1"/>
  <c r="BA29" i="6"/>
  <c r="AV30" i="6"/>
  <c r="AW30" i="6"/>
  <c r="AZ30" i="6" s="1"/>
  <c r="AX30" i="6"/>
  <c r="AY30" i="6"/>
  <c r="BA30" i="6" s="1"/>
  <c r="AV31" i="6"/>
  <c r="AW31" i="6"/>
  <c r="AZ31" i="6" s="1"/>
  <c r="AX31" i="6"/>
  <c r="AY31" i="6"/>
  <c r="BA31" i="6"/>
  <c r="AV32" i="6"/>
  <c r="AW32" i="6" s="1"/>
  <c r="AZ32" i="6" s="1"/>
  <c r="AX32" i="6"/>
  <c r="AY32" i="6"/>
  <c r="BA32" i="6" s="1"/>
  <c r="AV33" i="6"/>
  <c r="AW33" i="6"/>
  <c r="AZ33" i="6" s="1"/>
  <c r="AX33" i="6"/>
  <c r="AY33" i="6" s="1"/>
  <c r="BA33" i="6"/>
  <c r="AV34" i="6"/>
  <c r="AW34" i="6"/>
  <c r="AZ34" i="6" s="1"/>
  <c r="AX34" i="6"/>
  <c r="AY34" i="6" s="1"/>
  <c r="BA34" i="6" s="1"/>
  <c r="AV35" i="6"/>
  <c r="AW35" i="6"/>
  <c r="AZ35" i="6" s="1"/>
  <c r="AX35" i="6"/>
  <c r="AY35" i="6"/>
  <c r="BA35" i="6"/>
  <c r="AV36" i="6"/>
  <c r="AW36" i="6" s="1"/>
  <c r="AZ36" i="6" s="1"/>
  <c r="AX36" i="6"/>
  <c r="AY36" i="6"/>
  <c r="BA36" i="6"/>
  <c r="AV37" i="6"/>
  <c r="AW37" i="6"/>
  <c r="AZ37" i="6" s="1"/>
  <c r="AX37" i="6"/>
  <c r="AY37" i="6" s="1"/>
  <c r="BA37" i="6"/>
  <c r="AV38" i="6"/>
  <c r="AW38" i="6"/>
  <c r="AZ38" i="6" s="1"/>
  <c r="AX38" i="6"/>
  <c r="AY38" i="6"/>
  <c r="BA38" i="6" s="1"/>
  <c r="AV39" i="6"/>
  <c r="AW39" i="6"/>
  <c r="AX39" i="6"/>
  <c r="AY39" i="6"/>
  <c r="AZ39" i="6"/>
  <c r="BA39" i="6"/>
  <c r="AV40" i="6"/>
  <c r="AW40" i="6" s="1"/>
  <c r="AZ40" i="6" s="1"/>
  <c r="AX40" i="6"/>
  <c r="AY40" i="6"/>
  <c r="BA40" i="6"/>
  <c r="AV41" i="6"/>
  <c r="AW41" i="6"/>
  <c r="AZ41" i="6" s="1"/>
  <c r="AX41" i="6"/>
  <c r="AY41" i="6" s="1"/>
  <c r="BA41" i="6"/>
  <c r="AV42" i="6"/>
  <c r="AW42" i="6"/>
  <c r="AZ42" i="6" s="1"/>
  <c r="AX42" i="6"/>
  <c r="AY42" i="6"/>
  <c r="BA42" i="6" s="1"/>
  <c r="AV43" i="6"/>
  <c r="AW43" i="6"/>
  <c r="AZ43" i="6" s="1"/>
  <c r="AX43" i="6"/>
  <c r="AY43" i="6"/>
  <c r="BA43" i="6" s="1"/>
  <c r="AV44" i="6"/>
  <c r="AW44" i="6" s="1"/>
  <c r="AZ44" i="6" s="1"/>
  <c r="AX44" i="6"/>
  <c r="AY44" i="6"/>
  <c r="BA44" i="6"/>
  <c r="AV45" i="6"/>
  <c r="AW45" i="6"/>
  <c r="AZ45" i="6" s="1"/>
  <c r="AX45" i="6"/>
  <c r="AY45" i="6" s="1"/>
  <c r="BA45" i="6"/>
  <c r="AV46" i="6"/>
  <c r="AW46" i="6"/>
  <c r="AZ46" i="6" s="1"/>
  <c r="AX46" i="6"/>
  <c r="AY46" i="6"/>
  <c r="BA46" i="6" s="1"/>
  <c r="AV47" i="6"/>
  <c r="AW47" i="6"/>
  <c r="AZ47" i="6" s="1"/>
  <c r="AX47" i="6"/>
  <c r="AY47" i="6"/>
  <c r="BA47" i="6"/>
  <c r="AV48" i="6"/>
  <c r="AW48" i="6" s="1"/>
  <c r="AZ48" i="6" s="1"/>
  <c r="AX48" i="6"/>
  <c r="AY48" i="6"/>
  <c r="BA48" i="6" s="1"/>
  <c r="AV49" i="6"/>
  <c r="AW49" i="6"/>
  <c r="AZ49" i="6" s="1"/>
  <c r="AX49" i="6"/>
  <c r="AY49" i="6" s="1"/>
  <c r="BA49" i="6"/>
  <c r="AV50" i="6"/>
  <c r="AW50" i="6"/>
  <c r="AZ50" i="6" s="1"/>
  <c r="AX50" i="6"/>
  <c r="AY50" i="6" s="1"/>
  <c r="BA50" i="6" s="1"/>
  <c r="AV51" i="6"/>
  <c r="AW51" i="6"/>
  <c r="AZ51" i="6" s="1"/>
  <c r="AX51" i="6"/>
  <c r="AY51" i="6"/>
  <c r="BA51" i="6"/>
  <c r="AV52" i="6"/>
  <c r="AW52" i="6" s="1"/>
  <c r="AZ52" i="6" s="1"/>
  <c r="AX52" i="6"/>
  <c r="AY52" i="6"/>
  <c r="BA52" i="6"/>
  <c r="AV53" i="6"/>
  <c r="AW53" i="6"/>
  <c r="AZ53" i="6" s="1"/>
  <c r="AX53" i="6"/>
  <c r="AY53" i="6" s="1"/>
  <c r="BA53" i="6"/>
  <c r="AV54" i="6"/>
  <c r="AW54" i="6"/>
  <c r="AZ54" i="6" s="1"/>
  <c r="AX54" i="6"/>
  <c r="AY54" i="6"/>
  <c r="BA54" i="6" s="1"/>
  <c r="AV55" i="6"/>
  <c r="AW55" i="6"/>
  <c r="AZ55" i="6" s="1"/>
  <c r="AX55" i="6"/>
  <c r="AY55" i="6"/>
  <c r="BA55" i="6"/>
  <c r="AV56" i="6"/>
  <c r="AW56" i="6" s="1"/>
  <c r="AZ56" i="6" s="1"/>
  <c r="AX56" i="6"/>
  <c r="AY56" i="6"/>
  <c r="BA56" i="6"/>
  <c r="AV57" i="6"/>
  <c r="AW57" i="6"/>
  <c r="AZ57" i="6" s="1"/>
  <c r="AX57" i="6"/>
  <c r="AY57" i="6" s="1"/>
  <c r="BA57" i="6"/>
  <c r="AV58" i="6"/>
  <c r="AW58" i="6"/>
  <c r="AZ58" i="6" s="1"/>
  <c r="AX58" i="6"/>
  <c r="AY58" i="6"/>
  <c r="BA58" i="6" s="1"/>
  <c r="AV59" i="6"/>
  <c r="AW59" i="6"/>
  <c r="AZ59" i="6" s="1"/>
  <c r="AX59" i="6"/>
  <c r="AY59" i="6"/>
  <c r="BA59" i="6" s="1"/>
  <c r="AV60" i="6"/>
  <c r="AW60" i="6" s="1"/>
  <c r="AZ60" i="6" s="1"/>
  <c r="AX60" i="6"/>
  <c r="AY60" i="6"/>
  <c r="BA60" i="6"/>
  <c r="AV61" i="6"/>
  <c r="AW61" i="6"/>
  <c r="AZ61" i="6" s="1"/>
  <c r="AX61" i="6"/>
  <c r="AY61" i="6" s="1"/>
  <c r="BA61" i="6"/>
  <c r="AV62" i="6"/>
  <c r="AW62" i="6"/>
  <c r="AZ62" i="6" s="1"/>
  <c r="AX62" i="6"/>
  <c r="AY62" i="6"/>
  <c r="BA62" i="6" s="1"/>
  <c r="AV63" i="6"/>
  <c r="AW63" i="6"/>
  <c r="AZ63" i="6" s="1"/>
  <c r="AX63" i="6"/>
  <c r="AY63" i="6"/>
  <c r="BA63" i="6"/>
  <c r="AV64" i="6"/>
  <c r="AW64" i="6" s="1"/>
  <c r="AZ64" i="6" s="1"/>
  <c r="AX64" i="6"/>
  <c r="AY64" i="6"/>
  <c r="BA64" i="6" s="1"/>
  <c r="AV65" i="6"/>
  <c r="AW65" i="6"/>
  <c r="AZ65" i="6" s="1"/>
  <c r="AX65" i="6"/>
  <c r="AY65" i="6" s="1"/>
  <c r="BA65" i="6"/>
  <c r="AV66" i="6"/>
  <c r="AW66" i="6"/>
  <c r="AZ66" i="6" s="1"/>
  <c r="AX66" i="6"/>
  <c r="AY66" i="6" s="1"/>
  <c r="BA66" i="6" s="1"/>
  <c r="AV67" i="6"/>
  <c r="AW67" i="6"/>
  <c r="AZ67" i="6" s="1"/>
  <c r="AX67" i="6"/>
  <c r="AY67" i="6"/>
  <c r="BA67" i="6"/>
  <c r="AV68" i="6"/>
  <c r="AW68" i="6" s="1"/>
  <c r="AZ68" i="6" s="1"/>
  <c r="AX68" i="6"/>
  <c r="AY68" i="6"/>
  <c r="BA68" i="6"/>
  <c r="AV69" i="6"/>
  <c r="AW69" i="6"/>
  <c r="AZ69" i="6" s="1"/>
  <c r="AX69" i="6"/>
  <c r="AY69" i="6" s="1"/>
  <c r="BA69" i="6"/>
  <c r="AV70" i="6"/>
  <c r="AW70" i="6"/>
  <c r="AZ70" i="6" s="1"/>
  <c r="AX70" i="6"/>
  <c r="AY70" i="6"/>
  <c r="BA70" i="6" s="1"/>
  <c r="AV71" i="6"/>
  <c r="AW71" i="6"/>
  <c r="AX71" i="6"/>
  <c r="AY71" i="6"/>
  <c r="AZ71" i="6"/>
  <c r="BA71" i="6"/>
  <c r="AV72" i="6"/>
  <c r="AW72" i="6" s="1"/>
  <c r="AZ72" i="6" s="1"/>
  <c r="AX72" i="6"/>
  <c r="AY72" i="6"/>
  <c r="BA72" i="6"/>
  <c r="AV73" i="6"/>
  <c r="AW73" i="6"/>
  <c r="AZ73" i="6" s="1"/>
  <c r="AX73" i="6"/>
  <c r="AY73" i="6" s="1"/>
  <c r="BA73" i="6"/>
  <c r="AV74" i="6"/>
  <c r="AW74" i="6"/>
  <c r="AZ74" i="6" s="1"/>
  <c r="AX74" i="6"/>
  <c r="AY74" i="6"/>
  <c r="BA74" i="6" s="1"/>
  <c r="AV75" i="6"/>
  <c r="AW75" i="6"/>
  <c r="AZ75" i="6" s="1"/>
  <c r="AX75" i="6"/>
  <c r="AY75" i="6"/>
  <c r="BA75" i="6" s="1"/>
  <c r="AV76" i="6"/>
  <c r="AW76" i="6" s="1"/>
  <c r="AZ76" i="6" s="1"/>
  <c r="AX76" i="6"/>
  <c r="AY76" i="6"/>
  <c r="BA76" i="6"/>
  <c r="AV77" i="6"/>
  <c r="AW77" i="6"/>
  <c r="AZ77" i="6" s="1"/>
  <c r="AX77" i="6"/>
  <c r="AY77" i="6" s="1"/>
  <c r="BA77" i="6"/>
  <c r="AV78" i="6"/>
  <c r="AW78" i="6"/>
  <c r="AZ78" i="6" s="1"/>
  <c r="AX78" i="6"/>
  <c r="AY78" i="6"/>
  <c r="BA78" i="6" s="1"/>
  <c r="AV79" i="6"/>
  <c r="AW79" i="6" s="1"/>
  <c r="AZ79" i="6" s="1"/>
  <c r="AX79" i="6"/>
  <c r="AY79" i="6"/>
  <c r="BA79" i="6" s="1"/>
  <c r="AV80" i="6"/>
  <c r="AW80" i="6" s="1"/>
  <c r="AZ80" i="6" s="1"/>
  <c r="AX80" i="6"/>
  <c r="AY80" i="6"/>
  <c r="BA80" i="6" s="1"/>
  <c r="AV81" i="6"/>
  <c r="AW81" i="6" s="1"/>
  <c r="AZ81" i="6" s="1"/>
  <c r="AX81" i="6"/>
  <c r="AY81" i="6" s="1"/>
  <c r="BA81" i="6"/>
  <c r="AV82" i="6"/>
  <c r="AW82" i="6"/>
  <c r="AZ82" i="6" s="1"/>
  <c r="AX82" i="6"/>
  <c r="AY82" i="6"/>
  <c r="BA82" i="6" s="1"/>
  <c r="AV83" i="6"/>
  <c r="AW83" i="6" s="1"/>
  <c r="AX83" i="6"/>
  <c r="AY83" i="6"/>
  <c r="BA83" i="6" s="1"/>
  <c r="AZ83" i="6"/>
  <c r="AV84" i="6"/>
  <c r="AW84" i="6" s="1"/>
  <c r="AZ84" i="6" s="1"/>
  <c r="AX84" i="6"/>
  <c r="AY84" i="6"/>
  <c r="BA84" i="6" s="1"/>
  <c r="AV85" i="6"/>
  <c r="AW85" i="6"/>
  <c r="AZ85" i="6" s="1"/>
  <c r="AX85" i="6"/>
  <c r="AY85" i="6" s="1"/>
  <c r="BA85" i="6"/>
  <c r="AV86" i="6"/>
  <c r="AW86" i="6"/>
  <c r="AZ86" i="6" s="1"/>
  <c r="AX86" i="6"/>
  <c r="AY86" i="6"/>
  <c r="BA86" i="6" s="1"/>
  <c r="AV87" i="6"/>
  <c r="AW87" i="6" s="1"/>
  <c r="AX87" i="6"/>
  <c r="AY87" i="6"/>
  <c r="BA87" i="6" s="1"/>
  <c r="AZ87" i="6"/>
  <c r="AV88" i="6"/>
  <c r="AW88" i="6" s="1"/>
  <c r="AZ88" i="6" s="1"/>
  <c r="AX88" i="6"/>
  <c r="AY88" i="6"/>
  <c r="BA88" i="6" s="1"/>
  <c r="AV89" i="6"/>
  <c r="AW89" i="6" s="1"/>
  <c r="AZ89" i="6" s="1"/>
  <c r="AX89" i="6"/>
  <c r="AY89" i="6" s="1"/>
  <c r="BA89" i="6" s="1"/>
  <c r="AV90" i="6"/>
  <c r="AW90" i="6"/>
  <c r="AZ90" i="6" s="1"/>
  <c r="AX90" i="6"/>
  <c r="AY90" i="6"/>
  <c r="BA90" i="6" s="1"/>
  <c r="AV91" i="6"/>
  <c r="AW91" i="6" s="1"/>
  <c r="AZ91" i="6" s="1"/>
  <c r="AX91" i="6"/>
  <c r="AY91" i="6"/>
  <c r="BA91" i="6" s="1"/>
  <c r="AV92" i="6"/>
  <c r="AW92" i="6" s="1"/>
  <c r="AZ92" i="6" s="1"/>
  <c r="AX92" i="6"/>
  <c r="AY92" i="6"/>
  <c r="BA92" i="6" s="1"/>
  <c r="AV93" i="6"/>
  <c r="AW93" i="6"/>
  <c r="AZ93" i="6" s="1"/>
  <c r="AX93" i="6"/>
  <c r="AY93" i="6" s="1"/>
  <c r="BA93" i="6"/>
  <c r="AV94" i="6"/>
  <c r="AW94" i="6"/>
  <c r="AZ94" i="6" s="1"/>
  <c r="AX94" i="6"/>
  <c r="AY94" i="6"/>
  <c r="BA94" i="6" s="1"/>
  <c r="AV95" i="6"/>
  <c r="AW95" i="6" s="1"/>
  <c r="AZ95" i="6" s="1"/>
  <c r="AX95" i="6"/>
  <c r="AY95" i="6"/>
  <c r="BA95" i="6" s="1"/>
  <c r="AV96" i="6"/>
  <c r="AW96" i="6" s="1"/>
  <c r="AZ96" i="6" s="1"/>
  <c r="AX96" i="6"/>
  <c r="AY96" i="6"/>
  <c r="BA96" i="6" s="1"/>
  <c r="AV97" i="6"/>
  <c r="AW97" i="6" s="1"/>
  <c r="AZ97" i="6" s="1"/>
  <c r="AX97" i="6"/>
  <c r="AY97" i="6" s="1"/>
  <c r="BA97" i="6"/>
  <c r="AV98" i="6"/>
  <c r="AW98" i="6"/>
  <c r="AZ98" i="6" s="1"/>
  <c r="AX98" i="6"/>
  <c r="AY98" i="6"/>
  <c r="BA98" i="6" s="1"/>
  <c r="AV99" i="6"/>
  <c r="AW99" i="6" s="1"/>
  <c r="AX99" i="6"/>
  <c r="AY99" i="6"/>
  <c r="BA99" i="6" s="1"/>
  <c r="AZ99" i="6"/>
  <c r="AV100" i="6"/>
  <c r="AW100" i="6" s="1"/>
  <c r="AZ100" i="6" s="1"/>
  <c r="AX100" i="6"/>
  <c r="AY100" i="6"/>
  <c r="BA100" i="6" s="1"/>
  <c r="AV101" i="6"/>
  <c r="AW101" i="6"/>
  <c r="AX101" i="6"/>
  <c r="AY101" i="6" s="1"/>
  <c r="BA101" i="6" s="1"/>
  <c r="AZ101" i="6"/>
  <c r="AV102" i="6"/>
  <c r="AW102" i="6"/>
  <c r="AZ102" i="6" s="1"/>
  <c r="AX102" i="6"/>
  <c r="AY102" i="6"/>
  <c r="BA102" i="6" s="1"/>
  <c r="AV103" i="6"/>
  <c r="AW103" i="6"/>
  <c r="AX103" i="6"/>
  <c r="AY103" i="6"/>
  <c r="BA103" i="6" s="1"/>
  <c r="AZ103" i="6"/>
  <c r="AV104" i="6"/>
  <c r="AW104" i="6" s="1"/>
  <c r="AZ104" i="6" s="1"/>
  <c r="AX104" i="6"/>
  <c r="AY104" i="6"/>
  <c r="BA104" i="6" s="1"/>
  <c r="AV105" i="6"/>
  <c r="AW105" i="6" s="1"/>
  <c r="AZ105" i="6" s="1"/>
  <c r="AX105" i="6"/>
  <c r="AY105" i="6" s="1"/>
  <c r="BA105" i="6"/>
  <c r="AV106" i="6"/>
  <c r="AW106" i="6"/>
  <c r="AX106" i="6"/>
  <c r="AY106" i="6" s="1"/>
  <c r="BA106" i="6" s="1"/>
  <c r="AZ106" i="6"/>
  <c r="AV107" i="6"/>
  <c r="AW107" i="6" s="1"/>
  <c r="AX107" i="6"/>
  <c r="AY107" i="6"/>
  <c r="BA107" i="6" s="1"/>
  <c r="AZ107" i="6"/>
  <c r="AV108" i="6"/>
  <c r="AW108" i="6" s="1"/>
  <c r="AZ108" i="6" s="1"/>
  <c r="AX108" i="6"/>
  <c r="AY108" i="6"/>
  <c r="BA108" i="6" s="1"/>
  <c r="AV109" i="6"/>
  <c r="AW109" i="6"/>
  <c r="AX109" i="6"/>
  <c r="AY109" i="6" s="1"/>
  <c r="BA109" i="6" s="1"/>
  <c r="AZ109" i="6"/>
  <c r="AV110" i="6"/>
  <c r="AW110" i="6"/>
  <c r="AX110" i="6"/>
  <c r="AY110" i="6"/>
  <c r="BA110" i="6" s="1"/>
  <c r="AZ110" i="6"/>
  <c r="AV111" i="6"/>
  <c r="AW111" i="6"/>
  <c r="AZ111" i="6" s="1"/>
  <c r="AX111" i="6"/>
  <c r="AY111" i="6"/>
  <c r="BA111" i="6" s="1"/>
  <c r="AV112" i="6"/>
  <c r="AW112" i="6" s="1"/>
  <c r="AZ112" i="6" s="1"/>
  <c r="AX112" i="6"/>
  <c r="AY112" i="6"/>
  <c r="BA112" i="6"/>
  <c r="AV113" i="6"/>
  <c r="AW113" i="6" s="1"/>
  <c r="AZ113" i="6" s="1"/>
  <c r="AX113" i="6"/>
  <c r="AY113" i="6" s="1"/>
  <c r="BA113" i="6" s="1"/>
  <c r="AV114" i="6"/>
  <c r="AW114" i="6"/>
  <c r="AX114" i="6"/>
  <c r="AY114" i="6"/>
  <c r="BA114" i="6" s="1"/>
  <c r="AZ114" i="6"/>
  <c r="AV115" i="6"/>
  <c r="AW115" i="6" s="1"/>
  <c r="AX115" i="6"/>
  <c r="AY115" i="6"/>
  <c r="BA115" i="6" s="1"/>
  <c r="AZ115" i="6"/>
  <c r="AV116" i="6"/>
  <c r="AW116" i="6" s="1"/>
  <c r="AZ116" i="6" s="1"/>
  <c r="AX116" i="6"/>
  <c r="AY116" i="6"/>
  <c r="BA116" i="6" s="1"/>
  <c r="AV117" i="6"/>
  <c r="AW117" i="6"/>
  <c r="AX117" i="6"/>
  <c r="AY117" i="6" s="1"/>
  <c r="BA117" i="6" s="1"/>
  <c r="AZ117" i="6"/>
  <c r="AV118" i="6"/>
  <c r="AW118" i="6"/>
  <c r="AZ118" i="6" s="1"/>
  <c r="AX118" i="6"/>
  <c r="AY118" i="6"/>
  <c r="BA118" i="6" s="1"/>
  <c r="AV119" i="6"/>
  <c r="AW119" i="6"/>
  <c r="AX119" i="6"/>
  <c r="AY119" i="6"/>
  <c r="BA119" i="6" s="1"/>
  <c r="AZ119" i="6"/>
  <c r="AV120" i="6"/>
  <c r="AW120" i="6" s="1"/>
  <c r="AZ120" i="6" s="1"/>
  <c r="AX120" i="6"/>
  <c r="AY120" i="6"/>
  <c r="BA120" i="6" s="1"/>
  <c r="AV121" i="6"/>
  <c r="AW121" i="6" s="1"/>
  <c r="AZ121" i="6" s="1"/>
  <c r="AX121" i="6"/>
  <c r="AY121" i="6" s="1"/>
  <c r="BA121" i="6"/>
  <c r="AV122" i="6"/>
  <c r="AW122" i="6"/>
  <c r="AZ122" i="6" s="1"/>
  <c r="AX122" i="6"/>
  <c r="AY122" i="6"/>
  <c r="BA122" i="6" s="1"/>
  <c r="AV123" i="6"/>
  <c r="AW123" i="6"/>
  <c r="AZ123" i="6" s="1"/>
  <c r="AX123" i="6"/>
  <c r="AY123" i="6"/>
  <c r="BA123" i="6"/>
  <c r="AV124" i="6"/>
  <c r="AW124" i="6" s="1"/>
  <c r="AX124" i="6"/>
  <c r="AY124" i="6"/>
  <c r="AZ124" i="6"/>
  <c r="BA124" i="6"/>
  <c r="AV125" i="6"/>
  <c r="AW125" i="6"/>
  <c r="AX125" i="6"/>
  <c r="AY125" i="6" s="1"/>
  <c r="BA125" i="6" s="1"/>
  <c r="AZ125" i="6"/>
  <c r="AV126" i="6"/>
  <c r="AW126" i="6"/>
  <c r="AZ126" i="6" s="1"/>
  <c r="AX126" i="6"/>
  <c r="AY126" i="6" s="1"/>
  <c r="BA126" i="6" s="1"/>
  <c r="AV127" i="6"/>
  <c r="AW127" i="6"/>
  <c r="AX127" i="6"/>
  <c r="AY127" i="6"/>
  <c r="AZ127" i="6"/>
  <c r="BA127" i="6"/>
  <c r="AV128" i="6"/>
  <c r="AW128" i="6" s="1"/>
  <c r="AX128" i="6"/>
  <c r="AY128" i="6" s="1"/>
  <c r="BA128" i="6" s="1"/>
  <c r="AZ128" i="6"/>
  <c r="AV129" i="6"/>
  <c r="AW129" i="6"/>
  <c r="AZ129" i="6" s="1"/>
  <c r="AX129" i="6"/>
  <c r="AY129" i="6" s="1"/>
  <c r="BA129" i="6" s="1"/>
  <c r="AV130" i="6"/>
  <c r="AW130" i="6"/>
  <c r="AX130" i="6"/>
  <c r="AY130" i="6"/>
  <c r="BA130" i="6" s="1"/>
  <c r="AZ130" i="6"/>
  <c r="AV131" i="6"/>
  <c r="AW131" i="6" s="1"/>
  <c r="AZ131" i="6" s="1"/>
  <c r="AX131" i="6"/>
  <c r="AY131" i="6" s="1"/>
  <c r="BA131" i="6" s="1"/>
  <c r="AV132" i="6"/>
  <c r="AW132" i="6" s="1"/>
  <c r="AZ132" i="6" s="1"/>
  <c r="AX132" i="6"/>
  <c r="AY132" i="6"/>
  <c r="BA132" i="6" s="1"/>
  <c r="AV133" i="6"/>
  <c r="AW133" i="6"/>
  <c r="AZ133" i="6" s="1"/>
  <c r="AX133" i="6"/>
  <c r="AY133" i="6" s="1"/>
  <c r="BA133" i="6"/>
  <c r="AV134" i="6"/>
  <c r="AW134" i="6" s="1"/>
  <c r="AZ134" i="6" s="1"/>
  <c r="AX134" i="6"/>
  <c r="AY134" i="6" s="1"/>
  <c r="BA134" i="6" s="1"/>
  <c r="AV135" i="6"/>
  <c r="AW135" i="6"/>
  <c r="AZ135" i="6" s="1"/>
  <c r="AX135" i="6"/>
  <c r="AY135" i="6"/>
  <c r="BA135" i="6" s="1"/>
  <c r="AV136" i="6"/>
  <c r="AW136" i="6" s="1"/>
  <c r="AX136" i="6"/>
  <c r="AY136" i="6" s="1"/>
  <c r="BA136" i="6" s="1"/>
  <c r="AZ136" i="6"/>
  <c r="AV137" i="6"/>
  <c r="AW137" i="6" s="1"/>
  <c r="AZ137" i="6" s="1"/>
  <c r="AX137" i="6"/>
  <c r="AY137" i="6" s="1"/>
  <c r="BA137" i="6"/>
  <c r="AV138" i="6"/>
  <c r="AW138" i="6"/>
  <c r="AZ138" i="6" s="1"/>
  <c r="AX138" i="6"/>
  <c r="AY138" i="6"/>
  <c r="BA138" i="6" s="1"/>
  <c r="AV139" i="6"/>
  <c r="AW139" i="6" s="1"/>
  <c r="AZ139" i="6" s="1"/>
  <c r="AX139" i="6"/>
  <c r="AY139" i="6" s="1"/>
  <c r="BA139" i="6" s="1"/>
  <c r="AV140" i="6"/>
  <c r="AW140" i="6" s="1"/>
  <c r="AZ140" i="6" s="1"/>
  <c r="AX140" i="6"/>
  <c r="AY140" i="6"/>
  <c r="BA140" i="6"/>
  <c r="AV141" i="6"/>
  <c r="AW141" i="6"/>
  <c r="AX141" i="6"/>
  <c r="AY141" i="6" s="1"/>
  <c r="BA141" i="6" s="1"/>
  <c r="AZ141" i="6"/>
  <c r="AV142" i="6"/>
  <c r="AW142" i="6" s="1"/>
  <c r="AZ142" i="6" s="1"/>
  <c r="AX142" i="6"/>
  <c r="AY142" i="6" s="1"/>
  <c r="BA142" i="6" s="1"/>
  <c r="AV143" i="6"/>
  <c r="AW143" i="6"/>
  <c r="AZ143" i="6" s="1"/>
  <c r="AX143" i="6"/>
  <c r="AY143" i="6"/>
  <c r="BA143" i="6"/>
  <c r="AV144" i="6"/>
  <c r="AW144" i="6" s="1"/>
  <c r="AX144" i="6"/>
  <c r="AY144" i="6"/>
  <c r="BA144" i="6" s="1"/>
  <c r="AZ144" i="6"/>
  <c r="AV145" i="6"/>
  <c r="AW145" i="6" s="1"/>
  <c r="AZ145" i="6" s="1"/>
  <c r="AX145" i="6"/>
  <c r="AY145" i="6" s="1"/>
  <c r="BA145" i="6" s="1"/>
  <c r="AV146" i="6"/>
  <c r="AW146" i="6"/>
  <c r="AZ146" i="6" s="1"/>
  <c r="AX146" i="6"/>
  <c r="AY146" i="6"/>
  <c r="BA146" i="6" s="1"/>
  <c r="AV147" i="6"/>
  <c r="AW147" i="6" s="1"/>
  <c r="AZ147" i="6" s="1"/>
  <c r="AX147" i="6"/>
  <c r="AY147" i="6"/>
  <c r="BA147" i="6" s="1"/>
  <c r="AV148" i="6"/>
  <c r="AW148" i="6" s="1"/>
  <c r="AZ148" i="6" s="1"/>
  <c r="AX148" i="6"/>
  <c r="AY148" i="6"/>
  <c r="BA148" i="6" s="1"/>
  <c r="AV149" i="6"/>
  <c r="AW149" i="6"/>
  <c r="AZ149" i="6" s="1"/>
  <c r="AX149" i="6"/>
  <c r="AY149" i="6" s="1"/>
  <c r="BA149" i="6"/>
  <c r="AV150" i="6"/>
  <c r="AW150" i="6" s="1"/>
  <c r="AZ150" i="6" s="1"/>
  <c r="AX150" i="6"/>
  <c r="AY150" i="6"/>
  <c r="BA150" i="6" s="1"/>
  <c r="AV151" i="6"/>
  <c r="AW151" i="6"/>
  <c r="AZ151" i="6" s="1"/>
  <c r="AX151" i="6"/>
  <c r="AY151" i="6"/>
  <c r="BA151" i="6" s="1"/>
  <c r="AV152" i="6"/>
  <c r="AW152" i="6" s="1"/>
  <c r="AZ152" i="6" s="1"/>
  <c r="AX152" i="6"/>
  <c r="AY152" i="6" s="1"/>
  <c r="BA152" i="6" s="1"/>
  <c r="AV153" i="6"/>
  <c r="AW153" i="6" s="1"/>
  <c r="AZ153" i="6" s="1"/>
  <c r="AX153" i="6"/>
  <c r="AY153" i="6" s="1"/>
  <c r="BA153" i="6"/>
  <c r="AV154" i="6"/>
  <c r="AW154" i="6"/>
  <c r="AZ154" i="6" s="1"/>
  <c r="AX154" i="6"/>
  <c r="AY154" i="6"/>
  <c r="BA154" i="6" s="1"/>
  <c r="AV155" i="6"/>
  <c r="AW155" i="6"/>
  <c r="AZ155" i="6" s="1"/>
  <c r="AX155" i="6"/>
  <c r="AY155" i="6" s="1"/>
  <c r="BA155" i="6" s="1"/>
  <c r="AV156" i="6"/>
  <c r="AW156" i="6" s="1"/>
  <c r="AX156" i="6"/>
  <c r="AY156" i="6"/>
  <c r="AZ156" i="6"/>
  <c r="BA156" i="6"/>
  <c r="AV157" i="6"/>
  <c r="AW157" i="6"/>
  <c r="AX157" i="6"/>
  <c r="AY157" i="6" s="1"/>
  <c r="BA157" i="6" s="1"/>
  <c r="AZ157" i="6"/>
  <c r="AV158" i="6"/>
  <c r="AW158" i="6"/>
  <c r="AZ158" i="6" s="1"/>
  <c r="AX158" i="6"/>
  <c r="AY158" i="6" s="1"/>
  <c r="BA158" i="6" s="1"/>
  <c r="AV159" i="6"/>
  <c r="AW159" i="6"/>
  <c r="AX159" i="6"/>
  <c r="AY159" i="6"/>
  <c r="AZ159" i="6"/>
  <c r="BA159" i="6"/>
  <c r="AV160" i="6"/>
  <c r="AW160" i="6" s="1"/>
  <c r="AX160" i="6"/>
  <c r="AY160" i="6" s="1"/>
  <c r="BA160" i="6" s="1"/>
  <c r="AZ160" i="6"/>
  <c r="AV161" i="6"/>
  <c r="AW161" i="6"/>
  <c r="AZ161" i="6" s="1"/>
  <c r="AX161" i="6"/>
  <c r="AY161" i="6" s="1"/>
  <c r="BA161" i="6" s="1"/>
  <c r="AV162" i="6"/>
  <c r="AW162" i="6"/>
  <c r="AX162" i="6"/>
  <c r="AY162" i="6"/>
  <c r="BA162" i="6" s="1"/>
  <c r="AZ162" i="6"/>
  <c r="AV163" i="6"/>
  <c r="AW163" i="6" s="1"/>
  <c r="AZ163" i="6" s="1"/>
  <c r="AX163" i="6"/>
  <c r="AY163" i="6" s="1"/>
  <c r="BA163" i="6" s="1"/>
  <c r="AV164" i="6"/>
  <c r="AW164" i="6" s="1"/>
  <c r="AZ164" i="6" s="1"/>
  <c r="AX164" i="6"/>
  <c r="AY164" i="6"/>
  <c r="BA164" i="6" s="1"/>
  <c r="AV165" i="6"/>
  <c r="AW165" i="6"/>
  <c r="AZ165" i="6" s="1"/>
  <c r="AX165" i="6"/>
  <c r="AY165" i="6" s="1"/>
  <c r="BA165" i="6"/>
  <c r="AV166" i="6"/>
  <c r="AW166" i="6" s="1"/>
  <c r="AZ166" i="6" s="1"/>
  <c r="AX166" i="6"/>
  <c r="AY166" i="6" s="1"/>
  <c r="BA166" i="6" s="1"/>
  <c r="AV167" i="6"/>
  <c r="AW167" i="6"/>
  <c r="AZ167" i="6" s="1"/>
  <c r="AX167" i="6"/>
  <c r="AY167" i="6"/>
  <c r="BA167" i="6" s="1"/>
  <c r="AV168" i="6"/>
  <c r="AW168" i="6" s="1"/>
  <c r="AX168" i="6"/>
  <c r="AY168" i="6" s="1"/>
  <c r="BA168" i="6" s="1"/>
  <c r="AZ168" i="6"/>
  <c r="AV169" i="6"/>
  <c r="AW169" i="6" s="1"/>
  <c r="AZ169" i="6" s="1"/>
  <c r="AX169" i="6"/>
  <c r="AY169" i="6" s="1"/>
  <c r="BA169" i="6"/>
  <c r="AV170" i="6"/>
  <c r="AW170" i="6"/>
  <c r="AZ170" i="6" s="1"/>
  <c r="AX170" i="6"/>
  <c r="AY170" i="6"/>
  <c r="BA170" i="6" s="1"/>
  <c r="AV171" i="6"/>
  <c r="AW171" i="6" s="1"/>
  <c r="AZ171" i="6" s="1"/>
  <c r="AX171" i="6"/>
  <c r="AY171" i="6" s="1"/>
  <c r="BA171" i="6" s="1"/>
  <c r="AV172" i="6"/>
  <c r="AW172" i="6" s="1"/>
  <c r="AZ172" i="6" s="1"/>
  <c r="AX172" i="6"/>
  <c r="AY172" i="6"/>
  <c r="BA172" i="6"/>
  <c r="AV173" i="6"/>
  <c r="AW173" i="6"/>
  <c r="AX173" i="6"/>
  <c r="AY173" i="6" s="1"/>
  <c r="BA173" i="6" s="1"/>
  <c r="AZ173" i="6"/>
  <c r="AV174" i="6"/>
  <c r="AW174" i="6" s="1"/>
  <c r="AZ174" i="6" s="1"/>
  <c r="AX174" i="6"/>
  <c r="AY174" i="6" s="1"/>
  <c r="BA174" i="6" s="1"/>
  <c r="AV175" i="6"/>
  <c r="AW175" i="6"/>
  <c r="AZ175" i="6" s="1"/>
  <c r="AX175" i="6"/>
  <c r="AY175" i="6"/>
  <c r="BA175" i="6"/>
  <c r="AV176" i="6"/>
  <c r="AW176" i="6" s="1"/>
  <c r="AX176" i="6"/>
  <c r="AY176" i="6"/>
  <c r="BA176" i="6" s="1"/>
  <c r="AZ176" i="6"/>
  <c r="AV177" i="6"/>
  <c r="AW177" i="6" s="1"/>
  <c r="AZ177" i="6" s="1"/>
  <c r="AX177" i="6"/>
  <c r="AY177" i="6" s="1"/>
  <c r="BA177" i="6" s="1"/>
  <c r="AV178" i="6"/>
  <c r="AW178" i="6"/>
  <c r="AZ178" i="6" s="1"/>
  <c r="AX178" i="6"/>
  <c r="AY178" i="6"/>
  <c r="BA178" i="6" s="1"/>
  <c r="AV179" i="6"/>
  <c r="AW179" i="6" s="1"/>
  <c r="AZ179" i="6" s="1"/>
  <c r="AX179" i="6"/>
  <c r="AY179" i="6"/>
  <c r="BA179" i="6" s="1"/>
  <c r="AV180" i="6"/>
  <c r="AW180" i="6" s="1"/>
  <c r="AZ180" i="6" s="1"/>
  <c r="AX180" i="6"/>
  <c r="AY180" i="6"/>
  <c r="BA180" i="6" s="1"/>
  <c r="AV181" i="6"/>
  <c r="AW181" i="6"/>
  <c r="AZ181" i="6" s="1"/>
  <c r="AX181" i="6"/>
  <c r="AY181" i="6" s="1"/>
  <c r="BA181" i="6" s="1"/>
  <c r="AV182" i="6"/>
  <c r="AW182" i="6" s="1"/>
  <c r="AZ182" i="6" s="1"/>
  <c r="AX182" i="6"/>
  <c r="AY182" i="6"/>
  <c r="BA182" i="6" s="1"/>
  <c r="AV183" i="6"/>
  <c r="AW183" i="6"/>
  <c r="AZ183" i="6" s="1"/>
  <c r="AX183" i="6"/>
  <c r="AY183" i="6"/>
  <c r="BA183" i="6" s="1"/>
  <c r="AV184" i="6"/>
  <c r="AW184" i="6" s="1"/>
  <c r="AZ184" i="6" s="1"/>
  <c r="AX184" i="6"/>
  <c r="AY184" i="6" s="1"/>
  <c r="BA184" i="6" s="1"/>
  <c r="AV185" i="6"/>
  <c r="AW185" i="6" s="1"/>
  <c r="AZ185" i="6" s="1"/>
  <c r="AX185" i="6"/>
  <c r="AY185" i="6" s="1"/>
  <c r="BA185" i="6"/>
  <c r="AV186" i="6"/>
  <c r="AW186" i="6"/>
  <c r="AZ186" i="6" s="1"/>
  <c r="AX186" i="6"/>
  <c r="AY186" i="6"/>
  <c r="BA186" i="6" s="1"/>
  <c r="AV187" i="6"/>
  <c r="AW187" i="6"/>
  <c r="AZ187" i="6" s="1"/>
  <c r="AX187" i="6"/>
  <c r="AY187" i="6" s="1"/>
  <c r="BA187" i="6" s="1"/>
  <c r="AV188" i="6"/>
  <c r="AW188" i="6" s="1"/>
  <c r="AX188" i="6"/>
  <c r="AY188" i="6"/>
  <c r="AZ188" i="6"/>
  <c r="BA188" i="6"/>
  <c r="AV189" i="6"/>
  <c r="AW189" i="6"/>
  <c r="AX189" i="6"/>
  <c r="AY189" i="6" s="1"/>
  <c r="BA189" i="6" s="1"/>
  <c r="AZ189" i="6"/>
  <c r="AV190" i="6"/>
  <c r="AW190" i="6"/>
  <c r="AZ190" i="6" s="1"/>
  <c r="AX190" i="6"/>
  <c r="AY190" i="6" s="1"/>
  <c r="BA190" i="6" s="1"/>
  <c r="AV191" i="6"/>
  <c r="AW191" i="6"/>
  <c r="AX191" i="6"/>
  <c r="AY191" i="6"/>
  <c r="AZ191" i="6"/>
  <c r="BA191" i="6"/>
  <c r="AV192" i="6"/>
  <c r="AW192" i="6" s="1"/>
  <c r="AX192" i="6"/>
  <c r="AY192" i="6" s="1"/>
  <c r="BA192" i="6" s="1"/>
  <c r="AZ192" i="6"/>
  <c r="AV193" i="6"/>
  <c r="AW193" i="6"/>
  <c r="AZ193" i="6" s="1"/>
  <c r="AX193" i="6"/>
  <c r="AY193" i="6" s="1"/>
  <c r="BA193" i="6" s="1"/>
  <c r="AV194" i="6"/>
  <c r="AW194" i="6"/>
  <c r="AX194" i="6"/>
  <c r="AY194" i="6"/>
  <c r="BA194" i="6" s="1"/>
  <c r="AZ194" i="6"/>
  <c r="AV195" i="6"/>
  <c r="AW195" i="6" s="1"/>
  <c r="AZ195" i="6" s="1"/>
  <c r="AX195" i="6"/>
  <c r="AY195" i="6" s="1"/>
  <c r="BA195" i="6" s="1"/>
  <c r="AV196" i="6"/>
  <c r="AW196" i="6" s="1"/>
  <c r="AZ196" i="6" s="1"/>
  <c r="AX196" i="6"/>
  <c r="AY196" i="6"/>
  <c r="BA196" i="6" s="1"/>
  <c r="AV197" i="6"/>
  <c r="AW197" i="6"/>
  <c r="AZ197" i="6" s="1"/>
  <c r="AX197" i="6"/>
  <c r="AY197" i="6" s="1"/>
  <c r="BA197" i="6"/>
  <c r="AV198" i="6"/>
  <c r="AW198" i="6" s="1"/>
  <c r="AZ198" i="6" s="1"/>
  <c r="AX198" i="6"/>
  <c r="AY198" i="6" s="1"/>
  <c r="BA198" i="6" s="1"/>
  <c r="AV199" i="6"/>
  <c r="AW199" i="6"/>
  <c r="AZ199" i="6" s="1"/>
  <c r="AX199" i="6"/>
  <c r="AY199" i="6"/>
  <c r="BA199" i="6" s="1"/>
  <c r="AV200" i="6"/>
  <c r="AW200" i="6" s="1"/>
  <c r="AX200" i="6"/>
  <c r="AY200" i="6" s="1"/>
  <c r="BA200" i="6" s="1"/>
  <c r="AZ200" i="6"/>
  <c r="AV201" i="6"/>
  <c r="AW201" i="6" s="1"/>
  <c r="AZ201" i="6" s="1"/>
  <c r="AX201" i="6"/>
  <c r="AY201" i="6" s="1"/>
  <c r="BA201" i="6" s="1"/>
  <c r="AV202" i="6"/>
  <c r="AW202" i="6"/>
  <c r="AZ202" i="6" s="1"/>
  <c r="AX202" i="6"/>
  <c r="AY202" i="6" s="1"/>
  <c r="BA202" i="6" s="1"/>
  <c r="AL8" i="6"/>
  <c r="AM8" i="6"/>
  <c r="AL9" i="6"/>
  <c r="AM9" i="6"/>
  <c r="AL10" i="6"/>
  <c r="AM10" i="6"/>
  <c r="AL11" i="6"/>
  <c r="AM11" i="6"/>
  <c r="AL12" i="6"/>
  <c r="AM12" i="6"/>
  <c r="AL13" i="6"/>
  <c r="AM13" i="6"/>
  <c r="AL14" i="6"/>
  <c r="AM14" i="6"/>
  <c r="AL15" i="6"/>
  <c r="AM15" i="6"/>
  <c r="AL16" i="6"/>
  <c r="AM16" i="6"/>
  <c r="AL17" i="6"/>
  <c r="AM17" i="6"/>
  <c r="AL18" i="6"/>
  <c r="AM18" i="6"/>
  <c r="AL19" i="6"/>
  <c r="AM19" i="6"/>
  <c r="AL20" i="6"/>
  <c r="AM20" i="6"/>
  <c r="AL21" i="6"/>
  <c r="AM21" i="6"/>
  <c r="AL22" i="6"/>
  <c r="AM22" i="6"/>
  <c r="AL23" i="6"/>
  <c r="AM23" i="6"/>
  <c r="AL24" i="6"/>
  <c r="AM24" i="6"/>
  <c r="AL25" i="6"/>
  <c r="AM25" i="6"/>
  <c r="AL26" i="6"/>
  <c r="AM26" i="6"/>
  <c r="AL27" i="6"/>
  <c r="AM27" i="6"/>
  <c r="AL28" i="6"/>
  <c r="AM28" i="6"/>
  <c r="AL29" i="6"/>
  <c r="AM29" i="6"/>
  <c r="AL30" i="6"/>
  <c r="AM30" i="6"/>
  <c r="AL31" i="6"/>
  <c r="AM31" i="6"/>
  <c r="AL32" i="6"/>
  <c r="AM32" i="6"/>
  <c r="AL33" i="6"/>
  <c r="AM33" i="6"/>
  <c r="AL34" i="6"/>
  <c r="AM34" i="6"/>
  <c r="AL35" i="6"/>
  <c r="AM35" i="6"/>
  <c r="AL36" i="6"/>
  <c r="AM36" i="6"/>
  <c r="AL37" i="6"/>
  <c r="AM37" i="6"/>
  <c r="AL38" i="6"/>
  <c r="AM38" i="6"/>
  <c r="AL39" i="6"/>
  <c r="AM39" i="6"/>
  <c r="AL40" i="6"/>
  <c r="AM40" i="6"/>
  <c r="AL41" i="6"/>
  <c r="AM41" i="6"/>
  <c r="AL42" i="6"/>
  <c r="AM42" i="6"/>
  <c r="AL43" i="6"/>
  <c r="AM43" i="6"/>
  <c r="AL44" i="6"/>
  <c r="AM44" i="6"/>
  <c r="AL45" i="6"/>
  <c r="AM45" i="6"/>
  <c r="AL46" i="6"/>
  <c r="AM46" i="6"/>
  <c r="AL47" i="6"/>
  <c r="AM47" i="6"/>
  <c r="AL48" i="6"/>
  <c r="AM48" i="6"/>
  <c r="AL49" i="6"/>
  <c r="AM49" i="6"/>
  <c r="AL50" i="6"/>
  <c r="AM50" i="6"/>
  <c r="AL51" i="6"/>
  <c r="AM51" i="6"/>
  <c r="AL52" i="6"/>
  <c r="AM52" i="6"/>
  <c r="AL53" i="6"/>
  <c r="AM53" i="6"/>
  <c r="AL54" i="6"/>
  <c r="AM54" i="6"/>
  <c r="AL55" i="6"/>
  <c r="AM55" i="6"/>
  <c r="AL56" i="6"/>
  <c r="AM56" i="6"/>
  <c r="AL57" i="6"/>
  <c r="AM57" i="6"/>
  <c r="AL58" i="6"/>
  <c r="AM58" i="6"/>
  <c r="AL59" i="6"/>
  <c r="AM59" i="6"/>
  <c r="AL60" i="6"/>
  <c r="AM60" i="6"/>
  <c r="AL61" i="6"/>
  <c r="AM61" i="6"/>
  <c r="AL62" i="6"/>
  <c r="AM62" i="6"/>
  <c r="AL63" i="6"/>
  <c r="AM63" i="6"/>
  <c r="AL64" i="6"/>
  <c r="AM64" i="6"/>
  <c r="AL65" i="6"/>
  <c r="AM65" i="6"/>
  <c r="AL66" i="6"/>
  <c r="AM66" i="6"/>
  <c r="AL67" i="6"/>
  <c r="AM67" i="6"/>
  <c r="AL68" i="6"/>
  <c r="AM68" i="6"/>
  <c r="AL69" i="6"/>
  <c r="AM69" i="6"/>
  <c r="AL70" i="6"/>
  <c r="AM70" i="6"/>
  <c r="AL71" i="6"/>
  <c r="AM71" i="6"/>
  <c r="AL72" i="6"/>
  <c r="AM72" i="6"/>
  <c r="AL73" i="6"/>
  <c r="AM73" i="6"/>
  <c r="AL74" i="6"/>
  <c r="AM74" i="6"/>
  <c r="AL75" i="6"/>
  <c r="AM75" i="6"/>
  <c r="AL76" i="6"/>
  <c r="AM76" i="6"/>
  <c r="AL77" i="6"/>
  <c r="AM77" i="6"/>
  <c r="AL78" i="6"/>
  <c r="AM78" i="6"/>
  <c r="AL79" i="6"/>
  <c r="AM79" i="6"/>
  <c r="AL80" i="6"/>
  <c r="AM80" i="6"/>
  <c r="AL81" i="6"/>
  <c r="AM81" i="6"/>
  <c r="AL82" i="6"/>
  <c r="AM82" i="6"/>
  <c r="AL83" i="6"/>
  <c r="AM83" i="6"/>
  <c r="AL84" i="6"/>
  <c r="AM84" i="6"/>
  <c r="AL85" i="6"/>
  <c r="AM85" i="6"/>
  <c r="AL86" i="6"/>
  <c r="AM86" i="6"/>
  <c r="AL87" i="6"/>
  <c r="AM87" i="6"/>
  <c r="AL88" i="6"/>
  <c r="AM88" i="6"/>
  <c r="AL89" i="6"/>
  <c r="AM89" i="6"/>
  <c r="AL90" i="6"/>
  <c r="AM90" i="6"/>
  <c r="AL91" i="6"/>
  <c r="AM91" i="6"/>
  <c r="AL92" i="6"/>
  <c r="AM92" i="6"/>
  <c r="AL93" i="6"/>
  <c r="AM93" i="6"/>
  <c r="AL94" i="6"/>
  <c r="AM94" i="6"/>
  <c r="AL95" i="6"/>
  <c r="AM95" i="6"/>
  <c r="AL96" i="6"/>
  <c r="AM96" i="6"/>
  <c r="AL97" i="6"/>
  <c r="AM97" i="6"/>
  <c r="AL98" i="6"/>
  <c r="AM98" i="6"/>
  <c r="AL99" i="6"/>
  <c r="AM99" i="6"/>
  <c r="AL100" i="6"/>
  <c r="AM100" i="6"/>
  <c r="AL101" i="6"/>
  <c r="AM101" i="6"/>
  <c r="AL102" i="6"/>
  <c r="AM102" i="6"/>
  <c r="AL103" i="6"/>
  <c r="AM103" i="6"/>
  <c r="AL104" i="6"/>
  <c r="AM104" i="6"/>
  <c r="AL105" i="6"/>
  <c r="AM105" i="6"/>
  <c r="AL106" i="6"/>
  <c r="AM106" i="6"/>
  <c r="AL107" i="6"/>
  <c r="AM107" i="6"/>
  <c r="AL108" i="6"/>
  <c r="AM108" i="6"/>
  <c r="AL109" i="6"/>
  <c r="AM109" i="6"/>
  <c r="AL110" i="6"/>
  <c r="AM110" i="6"/>
  <c r="AL111" i="6"/>
  <c r="AM111" i="6"/>
  <c r="AL112" i="6"/>
  <c r="AM112" i="6"/>
  <c r="AL113" i="6"/>
  <c r="AM113" i="6"/>
  <c r="AL114" i="6"/>
  <c r="AM114" i="6"/>
  <c r="AL115" i="6"/>
  <c r="AM115" i="6"/>
  <c r="AL116" i="6"/>
  <c r="AM116" i="6"/>
  <c r="AL117" i="6"/>
  <c r="AM117" i="6"/>
  <c r="AL118" i="6"/>
  <c r="AM118" i="6"/>
  <c r="AL119" i="6"/>
  <c r="AM119" i="6"/>
  <c r="AL120" i="6"/>
  <c r="AM120" i="6"/>
  <c r="AL121" i="6"/>
  <c r="AM121" i="6"/>
  <c r="AL122" i="6"/>
  <c r="AM122" i="6"/>
  <c r="AL123" i="6"/>
  <c r="AM123" i="6"/>
  <c r="AL124" i="6"/>
  <c r="AM124" i="6"/>
  <c r="AL125" i="6"/>
  <c r="AM125" i="6"/>
  <c r="AL126" i="6"/>
  <c r="AM126" i="6"/>
  <c r="AL127" i="6"/>
  <c r="AM127" i="6"/>
  <c r="AL128" i="6"/>
  <c r="AM128" i="6"/>
  <c r="AL129" i="6"/>
  <c r="AM129" i="6"/>
  <c r="AL130" i="6"/>
  <c r="AM130" i="6"/>
  <c r="AL131" i="6"/>
  <c r="AM131" i="6"/>
  <c r="AL132" i="6"/>
  <c r="AM132" i="6"/>
  <c r="AL133" i="6"/>
  <c r="AM133" i="6"/>
  <c r="AL134" i="6"/>
  <c r="AM134" i="6"/>
  <c r="AL135" i="6"/>
  <c r="AM135" i="6"/>
  <c r="AL136" i="6"/>
  <c r="AM136" i="6"/>
  <c r="AL137" i="6"/>
  <c r="AM137" i="6"/>
  <c r="AL138" i="6"/>
  <c r="AM138" i="6"/>
  <c r="AL139" i="6"/>
  <c r="AM139" i="6"/>
  <c r="AL140" i="6"/>
  <c r="AM140" i="6"/>
  <c r="AL141" i="6"/>
  <c r="AM141" i="6"/>
  <c r="AL142" i="6"/>
  <c r="AM142" i="6"/>
  <c r="AL143" i="6"/>
  <c r="AM143" i="6"/>
  <c r="AL144" i="6"/>
  <c r="AM144" i="6"/>
  <c r="AL145" i="6"/>
  <c r="AM145" i="6"/>
  <c r="AL146" i="6"/>
  <c r="AM146" i="6"/>
  <c r="AL147" i="6"/>
  <c r="AM147" i="6"/>
  <c r="AL148" i="6"/>
  <c r="AM148" i="6"/>
  <c r="AL149" i="6"/>
  <c r="AM149" i="6"/>
  <c r="AL150" i="6"/>
  <c r="AM150" i="6"/>
  <c r="AL151" i="6"/>
  <c r="AM151" i="6"/>
  <c r="AL152" i="6"/>
  <c r="AM152" i="6"/>
  <c r="AL153" i="6"/>
  <c r="AM153" i="6"/>
  <c r="AL154" i="6"/>
  <c r="AM154" i="6"/>
  <c r="AL155" i="6"/>
  <c r="AM155" i="6"/>
  <c r="AL156" i="6"/>
  <c r="AM156" i="6"/>
  <c r="AL157" i="6"/>
  <c r="AM157" i="6"/>
  <c r="AL158" i="6"/>
  <c r="AM158" i="6"/>
  <c r="AL159" i="6"/>
  <c r="AM159" i="6"/>
  <c r="AL160" i="6"/>
  <c r="AM160" i="6"/>
  <c r="AL161" i="6"/>
  <c r="AM161" i="6"/>
  <c r="AL162" i="6"/>
  <c r="AM162" i="6"/>
  <c r="AL163" i="6"/>
  <c r="AM163" i="6"/>
  <c r="AL164" i="6"/>
  <c r="AM164" i="6"/>
  <c r="AL165" i="6"/>
  <c r="AM165" i="6"/>
  <c r="AL166" i="6"/>
  <c r="AM166" i="6"/>
  <c r="AL167" i="6"/>
  <c r="AM167" i="6"/>
  <c r="AL168" i="6"/>
  <c r="AM168" i="6"/>
  <c r="AL169" i="6"/>
  <c r="AM169" i="6"/>
  <c r="AL170" i="6"/>
  <c r="AM170" i="6"/>
  <c r="AL171" i="6"/>
  <c r="AM171" i="6"/>
  <c r="AL172" i="6"/>
  <c r="AM172" i="6"/>
  <c r="AL173" i="6"/>
  <c r="AM173" i="6"/>
  <c r="AL174" i="6"/>
  <c r="AM174" i="6"/>
  <c r="AL175" i="6"/>
  <c r="AM175" i="6"/>
  <c r="AL176" i="6"/>
  <c r="AM176" i="6"/>
  <c r="AL177" i="6"/>
  <c r="AM177" i="6"/>
  <c r="AL178" i="6"/>
  <c r="AM178" i="6"/>
  <c r="AL179" i="6"/>
  <c r="AM179" i="6"/>
  <c r="AL180" i="6"/>
  <c r="AM180" i="6"/>
  <c r="AL181" i="6"/>
  <c r="AM181" i="6"/>
  <c r="AL182" i="6"/>
  <c r="AM182" i="6"/>
  <c r="AL183" i="6"/>
  <c r="AM183" i="6"/>
  <c r="AL184" i="6"/>
  <c r="AM184" i="6"/>
  <c r="AL185" i="6"/>
  <c r="AM185" i="6"/>
  <c r="AL186" i="6"/>
  <c r="AM186" i="6"/>
  <c r="AL187" i="6"/>
  <c r="AM187" i="6"/>
  <c r="AL188" i="6"/>
  <c r="AM188" i="6"/>
  <c r="AL189" i="6"/>
  <c r="AM189" i="6"/>
  <c r="AL190" i="6"/>
  <c r="AM190" i="6"/>
  <c r="AL191" i="6"/>
  <c r="AM191" i="6"/>
  <c r="AL192" i="6"/>
  <c r="AM192" i="6"/>
  <c r="AL193" i="6"/>
  <c r="AM193" i="6"/>
  <c r="AL194" i="6"/>
  <c r="AM194" i="6"/>
  <c r="AL195" i="6"/>
  <c r="AM195" i="6"/>
  <c r="AL196" i="6"/>
  <c r="AM196" i="6"/>
  <c r="AL197" i="6"/>
  <c r="AM197" i="6"/>
  <c r="AL198" i="6"/>
  <c r="AM198" i="6"/>
  <c r="AL199" i="6"/>
  <c r="AM199" i="6"/>
  <c r="AL200" i="6"/>
  <c r="AM200" i="6"/>
  <c r="AL201" i="6"/>
  <c r="AM201" i="6"/>
  <c r="AL202" i="6"/>
  <c r="AM202" i="6"/>
  <c r="AL203" i="6"/>
  <c r="AM203" i="6"/>
  <c r="AL204" i="6"/>
  <c r="AM204" i="6"/>
  <c r="AL205" i="6"/>
  <c r="AM205" i="6"/>
  <c r="AL206" i="6"/>
  <c r="AM206" i="6"/>
  <c r="AF8" i="6"/>
  <c r="AG8" i="6"/>
  <c r="AH8" i="6"/>
  <c r="AI8" i="6"/>
  <c r="AF9" i="6"/>
  <c r="AG9" i="6"/>
  <c r="AH9" i="6"/>
  <c r="AI9" i="6"/>
  <c r="AF10" i="6"/>
  <c r="AG10" i="6"/>
  <c r="AH10" i="6"/>
  <c r="AI10" i="6"/>
  <c r="AF11" i="6"/>
  <c r="AG11" i="6"/>
  <c r="AH11" i="6"/>
  <c r="AI11" i="6"/>
  <c r="AF12" i="6"/>
  <c r="AG12" i="6"/>
  <c r="AH12" i="6"/>
  <c r="AI12" i="6"/>
  <c r="AF13" i="6"/>
  <c r="AG13" i="6"/>
  <c r="AH13" i="6"/>
  <c r="AI13" i="6"/>
  <c r="AF14" i="6"/>
  <c r="AG14" i="6"/>
  <c r="AH14" i="6"/>
  <c r="AI14" i="6"/>
  <c r="AF15" i="6"/>
  <c r="AG15" i="6"/>
  <c r="AH15" i="6"/>
  <c r="AI15" i="6"/>
  <c r="AF16" i="6"/>
  <c r="AG16" i="6"/>
  <c r="AH16" i="6"/>
  <c r="AI16" i="6"/>
  <c r="AF17" i="6"/>
  <c r="AG17" i="6"/>
  <c r="AH17" i="6"/>
  <c r="AI17" i="6"/>
  <c r="AF18" i="6"/>
  <c r="AG18" i="6"/>
  <c r="AH18" i="6"/>
  <c r="AI18" i="6"/>
  <c r="AF19" i="6"/>
  <c r="AG19" i="6"/>
  <c r="AH19" i="6"/>
  <c r="AI19" i="6"/>
  <c r="AF20" i="6"/>
  <c r="AG20" i="6"/>
  <c r="AH20" i="6"/>
  <c r="AI20" i="6"/>
  <c r="AF21" i="6"/>
  <c r="AG21" i="6"/>
  <c r="AH21" i="6"/>
  <c r="AI21" i="6"/>
  <c r="AF22" i="6"/>
  <c r="AG22" i="6"/>
  <c r="AH22" i="6"/>
  <c r="AI22" i="6"/>
  <c r="AF23" i="6"/>
  <c r="AG23" i="6"/>
  <c r="AH23" i="6"/>
  <c r="AI23" i="6"/>
  <c r="AF24" i="6"/>
  <c r="AG24" i="6"/>
  <c r="AH24" i="6"/>
  <c r="AI24" i="6"/>
  <c r="AF25" i="6"/>
  <c r="AG25" i="6"/>
  <c r="AH25" i="6"/>
  <c r="AI25" i="6"/>
  <c r="AF26" i="6"/>
  <c r="AG26" i="6"/>
  <c r="AH26" i="6"/>
  <c r="AI26" i="6"/>
  <c r="AF27" i="6"/>
  <c r="AG27" i="6"/>
  <c r="AH27" i="6"/>
  <c r="AI27" i="6"/>
  <c r="AF28" i="6"/>
  <c r="AG28" i="6"/>
  <c r="AH28" i="6"/>
  <c r="AI28" i="6"/>
  <c r="AF29" i="6"/>
  <c r="AG29" i="6"/>
  <c r="AH29" i="6"/>
  <c r="AI29" i="6"/>
  <c r="AF30" i="6"/>
  <c r="AG30" i="6"/>
  <c r="AH30" i="6"/>
  <c r="AI30" i="6"/>
  <c r="AF31" i="6"/>
  <c r="AG31" i="6"/>
  <c r="AH31" i="6"/>
  <c r="AI31" i="6"/>
  <c r="AF32" i="6"/>
  <c r="AG32" i="6"/>
  <c r="AH32" i="6"/>
  <c r="AI32" i="6"/>
  <c r="AF33" i="6"/>
  <c r="AG33" i="6"/>
  <c r="AH33" i="6"/>
  <c r="AI33" i="6"/>
  <c r="AF34" i="6"/>
  <c r="AG34" i="6"/>
  <c r="AH34" i="6"/>
  <c r="AI34" i="6"/>
  <c r="AF35" i="6"/>
  <c r="AG35" i="6"/>
  <c r="AH35" i="6"/>
  <c r="AI35" i="6"/>
  <c r="AF36" i="6"/>
  <c r="AG36" i="6"/>
  <c r="AH36" i="6"/>
  <c r="AI36" i="6"/>
  <c r="AF37" i="6"/>
  <c r="AG37" i="6"/>
  <c r="AH37" i="6"/>
  <c r="AI37" i="6"/>
  <c r="AF38" i="6"/>
  <c r="AG38" i="6"/>
  <c r="AH38" i="6"/>
  <c r="AI38" i="6"/>
  <c r="AF39" i="6"/>
  <c r="AG39" i="6"/>
  <c r="AH39" i="6"/>
  <c r="AI39" i="6"/>
  <c r="AF40" i="6"/>
  <c r="AG40" i="6"/>
  <c r="AH40" i="6"/>
  <c r="AI40" i="6"/>
  <c r="AF41" i="6"/>
  <c r="AG41" i="6"/>
  <c r="AH41" i="6"/>
  <c r="AI41" i="6"/>
  <c r="AF42" i="6"/>
  <c r="AG42" i="6"/>
  <c r="AH42" i="6"/>
  <c r="AI42" i="6"/>
  <c r="AF43" i="6"/>
  <c r="AG43" i="6"/>
  <c r="AH43" i="6"/>
  <c r="AI43" i="6"/>
  <c r="AF44" i="6"/>
  <c r="AG44" i="6"/>
  <c r="AH44" i="6"/>
  <c r="AI44" i="6"/>
  <c r="AF45" i="6"/>
  <c r="AG45" i="6"/>
  <c r="AH45" i="6"/>
  <c r="AI45" i="6"/>
  <c r="AF46" i="6"/>
  <c r="AG46" i="6"/>
  <c r="AH46" i="6"/>
  <c r="AI46" i="6"/>
  <c r="AF47" i="6"/>
  <c r="AG47" i="6"/>
  <c r="AH47" i="6"/>
  <c r="AI47" i="6"/>
  <c r="AF48" i="6"/>
  <c r="AG48" i="6"/>
  <c r="AH48" i="6"/>
  <c r="AI48" i="6"/>
  <c r="AF49" i="6"/>
  <c r="AG49" i="6"/>
  <c r="AH49" i="6"/>
  <c r="AI49" i="6"/>
  <c r="AF50" i="6"/>
  <c r="AG50" i="6"/>
  <c r="AH50" i="6"/>
  <c r="AI50" i="6"/>
  <c r="AF51" i="6"/>
  <c r="AG51" i="6"/>
  <c r="AH51" i="6"/>
  <c r="AI51" i="6"/>
  <c r="AF52" i="6"/>
  <c r="AG52" i="6"/>
  <c r="AH52" i="6"/>
  <c r="AI52" i="6"/>
  <c r="AF53" i="6"/>
  <c r="AG53" i="6"/>
  <c r="AH53" i="6"/>
  <c r="AI53" i="6"/>
  <c r="AF54" i="6"/>
  <c r="AG54" i="6"/>
  <c r="AH54" i="6"/>
  <c r="AI54" i="6"/>
  <c r="AF55" i="6"/>
  <c r="AG55" i="6"/>
  <c r="AH55" i="6"/>
  <c r="AI55" i="6"/>
  <c r="AF56" i="6"/>
  <c r="AG56" i="6"/>
  <c r="AH56" i="6"/>
  <c r="AI56" i="6"/>
  <c r="AF57" i="6"/>
  <c r="AG57" i="6"/>
  <c r="AH57" i="6"/>
  <c r="AI57" i="6"/>
  <c r="AF58" i="6"/>
  <c r="AG58" i="6"/>
  <c r="AH58" i="6"/>
  <c r="AI58" i="6"/>
  <c r="AF59" i="6"/>
  <c r="AG59" i="6"/>
  <c r="AH59" i="6"/>
  <c r="AI59" i="6"/>
  <c r="AF60" i="6"/>
  <c r="AG60" i="6"/>
  <c r="AH60" i="6"/>
  <c r="AI60" i="6"/>
  <c r="AF61" i="6"/>
  <c r="AG61" i="6"/>
  <c r="AH61" i="6"/>
  <c r="AI61" i="6"/>
  <c r="AF62" i="6"/>
  <c r="AG62" i="6"/>
  <c r="AH62" i="6"/>
  <c r="AI62" i="6"/>
  <c r="AF63" i="6"/>
  <c r="AG63" i="6"/>
  <c r="AH63" i="6"/>
  <c r="AI63" i="6"/>
  <c r="AF64" i="6"/>
  <c r="AG64" i="6"/>
  <c r="AH64" i="6"/>
  <c r="AI64" i="6"/>
  <c r="AF65" i="6"/>
  <c r="AG65" i="6"/>
  <c r="AH65" i="6"/>
  <c r="AI65" i="6"/>
  <c r="AF66" i="6"/>
  <c r="AG66" i="6"/>
  <c r="AH66" i="6"/>
  <c r="AI66" i="6"/>
  <c r="AF67" i="6"/>
  <c r="AG67" i="6"/>
  <c r="AH67" i="6"/>
  <c r="AI67" i="6"/>
  <c r="AF68" i="6"/>
  <c r="AG68" i="6"/>
  <c r="AH68" i="6"/>
  <c r="AI68" i="6"/>
  <c r="AF69" i="6"/>
  <c r="AG69" i="6"/>
  <c r="AH69" i="6"/>
  <c r="AI69" i="6"/>
  <c r="AF70" i="6"/>
  <c r="AG70" i="6"/>
  <c r="AH70" i="6"/>
  <c r="AI70" i="6"/>
  <c r="AF71" i="6"/>
  <c r="AG71" i="6"/>
  <c r="AH71" i="6"/>
  <c r="AI71" i="6"/>
  <c r="AF72" i="6"/>
  <c r="AG72" i="6"/>
  <c r="AH72" i="6"/>
  <c r="AI72" i="6"/>
  <c r="AF73" i="6"/>
  <c r="AG73" i="6"/>
  <c r="AH73" i="6"/>
  <c r="AI73" i="6"/>
  <c r="AF74" i="6"/>
  <c r="AG74" i="6"/>
  <c r="AH74" i="6"/>
  <c r="AI74" i="6"/>
  <c r="AF75" i="6"/>
  <c r="AG75" i="6"/>
  <c r="AH75" i="6"/>
  <c r="AI75" i="6"/>
  <c r="AF76" i="6"/>
  <c r="AG76" i="6"/>
  <c r="AH76" i="6"/>
  <c r="AI76" i="6"/>
  <c r="AF77" i="6"/>
  <c r="AG77" i="6"/>
  <c r="AH77" i="6"/>
  <c r="AI77" i="6"/>
  <c r="AF78" i="6"/>
  <c r="AG78" i="6"/>
  <c r="AH78" i="6"/>
  <c r="AI78" i="6"/>
  <c r="AF79" i="6"/>
  <c r="AG79" i="6"/>
  <c r="AH79" i="6"/>
  <c r="AI79" i="6"/>
  <c r="AF80" i="6"/>
  <c r="AG80" i="6"/>
  <c r="AH80" i="6"/>
  <c r="AI80" i="6"/>
  <c r="AF81" i="6"/>
  <c r="AG81" i="6"/>
  <c r="AH81" i="6"/>
  <c r="AI81" i="6"/>
  <c r="AF82" i="6"/>
  <c r="AG82" i="6"/>
  <c r="AH82" i="6"/>
  <c r="AI82" i="6"/>
  <c r="AF83" i="6"/>
  <c r="AG83" i="6"/>
  <c r="AH83" i="6"/>
  <c r="AI83" i="6"/>
  <c r="AF84" i="6"/>
  <c r="AG84" i="6"/>
  <c r="AH84" i="6"/>
  <c r="AI84" i="6"/>
  <c r="AF85" i="6"/>
  <c r="AG85" i="6"/>
  <c r="AH85" i="6"/>
  <c r="AI85" i="6"/>
  <c r="AF86" i="6"/>
  <c r="AG86" i="6"/>
  <c r="AH86" i="6"/>
  <c r="AI86" i="6"/>
  <c r="AF87" i="6"/>
  <c r="AG87" i="6"/>
  <c r="AH87" i="6"/>
  <c r="AI87" i="6"/>
  <c r="AF88" i="6"/>
  <c r="AG88" i="6"/>
  <c r="AH88" i="6"/>
  <c r="AI88" i="6"/>
  <c r="AF89" i="6"/>
  <c r="AG89" i="6"/>
  <c r="AH89" i="6"/>
  <c r="AI89" i="6"/>
  <c r="AF90" i="6"/>
  <c r="AG90" i="6"/>
  <c r="AH90" i="6"/>
  <c r="AI90" i="6"/>
  <c r="AF91" i="6"/>
  <c r="AG91" i="6"/>
  <c r="AH91" i="6"/>
  <c r="AI91" i="6"/>
  <c r="AF92" i="6"/>
  <c r="AG92" i="6"/>
  <c r="AH92" i="6"/>
  <c r="AI92" i="6"/>
  <c r="AF93" i="6"/>
  <c r="AG93" i="6"/>
  <c r="AH93" i="6"/>
  <c r="AI93" i="6"/>
  <c r="AF94" i="6"/>
  <c r="AG94" i="6"/>
  <c r="AH94" i="6"/>
  <c r="AI94" i="6"/>
  <c r="AF95" i="6"/>
  <c r="AG95" i="6"/>
  <c r="AH95" i="6"/>
  <c r="AI95" i="6"/>
  <c r="AF96" i="6"/>
  <c r="AG96" i="6"/>
  <c r="AH96" i="6"/>
  <c r="AI96" i="6"/>
  <c r="AF97" i="6"/>
  <c r="AG97" i="6"/>
  <c r="AH97" i="6"/>
  <c r="AI97" i="6"/>
  <c r="AF98" i="6"/>
  <c r="AG98" i="6"/>
  <c r="AH98" i="6"/>
  <c r="AI98" i="6"/>
  <c r="AF99" i="6"/>
  <c r="AG99" i="6"/>
  <c r="AH99" i="6"/>
  <c r="AI99" i="6"/>
  <c r="AF100" i="6"/>
  <c r="AG100" i="6"/>
  <c r="AH100" i="6"/>
  <c r="AI100" i="6"/>
  <c r="AF101" i="6"/>
  <c r="AG101" i="6"/>
  <c r="AH101" i="6"/>
  <c r="AI101" i="6"/>
  <c r="AF102" i="6"/>
  <c r="AG102" i="6"/>
  <c r="AH102" i="6"/>
  <c r="AI102" i="6"/>
  <c r="AF103" i="6"/>
  <c r="AG103" i="6"/>
  <c r="AH103" i="6"/>
  <c r="AI103" i="6"/>
  <c r="AF104" i="6"/>
  <c r="AG104" i="6"/>
  <c r="AH104" i="6"/>
  <c r="AI104" i="6"/>
  <c r="AF105" i="6"/>
  <c r="AG105" i="6"/>
  <c r="AH105" i="6"/>
  <c r="AI105" i="6"/>
  <c r="AF106" i="6"/>
  <c r="AG106" i="6"/>
  <c r="AH106" i="6"/>
  <c r="AI106" i="6"/>
  <c r="AF107" i="6"/>
  <c r="AG107" i="6"/>
  <c r="AH107" i="6"/>
  <c r="AI107" i="6"/>
  <c r="AF108" i="6"/>
  <c r="AG108" i="6"/>
  <c r="AH108" i="6"/>
  <c r="AI108" i="6"/>
  <c r="AF109" i="6"/>
  <c r="AG109" i="6"/>
  <c r="AH109" i="6"/>
  <c r="AI109" i="6"/>
  <c r="AF110" i="6"/>
  <c r="AG110" i="6"/>
  <c r="AH110" i="6"/>
  <c r="AI110" i="6"/>
  <c r="AF111" i="6"/>
  <c r="AG111" i="6"/>
  <c r="AH111" i="6"/>
  <c r="AI111" i="6"/>
  <c r="AF112" i="6"/>
  <c r="AG112" i="6"/>
  <c r="AH112" i="6"/>
  <c r="AI112" i="6"/>
  <c r="AF113" i="6"/>
  <c r="AG113" i="6"/>
  <c r="AH113" i="6"/>
  <c r="AI113" i="6"/>
  <c r="AF114" i="6"/>
  <c r="AG114" i="6"/>
  <c r="AH114" i="6"/>
  <c r="AI114" i="6"/>
  <c r="AF115" i="6"/>
  <c r="AG115" i="6"/>
  <c r="AH115" i="6"/>
  <c r="AI115" i="6"/>
  <c r="AF116" i="6"/>
  <c r="AG116" i="6"/>
  <c r="AH116" i="6"/>
  <c r="AI116" i="6"/>
  <c r="AF117" i="6"/>
  <c r="AG117" i="6"/>
  <c r="AH117" i="6"/>
  <c r="AI117" i="6"/>
  <c r="AF118" i="6"/>
  <c r="AG118" i="6"/>
  <c r="AH118" i="6"/>
  <c r="AI118" i="6"/>
  <c r="AF119" i="6"/>
  <c r="AG119" i="6"/>
  <c r="AH119" i="6"/>
  <c r="AI119" i="6"/>
  <c r="AF120" i="6"/>
  <c r="AG120" i="6"/>
  <c r="AH120" i="6"/>
  <c r="AI120" i="6"/>
  <c r="AF121" i="6"/>
  <c r="AG121" i="6"/>
  <c r="AH121" i="6"/>
  <c r="AI121" i="6"/>
  <c r="AF122" i="6"/>
  <c r="AG122" i="6"/>
  <c r="AH122" i="6"/>
  <c r="AI122" i="6"/>
  <c r="AF123" i="6"/>
  <c r="AG123" i="6"/>
  <c r="AH123" i="6"/>
  <c r="AI123" i="6"/>
  <c r="AF124" i="6"/>
  <c r="AG124" i="6"/>
  <c r="AH124" i="6"/>
  <c r="AI124" i="6"/>
  <c r="AF125" i="6"/>
  <c r="AG125" i="6"/>
  <c r="AH125" i="6"/>
  <c r="AI125" i="6"/>
  <c r="AF126" i="6"/>
  <c r="AG126" i="6"/>
  <c r="AH126" i="6"/>
  <c r="AI126" i="6"/>
  <c r="AF127" i="6"/>
  <c r="AG127" i="6"/>
  <c r="AH127" i="6"/>
  <c r="AI127" i="6"/>
  <c r="AF128" i="6"/>
  <c r="AG128" i="6"/>
  <c r="AH128" i="6"/>
  <c r="AI128" i="6"/>
  <c r="AF129" i="6"/>
  <c r="AG129" i="6"/>
  <c r="AH129" i="6"/>
  <c r="AI129" i="6"/>
  <c r="AF130" i="6"/>
  <c r="AG130" i="6"/>
  <c r="AH130" i="6"/>
  <c r="AI130" i="6"/>
  <c r="AF131" i="6"/>
  <c r="AG131" i="6"/>
  <c r="AH131" i="6"/>
  <c r="AI131" i="6"/>
  <c r="AF132" i="6"/>
  <c r="AG132" i="6"/>
  <c r="AH132" i="6"/>
  <c r="AI132" i="6"/>
  <c r="AF133" i="6"/>
  <c r="AG133" i="6"/>
  <c r="AH133" i="6"/>
  <c r="AI133" i="6"/>
  <c r="AF134" i="6"/>
  <c r="AG134" i="6"/>
  <c r="AH134" i="6"/>
  <c r="AI134" i="6"/>
  <c r="AF135" i="6"/>
  <c r="AG135" i="6"/>
  <c r="AH135" i="6"/>
  <c r="AI135" i="6"/>
  <c r="AF136" i="6"/>
  <c r="AG136" i="6"/>
  <c r="AH136" i="6"/>
  <c r="AI136" i="6"/>
  <c r="AF137" i="6"/>
  <c r="AG137" i="6"/>
  <c r="AH137" i="6"/>
  <c r="AI137" i="6"/>
  <c r="AF138" i="6"/>
  <c r="AG138" i="6"/>
  <c r="AH138" i="6"/>
  <c r="AI138" i="6"/>
  <c r="AF139" i="6"/>
  <c r="AG139" i="6"/>
  <c r="AH139" i="6"/>
  <c r="AI139" i="6"/>
  <c r="AF140" i="6"/>
  <c r="AG140" i="6"/>
  <c r="AH140" i="6"/>
  <c r="AI140" i="6"/>
  <c r="AF141" i="6"/>
  <c r="AG141" i="6"/>
  <c r="AH141" i="6"/>
  <c r="AI141" i="6"/>
  <c r="AF142" i="6"/>
  <c r="AG142" i="6"/>
  <c r="AH142" i="6"/>
  <c r="AI142" i="6"/>
  <c r="AF143" i="6"/>
  <c r="AG143" i="6"/>
  <c r="AH143" i="6"/>
  <c r="AI143" i="6"/>
  <c r="AF144" i="6"/>
  <c r="AG144" i="6"/>
  <c r="AH144" i="6"/>
  <c r="AI144" i="6"/>
  <c r="AF145" i="6"/>
  <c r="AG145" i="6"/>
  <c r="AH145" i="6"/>
  <c r="AI145" i="6"/>
  <c r="AF146" i="6"/>
  <c r="AG146" i="6"/>
  <c r="AH146" i="6"/>
  <c r="AI146" i="6"/>
  <c r="AF147" i="6"/>
  <c r="AG147" i="6"/>
  <c r="AH147" i="6"/>
  <c r="AI147" i="6"/>
  <c r="AF148" i="6"/>
  <c r="AG148" i="6"/>
  <c r="AH148" i="6"/>
  <c r="AI148" i="6"/>
  <c r="AF149" i="6"/>
  <c r="AG149" i="6"/>
  <c r="AH149" i="6"/>
  <c r="AI149" i="6"/>
  <c r="AF150" i="6"/>
  <c r="AG150" i="6"/>
  <c r="AH150" i="6"/>
  <c r="AI150" i="6"/>
  <c r="AF151" i="6"/>
  <c r="AG151" i="6"/>
  <c r="AH151" i="6"/>
  <c r="AI151" i="6"/>
  <c r="AF152" i="6"/>
  <c r="AG152" i="6"/>
  <c r="AH152" i="6"/>
  <c r="AI152" i="6"/>
  <c r="AF153" i="6"/>
  <c r="AG153" i="6"/>
  <c r="AH153" i="6"/>
  <c r="AI153" i="6"/>
  <c r="AF154" i="6"/>
  <c r="AG154" i="6"/>
  <c r="AH154" i="6"/>
  <c r="AI154" i="6"/>
  <c r="AF155" i="6"/>
  <c r="AG155" i="6"/>
  <c r="AH155" i="6"/>
  <c r="AI155" i="6"/>
  <c r="AF156" i="6"/>
  <c r="AG156" i="6"/>
  <c r="AH156" i="6"/>
  <c r="AI156" i="6"/>
  <c r="AF157" i="6"/>
  <c r="AG157" i="6"/>
  <c r="AH157" i="6"/>
  <c r="AI157" i="6"/>
  <c r="AF158" i="6"/>
  <c r="AG158" i="6"/>
  <c r="AH158" i="6"/>
  <c r="AI158" i="6"/>
  <c r="AF159" i="6"/>
  <c r="AG159" i="6"/>
  <c r="AH159" i="6"/>
  <c r="AI159" i="6"/>
  <c r="AF160" i="6"/>
  <c r="AG160" i="6"/>
  <c r="AH160" i="6"/>
  <c r="AI160" i="6"/>
  <c r="AF161" i="6"/>
  <c r="AG161" i="6"/>
  <c r="AH161" i="6"/>
  <c r="AI161" i="6"/>
  <c r="AF162" i="6"/>
  <c r="AG162" i="6"/>
  <c r="AH162" i="6"/>
  <c r="AI162" i="6"/>
  <c r="AF163" i="6"/>
  <c r="AG163" i="6"/>
  <c r="AH163" i="6"/>
  <c r="AI163" i="6"/>
  <c r="AF164" i="6"/>
  <c r="AG164" i="6"/>
  <c r="AH164" i="6"/>
  <c r="AI164" i="6"/>
  <c r="AF165" i="6"/>
  <c r="AG165" i="6"/>
  <c r="AH165" i="6"/>
  <c r="AI165" i="6"/>
  <c r="AF166" i="6"/>
  <c r="AG166" i="6"/>
  <c r="AH166" i="6"/>
  <c r="AI166" i="6"/>
  <c r="AF167" i="6"/>
  <c r="AG167" i="6"/>
  <c r="AH167" i="6"/>
  <c r="AI167" i="6"/>
  <c r="AF168" i="6"/>
  <c r="AG168" i="6"/>
  <c r="AH168" i="6"/>
  <c r="AI168" i="6"/>
  <c r="AF169" i="6"/>
  <c r="AG169" i="6"/>
  <c r="AH169" i="6"/>
  <c r="AI169" i="6"/>
  <c r="AF170" i="6"/>
  <c r="AG170" i="6"/>
  <c r="AH170" i="6"/>
  <c r="AI170" i="6"/>
  <c r="AF171" i="6"/>
  <c r="AG171" i="6"/>
  <c r="AH171" i="6"/>
  <c r="AI171" i="6"/>
  <c r="AF172" i="6"/>
  <c r="AG172" i="6"/>
  <c r="AH172" i="6"/>
  <c r="AI172" i="6"/>
  <c r="AF173" i="6"/>
  <c r="AG173" i="6"/>
  <c r="AH173" i="6"/>
  <c r="AI173" i="6"/>
  <c r="AF174" i="6"/>
  <c r="AG174" i="6"/>
  <c r="AH174" i="6"/>
  <c r="AI174" i="6"/>
  <c r="AF175" i="6"/>
  <c r="AG175" i="6"/>
  <c r="AH175" i="6"/>
  <c r="AI175" i="6"/>
  <c r="AF176" i="6"/>
  <c r="AG176" i="6"/>
  <c r="AH176" i="6"/>
  <c r="AI176" i="6"/>
  <c r="AF177" i="6"/>
  <c r="AG177" i="6"/>
  <c r="AH177" i="6"/>
  <c r="AI177" i="6"/>
  <c r="AF178" i="6"/>
  <c r="AG178" i="6"/>
  <c r="AH178" i="6"/>
  <c r="AI178" i="6"/>
  <c r="AF179" i="6"/>
  <c r="AG179" i="6"/>
  <c r="AH179" i="6"/>
  <c r="AI179" i="6"/>
  <c r="AF180" i="6"/>
  <c r="AG180" i="6"/>
  <c r="AH180" i="6"/>
  <c r="AI180" i="6"/>
  <c r="AF181" i="6"/>
  <c r="AG181" i="6"/>
  <c r="AH181" i="6"/>
  <c r="AI181" i="6"/>
  <c r="AF182" i="6"/>
  <c r="AG182" i="6" s="1"/>
  <c r="AH182" i="6"/>
  <c r="AI182" i="6"/>
  <c r="AF183" i="6"/>
  <c r="AG183" i="6"/>
  <c r="AH183" i="6"/>
  <c r="AI183" i="6"/>
  <c r="AF184" i="6"/>
  <c r="AG184" i="6"/>
  <c r="AH184" i="6"/>
  <c r="AI184" i="6"/>
  <c r="AF185" i="6"/>
  <c r="AG185" i="6"/>
  <c r="AH185" i="6"/>
  <c r="AI185" i="6"/>
  <c r="AF186" i="6"/>
  <c r="AG186" i="6" s="1"/>
  <c r="AH186" i="6"/>
  <c r="AI186" i="6"/>
  <c r="AF187" i="6"/>
  <c r="AG187" i="6"/>
  <c r="AH187" i="6"/>
  <c r="AI187" i="6"/>
  <c r="AF188" i="6"/>
  <c r="AG188" i="6" s="1"/>
  <c r="AH188" i="6"/>
  <c r="AI188" i="6"/>
  <c r="AF189" i="6"/>
  <c r="AG189" i="6"/>
  <c r="AH189" i="6"/>
  <c r="AI189" i="6"/>
  <c r="AF190" i="6"/>
  <c r="AG190" i="6" s="1"/>
  <c r="AH190" i="6"/>
  <c r="AI190" i="6"/>
  <c r="AF191" i="6"/>
  <c r="AG191" i="6"/>
  <c r="AH191" i="6"/>
  <c r="AI191" i="6"/>
  <c r="AF192" i="6"/>
  <c r="AG192" i="6" s="1"/>
  <c r="AH192" i="6"/>
  <c r="AI192" i="6"/>
  <c r="AF193" i="6"/>
  <c r="AG193" i="6"/>
  <c r="AH193" i="6"/>
  <c r="AI193" i="6"/>
  <c r="AF194" i="6"/>
  <c r="AG194" i="6" s="1"/>
  <c r="AH194" i="6"/>
  <c r="AI194" i="6"/>
  <c r="AF195" i="6"/>
  <c r="AG195" i="6"/>
  <c r="AH195" i="6"/>
  <c r="AI195" i="6"/>
  <c r="AF196" i="6"/>
  <c r="AG196" i="6" s="1"/>
  <c r="AH196" i="6"/>
  <c r="AI196" i="6"/>
  <c r="AF197" i="6"/>
  <c r="AG197" i="6"/>
  <c r="AH197" i="6"/>
  <c r="AI197" i="6"/>
  <c r="AF198" i="6"/>
  <c r="AG198" i="6" s="1"/>
  <c r="AH198" i="6"/>
  <c r="AI198" i="6"/>
  <c r="AF199" i="6"/>
  <c r="AG199" i="6"/>
  <c r="AH199" i="6"/>
  <c r="AI199" i="6"/>
  <c r="AF200" i="6"/>
  <c r="AG200" i="6" s="1"/>
  <c r="AH200" i="6"/>
  <c r="AI200" i="6"/>
  <c r="AF201" i="6"/>
  <c r="AG201" i="6"/>
  <c r="AH201" i="6"/>
  <c r="AI201" i="6"/>
  <c r="AF202" i="6"/>
  <c r="AG202" i="6" s="1"/>
  <c r="AH202" i="6"/>
  <c r="AI202" i="6"/>
  <c r="AF203" i="6"/>
  <c r="AG203" i="6"/>
  <c r="AH203" i="6"/>
  <c r="AI203" i="6"/>
  <c r="AF204" i="6"/>
  <c r="AG204" i="6" s="1"/>
  <c r="AH204" i="6"/>
  <c r="AI204" i="6"/>
  <c r="V8" i="6"/>
  <c r="W8" i="6"/>
  <c r="V9" i="6"/>
  <c r="W9" i="6"/>
  <c r="V10" i="6"/>
  <c r="W10" i="6"/>
  <c r="V11" i="6"/>
  <c r="W11" i="6"/>
  <c r="V12" i="6"/>
  <c r="W12" i="6"/>
  <c r="V13" i="6"/>
  <c r="W13" i="6"/>
  <c r="V14" i="6"/>
  <c r="W14" i="6"/>
  <c r="V15" i="6"/>
  <c r="W15" i="6"/>
  <c r="V16" i="6"/>
  <c r="W16" i="6"/>
  <c r="V17" i="6"/>
  <c r="W17" i="6"/>
  <c r="V18" i="6"/>
  <c r="W18" i="6"/>
  <c r="V19" i="6"/>
  <c r="W19" i="6"/>
  <c r="V20" i="6"/>
  <c r="W20" i="6"/>
  <c r="V21" i="6"/>
  <c r="W21" i="6"/>
  <c r="V22" i="6"/>
  <c r="W22" i="6"/>
  <c r="V23" i="6"/>
  <c r="W23" i="6"/>
  <c r="V24" i="6"/>
  <c r="W24" i="6"/>
  <c r="V25" i="6"/>
  <c r="W25" i="6"/>
  <c r="V26" i="6"/>
  <c r="W26" i="6"/>
  <c r="V27" i="6"/>
  <c r="W27" i="6"/>
  <c r="V28" i="6"/>
  <c r="W28" i="6"/>
  <c r="V29" i="6"/>
  <c r="W29" i="6"/>
  <c r="V30" i="6"/>
  <c r="W30" i="6"/>
  <c r="V31" i="6"/>
  <c r="W31" i="6"/>
  <c r="V32" i="6"/>
  <c r="W32" i="6"/>
  <c r="V33" i="6"/>
  <c r="W33" i="6"/>
  <c r="V34" i="6"/>
  <c r="W34" i="6"/>
  <c r="V35" i="6"/>
  <c r="W35" i="6"/>
  <c r="V36" i="6"/>
  <c r="W36" i="6"/>
  <c r="V37" i="6"/>
  <c r="W37" i="6"/>
  <c r="V38" i="6"/>
  <c r="W38" i="6"/>
  <c r="V39" i="6"/>
  <c r="W39" i="6"/>
  <c r="V40" i="6"/>
  <c r="W40" i="6"/>
  <c r="V41" i="6"/>
  <c r="W41" i="6"/>
  <c r="V42" i="6"/>
  <c r="W42" i="6"/>
  <c r="V43" i="6"/>
  <c r="W43" i="6"/>
  <c r="V44" i="6"/>
  <c r="W44" i="6"/>
  <c r="V45" i="6"/>
  <c r="W45" i="6"/>
  <c r="V46" i="6"/>
  <c r="W46" i="6"/>
  <c r="V47" i="6"/>
  <c r="W47" i="6"/>
  <c r="V48" i="6"/>
  <c r="W48" i="6"/>
  <c r="V49" i="6"/>
  <c r="W49" i="6"/>
  <c r="V50" i="6"/>
  <c r="W50" i="6"/>
  <c r="V51" i="6"/>
  <c r="W51" i="6"/>
  <c r="V52" i="6"/>
  <c r="W52" i="6"/>
  <c r="V53" i="6"/>
  <c r="W53" i="6"/>
  <c r="V54" i="6"/>
  <c r="W54" i="6"/>
  <c r="V55" i="6"/>
  <c r="W55" i="6"/>
  <c r="V56" i="6"/>
  <c r="W56" i="6"/>
  <c r="V57" i="6"/>
  <c r="W57" i="6"/>
  <c r="V58" i="6"/>
  <c r="W58" i="6"/>
  <c r="V59" i="6"/>
  <c r="W59" i="6"/>
  <c r="V60" i="6"/>
  <c r="W60" i="6"/>
  <c r="V61" i="6"/>
  <c r="W61" i="6"/>
  <c r="V62" i="6"/>
  <c r="W62" i="6"/>
  <c r="V63" i="6"/>
  <c r="W63" i="6"/>
  <c r="V64" i="6"/>
  <c r="W64" i="6"/>
  <c r="V65" i="6"/>
  <c r="W65" i="6"/>
  <c r="V66" i="6"/>
  <c r="W66" i="6"/>
  <c r="V67" i="6"/>
  <c r="W67" i="6"/>
  <c r="V68" i="6"/>
  <c r="W68" i="6"/>
  <c r="V69" i="6"/>
  <c r="W69" i="6"/>
  <c r="V70" i="6"/>
  <c r="W70" i="6"/>
  <c r="V71" i="6"/>
  <c r="W71" i="6"/>
  <c r="V72" i="6"/>
  <c r="W72" i="6"/>
  <c r="V73" i="6"/>
  <c r="W73" i="6"/>
  <c r="V74" i="6"/>
  <c r="W74" i="6"/>
  <c r="V75" i="6"/>
  <c r="W75" i="6"/>
  <c r="V76" i="6"/>
  <c r="W76" i="6"/>
  <c r="V77" i="6"/>
  <c r="W77" i="6"/>
  <c r="V78" i="6"/>
  <c r="W78" i="6"/>
  <c r="V79" i="6"/>
  <c r="W79" i="6"/>
  <c r="V80" i="6"/>
  <c r="W80" i="6"/>
  <c r="V81" i="6"/>
  <c r="W81" i="6"/>
  <c r="V82" i="6"/>
  <c r="W82" i="6"/>
  <c r="V83" i="6"/>
  <c r="W83" i="6"/>
  <c r="V84" i="6"/>
  <c r="W84" i="6"/>
  <c r="V85" i="6"/>
  <c r="W85" i="6"/>
  <c r="V86" i="6"/>
  <c r="W86" i="6"/>
  <c r="V87" i="6"/>
  <c r="W87" i="6"/>
  <c r="V88" i="6"/>
  <c r="W88" i="6"/>
  <c r="V89" i="6"/>
  <c r="W89" i="6"/>
  <c r="V90" i="6"/>
  <c r="W90" i="6"/>
  <c r="V91" i="6"/>
  <c r="W91" i="6"/>
  <c r="V92" i="6"/>
  <c r="W92" i="6"/>
  <c r="V93" i="6"/>
  <c r="W93" i="6"/>
  <c r="V94" i="6"/>
  <c r="W94" i="6"/>
  <c r="V95" i="6"/>
  <c r="W95" i="6"/>
  <c r="V96" i="6"/>
  <c r="W96" i="6"/>
  <c r="V97" i="6"/>
  <c r="W97" i="6"/>
  <c r="V98" i="6"/>
  <c r="W98" i="6"/>
  <c r="V99" i="6"/>
  <c r="W99" i="6"/>
  <c r="V100" i="6"/>
  <c r="W100" i="6"/>
  <c r="V101" i="6"/>
  <c r="W101" i="6"/>
  <c r="V102" i="6"/>
  <c r="W102" i="6"/>
  <c r="V103" i="6"/>
  <c r="W103" i="6"/>
  <c r="V104" i="6"/>
  <c r="W104" i="6"/>
  <c r="V105" i="6"/>
  <c r="W105" i="6"/>
  <c r="V106" i="6"/>
  <c r="W106" i="6"/>
  <c r="V107" i="6"/>
  <c r="W107" i="6"/>
  <c r="V108" i="6"/>
  <c r="W108" i="6"/>
  <c r="V109" i="6"/>
  <c r="W109" i="6"/>
  <c r="V110" i="6"/>
  <c r="W110" i="6"/>
  <c r="V111" i="6"/>
  <c r="W111" i="6"/>
  <c r="V112" i="6"/>
  <c r="W112" i="6"/>
  <c r="V113" i="6"/>
  <c r="W113" i="6"/>
  <c r="V114" i="6"/>
  <c r="W114" i="6"/>
  <c r="V115" i="6"/>
  <c r="W115" i="6"/>
  <c r="V116" i="6"/>
  <c r="W116" i="6"/>
  <c r="V117" i="6"/>
  <c r="W117" i="6"/>
  <c r="V118" i="6"/>
  <c r="W118" i="6"/>
  <c r="V119" i="6"/>
  <c r="W119" i="6"/>
  <c r="V120" i="6"/>
  <c r="W120" i="6"/>
  <c r="V121" i="6"/>
  <c r="W121" i="6"/>
  <c r="V122" i="6"/>
  <c r="W122" i="6"/>
  <c r="V123" i="6"/>
  <c r="W123" i="6"/>
  <c r="V124" i="6"/>
  <c r="W124" i="6"/>
  <c r="V125" i="6"/>
  <c r="W125" i="6"/>
  <c r="V126" i="6"/>
  <c r="W126" i="6"/>
  <c r="V127" i="6"/>
  <c r="W127" i="6"/>
  <c r="V128" i="6"/>
  <c r="W128" i="6"/>
  <c r="V129" i="6"/>
  <c r="W129" i="6"/>
  <c r="V130" i="6"/>
  <c r="W130" i="6"/>
  <c r="V131" i="6"/>
  <c r="W131" i="6"/>
  <c r="V132" i="6"/>
  <c r="W132" i="6"/>
  <c r="V133" i="6"/>
  <c r="W133" i="6"/>
  <c r="V134" i="6"/>
  <c r="W134" i="6"/>
  <c r="V135" i="6"/>
  <c r="W135" i="6"/>
  <c r="V136" i="6"/>
  <c r="W136" i="6"/>
  <c r="V137" i="6"/>
  <c r="W137" i="6"/>
  <c r="V138" i="6"/>
  <c r="W138" i="6"/>
  <c r="V139" i="6"/>
  <c r="W139" i="6"/>
  <c r="V140" i="6"/>
  <c r="W140" i="6"/>
  <c r="V141" i="6"/>
  <c r="W141" i="6"/>
  <c r="V142" i="6"/>
  <c r="W142" i="6"/>
  <c r="V143" i="6"/>
  <c r="W143" i="6"/>
  <c r="V144" i="6"/>
  <c r="W144" i="6"/>
  <c r="V145" i="6"/>
  <c r="W145" i="6"/>
  <c r="V146" i="6"/>
  <c r="W146" i="6"/>
  <c r="V147" i="6"/>
  <c r="W147" i="6"/>
  <c r="V148" i="6"/>
  <c r="W148" i="6"/>
  <c r="V149" i="6"/>
  <c r="W149" i="6"/>
  <c r="V150" i="6"/>
  <c r="W150" i="6"/>
  <c r="V151" i="6"/>
  <c r="W151" i="6"/>
  <c r="V152" i="6"/>
  <c r="W152" i="6"/>
  <c r="V153" i="6"/>
  <c r="W153" i="6"/>
  <c r="V154" i="6"/>
  <c r="W154" i="6"/>
  <c r="V155" i="6"/>
  <c r="W155" i="6"/>
  <c r="V156" i="6"/>
  <c r="W156" i="6"/>
  <c r="V157" i="6"/>
  <c r="W157" i="6"/>
  <c r="V158" i="6"/>
  <c r="W158" i="6"/>
  <c r="V159" i="6"/>
  <c r="W159" i="6"/>
  <c r="V160" i="6"/>
  <c r="W160" i="6"/>
  <c r="V161" i="6"/>
  <c r="W161" i="6"/>
  <c r="V162" i="6"/>
  <c r="W162" i="6"/>
  <c r="V163" i="6"/>
  <c r="W163" i="6"/>
  <c r="V164" i="6"/>
  <c r="W164" i="6"/>
  <c r="V165" i="6"/>
  <c r="W165" i="6"/>
  <c r="V166" i="6"/>
  <c r="W166" i="6"/>
  <c r="V167" i="6"/>
  <c r="W167" i="6"/>
  <c r="V168" i="6"/>
  <c r="W168" i="6"/>
  <c r="V169" i="6"/>
  <c r="W169" i="6"/>
  <c r="V170" i="6"/>
  <c r="W170" i="6"/>
  <c r="V171" i="6"/>
  <c r="W171" i="6"/>
  <c r="V172" i="6"/>
  <c r="W172" i="6"/>
  <c r="V173" i="6"/>
  <c r="W173" i="6"/>
  <c r="V174" i="6"/>
  <c r="W174" i="6"/>
  <c r="V175" i="6"/>
  <c r="W175" i="6"/>
  <c r="V176" i="6"/>
  <c r="W176" i="6"/>
  <c r="V177" i="6"/>
  <c r="W177" i="6"/>
  <c r="V178" i="6"/>
  <c r="W178" i="6"/>
  <c r="V179" i="6"/>
  <c r="W179" i="6"/>
  <c r="V180" i="6"/>
  <c r="W180" i="6"/>
  <c r="V181" i="6"/>
  <c r="W181" i="6"/>
  <c r="V182" i="6"/>
  <c r="W182" i="6"/>
  <c r="V183" i="6"/>
  <c r="W183" i="6"/>
  <c r="V184" i="6"/>
  <c r="W184" i="6"/>
  <c r="V185" i="6"/>
  <c r="W185" i="6"/>
  <c r="V186" i="6"/>
  <c r="W186" i="6"/>
  <c r="V187" i="6"/>
  <c r="W187" i="6"/>
  <c r="V188" i="6"/>
  <c r="W188" i="6"/>
  <c r="V189" i="6"/>
  <c r="W189" i="6"/>
  <c r="V190" i="6"/>
  <c r="W190" i="6"/>
  <c r="V191" i="6"/>
  <c r="W191" i="6"/>
  <c r="V192" i="6"/>
  <c r="W192" i="6"/>
  <c r="V193" i="6"/>
  <c r="W193" i="6"/>
  <c r="V194" i="6"/>
  <c r="W194" i="6"/>
  <c r="V195" i="6"/>
  <c r="W195" i="6"/>
  <c r="V196" i="6"/>
  <c r="W196" i="6"/>
  <c r="V197" i="6"/>
  <c r="W197" i="6"/>
  <c r="V198" i="6"/>
  <c r="W198" i="6"/>
  <c r="V199" i="6"/>
  <c r="W199" i="6"/>
  <c r="V200" i="6"/>
  <c r="W200" i="6"/>
  <c r="V201" i="6"/>
  <c r="W201" i="6"/>
  <c r="V202" i="6"/>
  <c r="W202" i="6"/>
  <c r="V203" i="6"/>
  <c r="W203" i="6"/>
  <c r="V204" i="6"/>
  <c r="W204" i="6"/>
  <c r="V205" i="6"/>
  <c r="W205" i="6"/>
  <c r="V206" i="6"/>
  <c r="W206" i="6"/>
  <c r="V207" i="6"/>
  <c r="W207" i="6"/>
  <c r="P8" i="6"/>
  <c r="Q8" i="6" s="1"/>
  <c r="R8" i="6"/>
  <c r="S8" i="6" s="1"/>
  <c r="P9" i="6"/>
  <c r="Q9" i="6"/>
  <c r="R9" i="6"/>
  <c r="S9" i="6"/>
  <c r="P10" i="6"/>
  <c r="Q10" i="6"/>
  <c r="R10" i="6"/>
  <c r="S10" i="6" s="1"/>
  <c r="P11" i="6"/>
  <c r="Q11" i="6" s="1"/>
  <c r="R11" i="6"/>
  <c r="S11" i="6" s="1"/>
  <c r="P12" i="6"/>
  <c r="Q12" i="6"/>
  <c r="R12" i="6"/>
  <c r="S12" i="6" s="1"/>
  <c r="P13" i="6"/>
  <c r="Q13" i="6"/>
  <c r="R13" i="6"/>
  <c r="S13" i="6"/>
  <c r="P14" i="6"/>
  <c r="Q14" i="6"/>
  <c r="R14" i="6"/>
  <c r="S14" i="6" s="1"/>
  <c r="P15" i="6"/>
  <c r="Q15" i="6" s="1"/>
  <c r="R15" i="6"/>
  <c r="S15" i="6" s="1"/>
  <c r="P16" i="6"/>
  <c r="Q16" i="6" s="1"/>
  <c r="R16" i="6"/>
  <c r="S16" i="6" s="1"/>
  <c r="P17" i="6"/>
  <c r="Q17" i="6"/>
  <c r="R17" i="6"/>
  <c r="S17" i="6"/>
  <c r="P18" i="6"/>
  <c r="Q18" i="6"/>
  <c r="R18" i="6"/>
  <c r="S18" i="6" s="1"/>
  <c r="P19" i="6"/>
  <c r="Q19" i="6"/>
  <c r="R19" i="6"/>
  <c r="S19" i="6" s="1"/>
  <c r="P20" i="6"/>
  <c r="Q20" i="6" s="1"/>
  <c r="R20" i="6"/>
  <c r="S20" i="6" s="1"/>
  <c r="P21" i="6"/>
  <c r="Q21" i="6"/>
  <c r="R21" i="6"/>
  <c r="S21" i="6"/>
  <c r="P22" i="6"/>
  <c r="Q22" i="6" s="1"/>
  <c r="R22" i="6"/>
  <c r="S22" i="6" s="1"/>
  <c r="P23" i="6"/>
  <c r="Q23" i="6" s="1"/>
  <c r="R23" i="6"/>
  <c r="S23" i="6"/>
  <c r="P24" i="6"/>
  <c r="Q24" i="6" s="1"/>
  <c r="R24" i="6"/>
  <c r="S24" i="6" s="1"/>
  <c r="P25" i="6"/>
  <c r="Q25" i="6"/>
  <c r="R25" i="6"/>
  <c r="S25" i="6"/>
  <c r="P26" i="6"/>
  <c r="Q26" i="6"/>
  <c r="R26" i="6"/>
  <c r="S26" i="6" s="1"/>
  <c r="P27" i="6"/>
  <c r="Q27" i="6" s="1"/>
  <c r="R27" i="6"/>
  <c r="S27" i="6" s="1"/>
  <c r="P28" i="6"/>
  <c r="Q28" i="6"/>
  <c r="R28" i="6"/>
  <c r="S28" i="6" s="1"/>
  <c r="P29" i="6"/>
  <c r="Q29" i="6"/>
  <c r="R29" i="6"/>
  <c r="S29" i="6"/>
  <c r="P30" i="6"/>
  <c r="Q30" i="6"/>
  <c r="R30" i="6"/>
  <c r="S30" i="6" s="1"/>
  <c r="P31" i="6"/>
  <c r="Q31" i="6" s="1"/>
  <c r="R31" i="6"/>
  <c r="S31" i="6" s="1"/>
  <c r="P32" i="6"/>
  <c r="Q32" i="6" s="1"/>
  <c r="R32" i="6"/>
  <c r="S32" i="6" s="1"/>
  <c r="P33" i="6"/>
  <c r="Q33" i="6"/>
  <c r="R33" i="6"/>
  <c r="S33" i="6"/>
  <c r="P34" i="6"/>
  <c r="Q34" i="6"/>
  <c r="R34" i="6"/>
  <c r="S34" i="6" s="1"/>
  <c r="P35" i="6"/>
  <c r="Q35" i="6"/>
  <c r="R35" i="6"/>
  <c r="S35" i="6" s="1"/>
  <c r="P36" i="6"/>
  <c r="Q36" i="6" s="1"/>
  <c r="R36" i="6"/>
  <c r="S36" i="6" s="1"/>
  <c r="P37" i="6"/>
  <c r="Q37" i="6"/>
  <c r="R37" i="6"/>
  <c r="S37" i="6"/>
  <c r="P38" i="6"/>
  <c r="Q38" i="6"/>
  <c r="R38" i="6"/>
  <c r="S38" i="6" s="1"/>
  <c r="P39" i="6"/>
  <c r="Q39" i="6" s="1"/>
  <c r="R39" i="6"/>
  <c r="S39" i="6"/>
  <c r="P40" i="6"/>
  <c r="Q40" i="6" s="1"/>
  <c r="R40" i="6"/>
  <c r="S40" i="6" s="1"/>
  <c r="P41" i="6"/>
  <c r="Q41" i="6"/>
  <c r="R41" i="6"/>
  <c r="S41" i="6"/>
  <c r="P42" i="6"/>
  <c r="Q42" i="6"/>
  <c r="R42" i="6"/>
  <c r="S42" i="6" s="1"/>
  <c r="P43" i="6"/>
  <c r="Q43" i="6" s="1"/>
  <c r="R43" i="6"/>
  <c r="S43" i="6" s="1"/>
  <c r="P44" i="6"/>
  <c r="Q44" i="6"/>
  <c r="R44" i="6"/>
  <c r="S44" i="6" s="1"/>
  <c r="P45" i="6"/>
  <c r="Q45" i="6"/>
  <c r="R45" i="6"/>
  <c r="S45" i="6"/>
  <c r="P46" i="6"/>
  <c r="Q46" i="6"/>
  <c r="R46" i="6"/>
  <c r="S46" i="6" s="1"/>
  <c r="P47" i="6"/>
  <c r="Q47" i="6" s="1"/>
  <c r="R47" i="6"/>
  <c r="S47" i="6" s="1"/>
  <c r="P48" i="6"/>
  <c r="Q48" i="6" s="1"/>
  <c r="R48" i="6"/>
  <c r="S48" i="6" s="1"/>
  <c r="P49" i="6"/>
  <c r="Q49" i="6"/>
  <c r="R49" i="6"/>
  <c r="S49" i="6"/>
  <c r="P50" i="6"/>
  <c r="Q50" i="6"/>
  <c r="R50" i="6"/>
  <c r="S50" i="6" s="1"/>
  <c r="P51" i="6"/>
  <c r="Q51" i="6"/>
  <c r="R51" i="6"/>
  <c r="S51" i="6" s="1"/>
  <c r="P52" i="6"/>
  <c r="Q52" i="6" s="1"/>
  <c r="R52" i="6"/>
  <c r="S52" i="6" s="1"/>
  <c r="P53" i="6"/>
  <c r="Q53" i="6"/>
  <c r="R53" i="6"/>
  <c r="S53" i="6"/>
  <c r="P54" i="6"/>
  <c r="Q54" i="6"/>
  <c r="R54" i="6"/>
  <c r="S54" i="6" s="1"/>
  <c r="P55" i="6"/>
  <c r="Q55" i="6" s="1"/>
  <c r="R55" i="6"/>
  <c r="S55" i="6"/>
  <c r="P56" i="6"/>
  <c r="Q56" i="6" s="1"/>
  <c r="R56" i="6"/>
  <c r="S56" i="6" s="1"/>
  <c r="P57" i="6"/>
  <c r="Q57" i="6"/>
  <c r="R57" i="6"/>
  <c r="S57" i="6"/>
  <c r="P58" i="6"/>
  <c r="Q58" i="6"/>
  <c r="R58" i="6"/>
  <c r="S58" i="6" s="1"/>
  <c r="P59" i="6"/>
  <c r="Q59" i="6" s="1"/>
  <c r="R59" i="6"/>
  <c r="S59" i="6" s="1"/>
  <c r="P60" i="6"/>
  <c r="Q60" i="6"/>
  <c r="R60" i="6"/>
  <c r="S60" i="6" s="1"/>
  <c r="P61" i="6"/>
  <c r="Q61" i="6"/>
  <c r="R61" i="6"/>
  <c r="S61" i="6"/>
  <c r="P62" i="6"/>
  <c r="Q62" i="6"/>
  <c r="R62" i="6"/>
  <c r="S62" i="6" s="1"/>
  <c r="P63" i="6"/>
  <c r="Q63" i="6" s="1"/>
  <c r="R63" i="6"/>
  <c r="S63" i="6" s="1"/>
  <c r="P64" i="6"/>
  <c r="Q64" i="6" s="1"/>
  <c r="R64" i="6"/>
  <c r="S64" i="6" s="1"/>
  <c r="P65" i="6"/>
  <c r="Q65" i="6"/>
  <c r="R65" i="6"/>
  <c r="S65" i="6" s="1"/>
  <c r="P66" i="6"/>
  <c r="Q66" i="6"/>
  <c r="R66" i="6"/>
  <c r="S66" i="6" s="1"/>
  <c r="P67" i="6"/>
  <c r="Q67" i="6"/>
  <c r="R67" i="6"/>
  <c r="S67" i="6" s="1"/>
  <c r="P68" i="6"/>
  <c r="Q68" i="6" s="1"/>
  <c r="R68" i="6"/>
  <c r="S68" i="6" s="1"/>
  <c r="P69" i="6"/>
  <c r="Q69" i="6"/>
  <c r="R69" i="6"/>
  <c r="S69" i="6"/>
  <c r="P70" i="6"/>
  <c r="Q70" i="6"/>
  <c r="R70" i="6"/>
  <c r="S70" i="6" s="1"/>
  <c r="P71" i="6"/>
  <c r="Q71" i="6" s="1"/>
  <c r="R71" i="6"/>
  <c r="S71" i="6"/>
  <c r="P72" i="6"/>
  <c r="Q72" i="6" s="1"/>
  <c r="R72" i="6"/>
  <c r="S72" i="6" s="1"/>
  <c r="P73" i="6"/>
  <c r="Q73" i="6"/>
  <c r="R73" i="6"/>
  <c r="S73" i="6"/>
  <c r="P74" i="6"/>
  <c r="Q74" i="6"/>
  <c r="R74" i="6"/>
  <c r="S74" i="6" s="1"/>
  <c r="P75" i="6"/>
  <c r="Q75" i="6" s="1"/>
  <c r="R75" i="6"/>
  <c r="S75" i="6" s="1"/>
  <c r="P76" i="6"/>
  <c r="Q76" i="6"/>
  <c r="R76" i="6"/>
  <c r="S76" i="6" s="1"/>
  <c r="P77" i="6"/>
  <c r="Q77" i="6"/>
  <c r="R77" i="6"/>
  <c r="S77" i="6"/>
  <c r="P78" i="6"/>
  <c r="Q78" i="6"/>
  <c r="R78" i="6"/>
  <c r="S78" i="6" s="1"/>
  <c r="P79" i="6"/>
  <c r="Q79" i="6" s="1"/>
  <c r="R79" i="6"/>
  <c r="S79" i="6" s="1"/>
  <c r="P80" i="6"/>
  <c r="Q80" i="6" s="1"/>
  <c r="R80" i="6"/>
  <c r="S80" i="6" s="1"/>
  <c r="P81" i="6"/>
  <c r="Q81" i="6"/>
  <c r="R81" i="6"/>
  <c r="S81" i="6"/>
  <c r="P82" i="6"/>
  <c r="Q82" i="6"/>
  <c r="R82" i="6"/>
  <c r="S82" i="6" s="1"/>
  <c r="P83" i="6"/>
  <c r="Q83" i="6"/>
  <c r="R83" i="6"/>
  <c r="S83" i="6" s="1"/>
  <c r="P84" i="6"/>
  <c r="Q84" i="6" s="1"/>
  <c r="R84" i="6"/>
  <c r="S84" i="6" s="1"/>
  <c r="P85" i="6"/>
  <c r="Q85" i="6"/>
  <c r="R85" i="6"/>
  <c r="S85" i="6"/>
  <c r="P86" i="6"/>
  <c r="Q86" i="6"/>
  <c r="R86" i="6"/>
  <c r="S86" i="6" s="1"/>
  <c r="P87" i="6"/>
  <c r="Q87" i="6" s="1"/>
  <c r="R87" i="6"/>
  <c r="S87" i="6"/>
  <c r="P88" i="6"/>
  <c r="Q88" i="6" s="1"/>
  <c r="R88" i="6"/>
  <c r="S88" i="6" s="1"/>
  <c r="P89" i="6"/>
  <c r="Q89" i="6"/>
  <c r="R89" i="6"/>
  <c r="S89" i="6"/>
  <c r="P90" i="6"/>
  <c r="Q90" i="6"/>
  <c r="R90" i="6"/>
  <c r="S90" i="6" s="1"/>
  <c r="P91" i="6"/>
  <c r="Q91" i="6" s="1"/>
  <c r="R91" i="6"/>
  <c r="S91" i="6" s="1"/>
  <c r="P92" i="6"/>
  <c r="Q92" i="6"/>
  <c r="R92" i="6"/>
  <c r="S92" i="6" s="1"/>
  <c r="P93" i="6"/>
  <c r="Q93" i="6"/>
  <c r="R93" i="6"/>
  <c r="S93" i="6"/>
  <c r="P94" i="6"/>
  <c r="Q94" i="6"/>
  <c r="R94" i="6"/>
  <c r="S94" i="6" s="1"/>
  <c r="P95" i="6"/>
  <c r="Q95" i="6" s="1"/>
  <c r="R95" i="6"/>
  <c r="S95" i="6" s="1"/>
  <c r="P96" i="6"/>
  <c r="Q96" i="6" s="1"/>
  <c r="R96" i="6"/>
  <c r="S96" i="6" s="1"/>
  <c r="P97" i="6"/>
  <c r="Q97" i="6"/>
  <c r="R97" i="6"/>
  <c r="S97" i="6"/>
  <c r="P98" i="6"/>
  <c r="Q98" i="6"/>
  <c r="R98" i="6"/>
  <c r="S98" i="6" s="1"/>
  <c r="P99" i="6"/>
  <c r="Q99" i="6"/>
  <c r="R99" i="6"/>
  <c r="S99" i="6" s="1"/>
  <c r="P100" i="6"/>
  <c r="Q100" i="6" s="1"/>
  <c r="R100" i="6"/>
  <c r="S100" i="6" s="1"/>
  <c r="P101" i="6"/>
  <c r="Q101" i="6"/>
  <c r="R101" i="6"/>
  <c r="S101" i="6"/>
  <c r="P102" i="6"/>
  <c r="Q102" i="6"/>
  <c r="R102" i="6"/>
  <c r="S102" i="6" s="1"/>
  <c r="P103" i="6"/>
  <c r="Q103" i="6" s="1"/>
  <c r="R103" i="6"/>
  <c r="S103" i="6"/>
  <c r="P104" i="6"/>
  <c r="Q104" i="6" s="1"/>
  <c r="R104" i="6"/>
  <c r="S104" i="6" s="1"/>
  <c r="P105" i="6"/>
  <c r="Q105" i="6"/>
  <c r="R105" i="6"/>
  <c r="S105" i="6"/>
  <c r="P106" i="6"/>
  <c r="Q106" i="6"/>
  <c r="R106" i="6"/>
  <c r="S106" i="6" s="1"/>
  <c r="P107" i="6"/>
  <c r="Q107" i="6" s="1"/>
  <c r="R107" i="6"/>
  <c r="S107" i="6" s="1"/>
  <c r="P108" i="6"/>
  <c r="Q108" i="6"/>
  <c r="R108" i="6"/>
  <c r="S108" i="6" s="1"/>
  <c r="P109" i="6"/>
  <c r="Q109" i="6"/>
  <c r="R109" i="6"/>
  <c r="S109" i="6"/>
  <c r="P110" i="6"/>
  <c r="Q110" i="6"/>
  <c r="R110" i="6"/>
  <c r="S110" i="6" s="1"/>
  <c r="P111" i="6"/>
  <c r="Q111" i="6" s="1"/>
  <c r="R111" i="6"/>
  <c r="S111" i="6" s="1"/>
  <c r="P112" i="6"/>
  <c r="Q112" i="6" s="1"/>
  <c r="R112" i="6"/>
  <c r="S112" i="6" s="1"/>
  <c r="P113" i="6"/>
  <c r="Q113" i="6"/>
  <c r="R113" i="6"/>
  <c r="S113" i="6"/>
  <c r="P114" i="6"/>
  <c r="Q114" i="6"/>
  <c r="R114" i="6"/>
  <c r="S114" i="6" s="1"/>
  <c r="P115" i="6"/>
  <c r="Q115" i="6"/>
  <c r="R115" i="6"/>
  <c r="S115" i="6" s="1"/>
  <c r="P116" i="6"/>
  <c r="Q116" i="6" s="1"/>
  <c r="R116" i="6"/>
  <c r="S116" i="6" s="1"/>
  <c r="P117" i="6"/>
  <c r="Q117" i="6"/>
  <c r="R117" i="6"/>
  <c r="S117" i="6"/>
  <c r="P118" i="6"/>
  <c r="Q118" i="6"/>
  <c r="R118" i="6"/>
  <c r="S118" i="6" s="1"/>
  <c r="P119" i="6"/>
  <c r="Q119" i="6" s="1"/>
  <c r="R119" i="6"/>
  <c r="S119" i="6"/>
  <c r="P120" i="6"/>
  <c r="Q120" i="6" s="1"/>
  <c r="R120" i="6"/>
  <c r="S120" i="6" s="1"/>
  <c r="P121" i="6"/>
  <c r="Q121" i="6"/>
  <c r="R121" i="6"/>
  <c r="S121" i="6"/>
  <c r="P122" i="6"/>
  <c r="Q122" i="6"/>
  <c r="R122" i="6"/>
  <c r="S122" i="6" s="1"/>
  <c r="P123" i="6"/>
  <c r="Q123" i="6" s="1"/>
  <c r="R123" i="6"/>
  <c r="S123" i="6" s="1"/>
  <c r="P124" i="6"/>
  <c r="Q124" i="6"/>
  <c r="R124" i="6"/>
  <c r="S124" i="6" s="1"/>
  <c r="P125" i="6"/>
  <c r="Q125" i="6"/>
  <c r="R125" i="6"/>
  <c r="S125" i="6"/>
  <c r="P126" i="6"/>
  <c r="Q126" i="6"/>
  <c r="R126" i="6"/>
  <c r="S126" i="6" s="1"/>
  <c r="P127" i="6"/>
  <c r="Q127" i="6" s="1"/>
  <c r="R127" i="6"/>
  <c r="S127" i="6" s="1"/>
  <c r="P128" i="6"/>
  <c r="Q128" i="6" s="1"/>
  <c r="R128" i="6"/>
  <c r="S128" i="6" s="1"/>
  <c r="P129" i="6"/>
  <c r="Q129" i="6"/>
  <c r="R129" i="6"/>
  <c r="S129" i="6"/>
  <c r="P130" i="6"/>
  <c r="Q130" i="6"/>
  <c r="R130" i="6"/>
  <c r="S130" i="6" s="1"/>
  <c r="P131" i="6"/>
  <c r="Q131" i="6"/>
  <c r="R131" i="6"/>
  <c r="S131" i="6" s="1"/>
  <c r="P132" i="6"/>
  <c r="Q132" i="6" s="1"/>
  <c r="R132" i="6"/>
  <c r="S132" i="6" s="1"/>
  <c r="P133" i="6"/>
  <c r="Q133" i="6"/>
  <c r="R133" i="6"/>
  <c r="S133" i="6"/>
  <c r="P134" i="6"/>
  <c r="Q134" i="6"/>
  <c r="R134" i="6"/>
  <c r="S134" i="6" s="1"/>
  <c r="P135" i="6"/>
  <c r="Q135" i="6" s="1"/>
  <c r="R135" i="6"/>
  <c r="S135" i="6"/>
  <c r="P136" i="6"/>
  <c r="Q136" i="6" s="1"/>
  <c r="R136" i="6"/>
  <c r="S136" i="6" s="1"/>
  <c r="P137" i="6"/>
  <c r="Q137" i="6"/>
  <c r="R137" i="6"/>
  <c r="S137" i="6"/>
  <c r="P138" i="6"/>
  <c r="Q138" i="6"/>
  <c r="R138" i="6"/>
  <c r="S138" i="6" s="1"/>
  <c r="P139" i="6"/>
  <c r="Q139" i="6" s="1"/>
  <c r="R139" i="6"/>
  <c r="S139" i="6" s="1"/>
  <c r="P140" i="6"/>
  <c r="Q140" i="6"/>
  <c r="R140" i="6"/>
  <c r="S140" i="6" s="1"/>
  <c r="P141" i="6"/>
  <c r="Q141" i="6" s="1"/>
  <c r="R141" i="6"/>
  <c r="S141" i="6"/>
  <c r="P142" i="6"/>
  <c r="Q142" i="6"/>
  <c r="R142" i="6"/>
  <c r="S142" i="6" s="1"/>
  <c r="P143" i="6"/>
  <c r="Q143" i="6" s="1"/>
  <c r="R143" i="6"/>
  <c r="S143" i="6" s="1"/>
  <c r="P144" i="6"/>
  <c r="Q144" i="6" s="1"/>
  <c r="R144" i="6"/>
  <c r="S144" i="6" s="1"/>
  <c r="P145" i="6"/>
  <c r="Q145" i="6"/>
  <c r="R145" i="6"/>
  <c r="S145" i="6" s="1"/>
  <c r="P146" i="6"/>
  <c r="Q146" i="6"/>
  <c r="R146" i="6"/>
  <c r="S146" i="6" s="1"/>
  <c r="P147" i="6"/>
  <c r="Q147" i="6"/>
  <c r="R147" i="6"/>
  <c r="S147" i="6" s="1"/>
  <c r="P148" i="6"/>
  <c r="Q148" i="6" s="1"/>
  <c r="R148" i="6"/>
  <c r="S148" i="6" s="1"/>
  <c r="P149" i="6"/>
  <c r="Q149" i="6"/>
  <c r="R149" i="6"/>
  <c r="S149" i="6"/>
  <c r="P150" i="6"/>
  <c r="Q150" i="6" s="1"/>
  <c r="R150" i="6"/>
  <c r="S150" i="6" s="1"/>
  <c r="P151" i="6"/>
  <c r="Q151" i="6" s="1"/>
  <c r="R151" i="6"/>
  <c r="S151" i="6"/>
  <c r="P152" i="6"/>
  <c r="Q152" i="6" s="1"/>
  <c r="R152" i="6"/>
  <c r="S152" i="6" s="1"/>
  <c r="P153" i="6"/>
  <c r="Q153" i="6"/>
  <c r="R153" i="6"/>
  <c r="S153" i="6"/>
  <c r="P154" i="6"/>
  <c r="Q154" i="6"/>
  <c r="R154" i="6"/>
  <c r="S154" i="6" s="1"/>
  <c r="P155" i="6"/>
  <c r="Q155" i="6" s="1"/>
  <c r="R155" i="6"/>
  <c r="S155" i="6" s="1"/>
  <c r="P156" i="6"/>
  <c r="Q156" i="6"/>
  <c r="R156" i="6"/>
  <c r="S156" i="6" s="1"/>
  <c r="P157" i="6"/>
  <c r="Q157" i="6" s="1"/>
  <c r="R157" i="6"/>
  <c r="S157" i="6"/>
  <c r="P158" i="6"/>
  <c r="Q158" i="6"/>
  <c r="R158" i="6"/>
  <c r="S158" i="6" s="1"/>
  <c r="P159" i="6"/>
  <c r="Q159" i="6" s="1"/>
  <c r="R159" i="6"/>
  <c r="S159" i="6" s="1"/>
  <c r="P160" i="6"/>
  <c r="Q160" i="6" s="1"/>
  <c r="R160" i="6"/>
  <c r="S160" i="6" s="1"/>
  <c r="P161" i="6"/>
  <c r="Q161" i="6"/>
  <c r="R161" i="6"/>
  <c r="S161" i="6" s="1"/>
  <c r="P162" i="6"/>
  <c r="Q162" i="6"/>
  <c r="R162" i="6"/>
  <c r="S162" i="6" s="1"/>
  <c r="P163" i="6"/>
  <c r="Q163" i="6"/>
  <c r="R163" i="6"/>
  <c r="S163" i="6" s="1"/>
  <c r="P164" i="6"/>
  <c r="Q164" i="6" s="1"/>
  <c r="R164" i="6"/>
  <c r="S164" i="6" s="1"/>
  <c r="P165" i="6"/>
  <c r="Q165" i="6"/>
  <c r="R165" i="6"/>
  <c r="S165" i="6"/>
  <c r="P166" i="6"/>
  <c r="Q166" i="6"/>
  <c r="R166" i="6"/>
  <c r="S166" i="6" s="1"/>
  <c r="P167" i="6"/>
  <c r="Q167" i="6" s="1"/>
  <c r="R167" i="6"/>
  <c r="S167" i="6"/>
  <c r="P168" i="6"/>
  <c r="Q168" i="6" s="1"/>
  <c r="R168" i="6"/>
  <c r="S168" i="6" s="1"/>
  <c r="P169" i="6"/>
  <c r="Q169" i="6"/>
  <c r="R169" i="6"/>
  <c r="S169" i="6"/>
  <c r="P170" i="6"/>
  <c r="Q170" i="6"/>
  <c r="R170" i="6"/>
  <c r="S170" i="6" s="1"/>
  <c r="P171" i="6"/>
  <c r="Q171" i="6" s="1"/>
  <c r="R171" i="6"/>
  <c r="S171" i="6" s="1"/>
  <c r="P172" i="6"/>
  <c r="Q172" i="6"/>
  <c r="R172" i="6"/>
  <c r="S172" i="6" s="1"/>
  <c r="P173" i="6"/>
  <c r="Q173" i="6"/>
  <c r="R173" i="6"/>
  <c r="S173" i="6"/>
  <c r="P174" i="6"/>
  <c r="Q174" i="6"/>
  <c r="R174" i="6"/>
  <c r="S174" i="6" s="1"/>
  <c r="P175" i="6"/>
  <c r="Q175" i="6" s="1"/>
  <c r="R175" i="6"/>
  <c r="S175" i="6" s="1"/>
  <c r="P176" i="6"/>
  <c r="Q176" i="6" s="1"/>
  <c r="R176" i="6"/>
  <c r="S176" i="6" s="1"/>
  <c r="P177" i="6"/>
  <c r="Q177" i="6"/>
  <c r="R177" i="6"/>
  <c r="S177" i="6"/>
  <c r="P178" i="6"/>
  <c r="Q178" i="6"/>
  <c r="R178" i="6"/>
  <c r="S178" i="6"/>
  <c r="P179" i="6"/>
  <c r="Q179" i="6"/>
  <c r="R179" i="6"/>
  <c r="S179" i="6" s="1"/>
  <c r="P180" i="6"/>
  <c r="Q180" i="6"/>
  <c r="R180" i="6"/>
  <c r="S180" i="6"/>
  <c r="P181" i="6"/>
  <c r="Q181" i="6"/>
  <c r="R181" i="6"/>
  <c r="S181" i="6" s="1"/>
  <c r="P182" i="6"/>
  <c r="Q182" i="6"/>
  <c r="R182" i="6"/>
  <c r="S182" i="6"/>
  <c r="P183" i="6"/>
  <c r="Q183" i="6"/>
  <c r="R183" i="6"/>
  <c r="S183" i="6" s="1"/>
  <c r="P184" i="6"/>
  <c r="Q184" i="6"/>
  <c r="R184" i="6"/>
  <c r="S184" i="6"/>
  <c r="P185" i="6"/>
  <c r="Q185" i="6"/>
  <c r="R185" i="6"/>
  <c r="S185" i="6" s="1"/>
  <c r="P186" i="6"/>
  <c r="Q186" i="6"/>
  <c r="R186" i="6"/>
  <c r="S186" i="6"/>
  <c r="P187" i="6"/>
  <c r="Q187" i="6"/>
  <c r="R187" i="6"/>
  <c r="S187" i="6" s="1"/>
  <c r="P188" i="6"/>
  <c r="Q188" i="6"/>
  <c r="R188" i="6"/>
  <c r="S188" i="6"/>
  <c r="P189" i="6"/>
  <c r="Q189" i="6"/>
  <c r="R189" i="6"/>
  <c r="S189" i="6" s="1"/>
  <c r="P190" i="6"/>
  <c r="Q190" i="6"/>
  <c r="R190" i="6"/>
  <c r="S190" i="6"/>
  <c r="P191" i="6"/>
  <c r="Q191" i="6"/>
  <c r="R191" i="6"/>
  <c r="S191" i="6" s="1"/>
  <c r="P192" i="6"/>
  <c r="Q192" i="6"/>
  <c r="R192" i="6"/>
  <c r="S192" i="6"/>
  <c r="P193" i="6"/>
  <c r="Q193" i="6"/>
  <c r="R193" i="6"/>
  <c r="S193" i="6" s="1"/>
  <c r="P194" i="6"/>
  <c r="Q194" i="6"/>
  <c r="R194" i="6"/>
  <c r="S194" i="6"/>
  <c r="P195" i="6"/>
  <c r="Q195" i="6"/>
  <c r="R195" i="6"/>
  <c r="S195" i="6" s="1"/>
  <c r="P196" i="6"/>
  <c r="Q196" i="6"/>
  <c r="R196" i="6"/>
  <c r="S196" i="6"/>
  <c r="P197" i="6"/>
  <c r="Q197" i="6"/>
  <c r="R197" i="6"/>
  <c r="S197" i="6" s="1"/>
  <c r="P198" i="6"/>
  <c r="Q198" i="6"/>
  <c r="R198" i="6"/>
  <c r="S198" i="6"/>
  <c r="P199" i="6"/>
  <c r="Q199" i="6"/>
  <c r="R199" i="6"/>
  <c r="S199" i="6" s="1"/>
  <c r="P200" i="6"/>
  <c r="Q200" i="6"/>
  <c r="R200" i="6"/>
  <c r="S200" i="6"/>
  <c r="P201" i="6"/>
  <c r="Q201" i="6"/>
  <c r="R201" i="6"/>
  <c r="S201" i="6" s="1"/>
  <c r="P202" i="6"/>
  <c r="Q202" i="6"/>
  <c r="R202" i="6"/>
  <c r="S202" i="6"/>
  <c r="P203" i="6"/>
  <c r="Q203" i="6"/>
  <c r="R203" i="6"/>
  <c r="S203" i="6" s="1"/>
  <c r="AV203" i="6" l="1"/>
  <c r="AW203" i="6"/>
  <c r="AZ203" i="6" s="1"/>
  <c r="AX203" i="6"/>
  <c r="AY203" i="6"/>
  <c r="BA203" i="6"/>
  <c r="AV204" i="6"/>
  <c r="AW204" i="6"/>
  <c r="AZ204" i="6" s="1"/>
  <c r="AX204" i="6"/>
  <c r="AY204" i="6"/>
  <c r="BA204" i="6" s="1"/>
  <c r="AV205" i="6"/>
  <c r="AW205" i="6"/>
  <c r="AX205" i="6"/>
  <c r="AY205" i="6"/>
  <c r="AZ205" i="6"/>
  <c r="BA205" i="6"/>
  <c r="AV206" i="6"/>
  <c r="AW206" i="6"/>
  <c r="AZ206" i="6" s="1"/>
  <c r="AX206" i="6"/>
  <c r="AY206" i="6"/>
  <c r="BA206" i="6"/>
  <c r="AV207" i="6"/>
  <c r="AW207" i="6"/>
  <c r="AZ207" i="6" s="1"/>
  <c r="AX207" i="6"/>
  <c r="AY207" i="6"/>
  <c r="BA207" i="6"/>
  <c r="AV208" i="6"/>
  <c r="AW208" i="6"/>
  <c r="AZ208" i="6" s="1"/>
  <c r="AX208" i="6"/>
  <c r="AY208" i="6"/>
  <c r="BA208" i="6" s="1"/>
  <c r="AV209" i="6"/>
  <c r="AW209" i="6"/>
  <c r="AX209" i="6"/>
  <c r="AY209" i="6"/>
  <c r="AZ209" i="6"/>
  <c r="BA209" i="6"/>
  <c r="AV210" i="6"/>
  <c r="AW210" i="6"/>
  <c r="AZ210" i="6" s="1"/>
  <c r="AX210" i="6"/>
  <c r="AY210" i="6"/>
  <c r="BA210" i="6"/>
  <c r="AV211" i="6"/>
  <c r="AW211" i="6"/>
  <c r="AZ211" i="6" s="1"/>
  <c r="AX211" i="6"/>
  <c r="AY211" i="6"/>
  <c r="BA211" i="6"/>
  <c r="AV212" i="6"/>
  <c r="AW212" i="6"/>
  <c r="AZ212" i="6" s="1"/>
  <c r="AX212" i="6"/>
  <c r="AY212" i="6"/>
  <c r="BA212" i="6" s="1"/>
  <c r="AV213" i="6"/>
  <c r="AW213" i="6"/>
  <c r="AX213" i="6"/>
  <c r="AY213" i="6"/>
  <c r="AZ213" i="6"/>
  <c r="BA213" i="6"/>
  <c r="AV214" i="6"/>
  <c r="AW214" i="6"/>
  <c r="AZ214" i="6" s="1"/>
  <c r="AX214" i="6"/>
  <c r="AY214" i="6"/>
  <c r="BA214" i="6"/>
  <c r="AV215" i="6"/>
  <c r="AW215" i="6"/>
  <c r="AZ215" i="6" s="1"/>
  <c r="AX215" i="6"/>
  <c r="AY215" i="6" s="1"/>
  <c r="BA215" i="6" s="1"/>
  <c r="AV216" i="6"/>
  <c r="AW216" i="6"/>
  <c r="AZ216" i="6" s="1"/>
  <c r="AX216" i="6"/>
  <c r="AY216" i="6"/>
  <c r="BA216" i="6" s="1"/>
  <c r="AV217" i="6"/>
  <c r="AW217" i="6"/>
  <c r="AX217" i="6"/>
  <c r="AY217" i="6"/>
  <c r="AZ217" i="6"/>
  <c r="BA217" i="6"/>
  <c r="AV218" i="6"/>
  <c r="AW218" i="6" s="1"/>
  <c r="AZ218" i="6" s="1"/>
  <c r="AX218" i="6"/>
  <c r="AY218" i="6"/>
  <c r="BA218" i="6"/>
  <c r="AV219" i="6"/>
  <c r="AW219" i="6"/>
  <c r="AZ219" i="6" s="1"/>
  <c r="AX219" i="6"/>
  <c r="AY219" i="6" s="1"/>
  <c r="BA219" i="6" s="1"/>
  <c r="AV220" i="6"/>
  <c r="AW220" i="6"/>
  <c r="AZ220" i="6" s="1"/>
  <c r="AX220" i="6"/>
  <c r="AY220" i="6"/>
  <c r="BA220" i="6" s="1"/>
  <c r="AV221" i="6"/>
  <c r="AW221" i="6"/>
  <c r="AX221" i="6"/>
  <c r="AY221" i="6"/>
  <c r="AZ221" i="6"/>
  <c r="BA221" i="6"/>
  <c r="AV222" i="6"/>
  <c r="AW222" i="6" s="1"/>
  <c r="AZ222" i="6" s="1"/>
  <c r="AX222" i="6"/>
  <c r="AY222" i="6"/>
  <c r="BA222" i="6"/>
  <c r="AV223" i="6"/>
  <c r="AW223" i="6"/>
  <c r="AZ223" i="6" s="1"/>
  <c r="AX223" i="6"/>
  <c r="AY223" i="6" s="1"/>
  <c r="BA223" i="6" s="1"/>
  <c r="AV224" i="6"/>
  <c r="AW224" i="6"/>
  <c r="AZ224" i="6" s="1"/>
  <c r="AX224" i="6"/>
  <c r="AY224" i="6"/>
  <c r="BA224" i="6" s="1"/>
  <c r="AV225" i="6"/>
  <c r="AW225" i="6"/>
  <c r="AX225" i="6"/>
  <c r="AY225" i="6"/>
  <c r="AZ225" i="6"/>
  <c r="BA225" i="6"/>
  <c r="AV226" i="6"/>
  <c r="AW226" i="6" s="1"/>
  <c r="AZ226" i="6" s="1"/>
  <c r="AX226" i="6"/>
  <c r="AY226" i="6"/>
  <c r="BA226" i="6"/>
  <c r="AV227" i="6"/>
  <c r="AW227" i="6"/>
  <c r="AZ227" i="6" s="1"/>
  <c r="AX227" i="6"/>
  <c r="AY227" i="6" s="1"/>
  <c r="BA227" i="6" s="1"/>
  <c r="AV228" i="6"/>
  <c r="AW228" i="6"/>
  <c r="AZ228" i="6" s="1"/>
  <c r="AX228" i="6"/>
  <c r="AY228" i="6"/>
  <c r="BA228" i="6" s="1"/>
  <c r="AV229" i="6"/>
  <c r="AW229" i="6"/>
  <c r="AX229" i="6"/>
  <c r="AY229" i="6"/>
  <c r="AZ229" i="6"/>
  <c r="BA229" i="6"/>
  <c r="AV230" i="6"/>
  <c r="AW230" i="6" s="1"/>
  <c r="AZ230" i="6" s="1"/>
  <c r="AX230" i="6"/>
  <c r="AY230" i="6"/>
  <c r="BA230" i="6"/>
  <c r="AV231" i="6"/>
  <c r="AW231" i="6"/>
  <c r="AZ231" i="6" s="1"/>
  <c r="AX231" i="6"/>
  <c r="AY231" i="6" s="1"/>
  <c r="BA231" i="6" s="1"/>
  <c r="AV232" i="6"/>
  <c r="AW232" i="6"/>
  <c r="AZ232" i="6" s="1"/>
  <c r="AX232" i="6"/>
  <c r="AY232" i="6"/>
  <c r="BA232" i="6" s="1"/>
  <c r="AV233" i="6"/>
  <c r="AW233" i="6"/>
  <c r="AX233" i="6"/>
  <c r="AY233" i="6"/>
  <c r="AZ233" i="6"/>
  <c r="BA233" i="6"/>
  <c r="AV234" i="6"/>
  <c r="AW234" i="6" s="1"/>
  <c r="AZ234" i="6" s="1"/>
  <c r="AX234" i="6"/>
  <c r="AY234" i="6"/>
  <c r="BA234" i="6"/>
  <c r="AF205" i="6"/>
  <c r="AG205" i="6" s="1"/>
  <c r="AH205" i="6"/>
  <c r="AI205" i="6" s="1"/>
  <c r="AF206" i="6"/>
  <c r="AG206" i="6"/>
  <c r="AH206" i="6"/>
  <c r="AI206" i="6" s="1"/>
  <c r="AF207" i="6"/>
  <c r="AG207" i="6" s="1"/>
  <c r="AH207" i="6"/>
  <c r="AI207" i="6" s="1"/>
  <c r="AF208" i="6"/>
  <c r="AG208" i="6"/>
  <c r="AH208" i="6"/>
  <c r="AI208" i="6" s="1"/>
  <c r="AF209" i="6"/>
  <c r="AG209" i="6" s="1"/>
  <c r="AH209" i="6"/>
  <c r="AI209" i="6" s="1"/>
  <c r="AF210" i="6"/>
  <c r="AG210" i="6"/>
  <c r="AH210" i="6"/>
  <c r="AI210" i="6" s="1"/>
  <c r="AF211" i="6"/>
  <c r="AG211" i="6" s="1"/>
  <c r="AH211" i="6"/>
  <c r="AI211" i="6" s="1"/>
  <c r="AF212" i="6"/>
  <c r="AG212" i="6"/>
  <c r="AH212" i="6"/>
  <c r="AI212" i="6" s="1"/>
  <c r="AF213" i="6"/>
  <c r="AG213" i="6" s="1"/>
  <c r="AH213" i="6"/>
  <c r="AI213" i="6" s="1"/>
  <c r="AF214" i="6"/>
  <c r="AG214" i="6"/>
  <c r="AH214" i="6"/>
  <c r="AI214" i="6" s="1"/>
  <c r="AF215" i="6"/>
  <c r="AG215" i="6" s="1"/>
  <c r="AH215" i="6"/>
  <c r="AI215" i="6" s="1"/>
  <c r="AF216" i="6"/>
  <c r="AG216" i="6"/>
  <c r="AH216" i="6"/>
  <c r="AI216" i="6" s="1"/>
  <c r="AF217" i="6"/>
  <c r="AG217" i="6" s="1"/>
  <c r="AH217" i="6"/>
  <c r="AI217" i="6" s="1"/>
  <c r="AF218" i="6"/>
  <c r="AG218" i="6"/>
  <c r="AH218" i="6"/>
  <c r="AI218" i="6" s="1"/>
  <c r="AF219" i="6"/>
  <c r="AG219" i="6" s="1"/>
  <c r="AH219" i="6"/>
  <c r="AI219" i="6" s="1"/>
  <c r="AF220" i="6"/>
  <c r="AG220" i="6"/>
  <c r="AH220" i="6"/>
  <c r="AI220" i="6" s="1"/>
  <c r="AF221" i="6"/>
  <c r="AG221" i="6" s="1"/>
  <c r="AH221" i="6"/>
  <c r="AI221" i="6" s="1"/>
  <c r="AF222" i="6"/>
  <c r="AG222" i="6"/>
  <c r="AH222" i="6"/>
  <c r="AI222" i="6" s="1"/>
  <c r="AF223" i="6"/>
  <c r="AG223" i="6" s="1"/>
  <c r="AH223" i="6"/>
  <c r="AI223" i="6" s="1"/>
  <c r="AF224" i="6"/>
  <c r="AG224" i="6"/>
  <c r="AH224" i="6"/>
  <c r="AI224" i="6" s="1"/>
  <c r="AF225" i="6"/>
  <c r="AG225" i="6" s="1"/>
  <c r="AH225" i="6"/>
  <c r="AI225" i="6" s="1"/>
  <c r="AF226" i="6"/>
  <c r="AG226" i="6"/>
  <c r="AH226" i="6"/>
  <c r="AI226" i="6" s="1"/>
  <c r="AF227" i="6"/>
  <c r="AG227" i="6" s="1"/>
  <c r="AH227" i="6"/>
  <c r="AI227" i="6" s="1"/>
  <c r="AF228" i="6"/>
  <c r="AG228" i="6"/>
  <c r="AH228" i="6"/>
  <c r="AI228" i="6" s="1"/>
  <c r="AF229" i="6"/>
  <c r="AG229" i="6" s="1"/>
  <c r="AH229" i="6"/>
  <c r="AI229" i="6" s="1"/>
  <c r="AF230" i="6"/>
  <c r="AG230" i="6"/>
  <c r="AH230" i="6"/>
  <c r="AI230" i="6" s="1"/>
  <c r="AF231" i="6"/>
  <c r="AG231" i="6" s="1"/>
  <c r="AH231" i="6"/>
  <c r="AI231" i="6" s="1"/>
  <c r="V208" i="6"/>
  <c r="W208" i="6"/>
  <c r="V209" i="6"/>
  <c r="W209" i="6"/>
  <c r="V210" i="6"/>
  <c r="W210" i="6"/>
  <c r="V211" i="6"/>
  <c r="W211" i="6"/>
  <c r="V212" i="6"/>
  <c r="W212" i="6"/>
  <c r="V213" i="6"/>
  <c r="W213" i="6"/>
  <c r="V214" i="6"/>
  <c r="W214" i="6"/>
  <c r="V215" i="6"/>
  <c r="W215" i="6"/>
  <c r="V216" i="6"/>
  <c r="W216" i="6"/>
  <c r="V217" i="6"/>
  <c r="W217" i="6"/>
  <c r="V218" i="6"/>
  <c r="W218" i="6"/>
  <c r="V219" i="6"/>
  <c r="W219" i="6"/>
  <c r="V220" i="6"/>
  <c r="W220" i="6"/>
  <c r="V221" i="6"/>
  <c r="W221" i="6"/>
  <c r="V222" i="6"/>
  <c r="W222" i="6"/>
  <c r="V223" i="6"/>
  <c r="W223" i="6"/>
  <c r="V224" i="6"/>
  <c r="W224" i="6"/>
  <c r="V225" i="6"/>
  <c r="W225" i="6"/>
  <c r="V226" i="6"/>
  <c r="W226" i="6"/>
  <c r="V227" i="6"/>
  <c r="W227" i="6"/>
  <c r="V228" i="6"/>
  <c r="W228" i="6"/>
  <c r="V229" i="6"/>
  <c r="W229" i="6"/>
  <c r="V230" i="6"/>
  <c r="W230" i="6"/>
  <c r="V231" i="6"/>
  <c r="W231" i="6"/>
  <c r="V232" i="6"/>
  <c r="W232" i="6"/>
  <c r="P204" i="6"/>
  <c r="Q204" i="6" s="1"/>
  <c r="R204" i="6"/>
  <c r="S204" i="6"/>
  <c r="P205" i="6"/>
  <c r="Q205" i="6" s="1"/>
  <c r="R205" i="6"/>
  <c r="S205" i="6" s="1"/>
  <c r="P206" i="6"/>
  <c r="Q206" i="6" s="1"/>
  <c r="R206" i="6"/>
  <c r="S206" i="6"/>
  <c r="P207" i="6"/>
  <c r="Q207" i="6" s="1"/>
  <c r="R207" i="6"/>
  <c r="S207" i="6" s="1"/>
  <c r="P208" i="6"/>
  <c r="Q208" i="6" s="1"/>
  <c r="R208" i="6"/>
  <c r="S208" i="6"/>
  <c r="P209" i="6"/>
  <c r="Q209" i="6" s="1"/>
  <c r="R209" i="6"/>
  <c r="S209" i="6" s="1"/>
  <c r="P210" i="6"/>
  <c r="Q210" i="6" s="1"/>
  <c r="R210" i="6"/>
  <c r="S210" i="6"/>
  <c r="P211" i="6"/>
  <c r="Q211" i="6" s="1"/>
  <c r="R211" i="6"/>
  <c r="S211" i="6" s="1"/>
  <c r="P212" i="6"/>
  <c r="Q212" i="6" s="1"/>
  <c r="R212" i="6"/>
  <c r="S212" i="6"/>
  <c r="P213" i="6"/>
  <c r="Q213" i="6" s="1"/>
  <c r="R213" i="6"/>
  <c r="S213" i="6" s="1"/>
  <c r="P214" i="6"/>
  <c r="Q214" i="6" s="1"/>
  <c r="R214" i="6"/>
  <c r="S214" i="6"/>
  <c r="P215" i="6"/>
  <c r="Q215" i="6" s="1"/>
  <c r="R215" i="6"/>
  <c r="S215" i="6" s="1"/>
  <c r="P216" i="6"/>
  <c r="Q216" i="6" s="1"/>
  <c r="R216" i="6"/>
  <c r="S216" i="6"/>
  <c r="P217" i="6"/>
  <c r="Q217" i="6" s="1"/>
  <c r="R217" i="6"/>
  <c r="S217" i="6" s="1"/>
  <c r="P218" i="6"/>
  <c r="Q218" i="6" s="1"/>
  <c r="R218" i="6"/>
  <c r="S218" i="6"/>
  <c r="P219" i="6"/>
  <c r="Q219" i="6" s="1"/>
  <c r="R219" i="6"/>
  <c r="S219" i="6" s="1"/>
  <c r="P220" i="6"/>
  <c r="Q220" i="6" s="1"/>
  <c r="R220" i="6"/>
  <c r="S220" i="6"/>
  <c r="P221" i="6"/>
  <c r="Q221" i="6" s="1"/>
  <c r="R221" i="6"/>
  <c r="S221" i="6" s="1"/>
  <c r="P222" i="6"/>
  <c r="Q222" i="6" s="1"/>
  <c r="R222" i="6"/>
  <c r="S222" i="6"/>
  <c r="P223" i="6"/>
  <c r="Q223" i="6" s="1"/>
  <c r="R223" i="6"/>
  <c r="S223" i="6" s="1"/>
  <c r="P224" i="6"/>
  <c r="Q224" i="6" s="1"/>
  <c r="R224" i="6"/>
  <c r="S224" i="6"/>
  <c r="P225" i="6"/>
  <c r="Q225" i="6" s="1"/>
  <c r="R225" i="6"/>
  <c r="S225" i="6" s="1"/>
  <c r="P226" i="6"/>
  <c r="Q226" i="6" s="1"/>
  <c r="R226" i="6"/>
  <c r="S226" i="6"/>
  <c r="P227" i="6"/>
  <c r="Q227" i="6" s="1"/>
  <c r="R227" i="6"/>
  <c r="S227" i="6" s="1"/>
  <c r="P228" i="6"/>
  <c r="Q228" i="6" s="1"/>
  <c r="R228" i="6"/>
  <c r="S228" i="6"/>
  <c r="P229" i="6"/>
  <c r="Q229" i="6" s="1"/>
  <c r="R229" i="6"/>
  <c r="S229" i="6" s="1"/>
  <c r="P230" i="6"/>
  <c r="Q230" i="6" s="1"/>
  <c r="R230" i="6"/>
  <c r="S230" i="6"/>
  <c r="P231" i="6"/>
  <c r="Q231" i="6" s="1"/>
  <c r="R231" i="6"/>
  <c r="S231" i="6" s="1"/>
  <c r="P232" i="6"/>
  <c r="Q232" i="6" s="1"/>
  <c r="R232" i="6"/>
  <c r="S232" i="6"/>
  <c r="AV235" i="6" l="1"/>
  <c r="AW235" i="6" s="1"/>
  <c r="AX235" i="6"/>
  <c r="AY235" i="6" s="1"/>
  <c r="AV236" i="6"/>
  <c r="AW236" i="6" s="1"/>
  <c r="AX236" i="6"/>
  <c r="AY236" i="6" s="1"/>
  <c r="AV237" i="6"/>
  <c r="AW237" i="6" s="1"/>
  <c r="AX237" i="6"/>
  <c r="AY237" i="6" s="1"/>
  <c r="AV238" i="6"/>
  <c r="AW238" i="6" s="1"/>
  <c r="AX238" i="6"/>
  <c r="AY238" i="6" s="1"/>
  <c r="AV239" i="6"/>
  <c r="AW239" i="6" s="1"/>
  <c r="AX239" i="6"/>
  <c r="AY239" i="6" s="1"/>
  <c r="AV240" i="6"/>
  <c r="AW240" i="6" s="1"/>
  <c r="AX240" i="6"/>
  <c r="AY240" i="6" s="1"/>
  <c r="AV241" i="6"/>
  <c r="AW241" i="6" s="1"/>
  <c r="AX241" i="6"/>
  <c r="AY241" i="6" s="1"/>
  <c r="AV242" i="6"/>
  <c r="AW242" i="6" s="1"/>
  <c r="AX242" i="6"/>
  <c r="AY242" i="6" s="1"/>
  <c r="AV243" i="6"/>
  <c r="AW243" i="6" s="1"/>
  <c r="AX243" i="6"/>
  <c r="AY243" i="6" s="1"/>
  <c r="AV244" i="6"/>
  <c r="AW244" i="6"/>
  <c r="AX244" i="6"/>
  <c r="AY244" i="6" s="1"/>
  <c r="AV245" i="6"/>
  <c r="AW245" i="6" s="1"/>
  <c r="AX245" i="6"/>
  <c r="AY245" i="6" s="1"/>
  <c r="AV246" i="6"/>
  <c r="AW246" i="6" s="1"/>
  <c r="AX246" i="6"/>
  <c r="AY246" i="6" s="1"/>
  <c r="AV247" i="6"/>
  <c r="AW247" i="6" s="1"/>
  <c r="AX247" i="6"/>
  <c r="AY247" i="6"/>
  <c r="AV248" i="6"/>
  <c r="AW248" i="6" s="1"/>
  <c r="AX248" i="6"/>
  <c r="AY248" i="6" s="1"/>
  <c r="AV249" i="6"/>
  <c r="AW249" i="6" s="1"/>
  <c r="AX249" i="6"/>
  <c r="AY249" i="6" s="1"/>
  <c r="AV250" i="6"/>
  <c r="AW250" i="6" s="1"/>
  <c r="AX250" i="6"/>
  <c r="AY250" i="6" s="1"/>
  <c r="AV251" i="6"/>
  <c r="AW251" i="6" s="1"/>
  <c r="AX251" i="6"/>
  <c r="AY251" i="6" s="1"/>
  <c r="AV252" i="6"/>
  <c r="AW252" i="6"/>
  <c r="AX252" i="6"/>
  <c r="AY252" i="6" s="1"/>
  <c r="AV253" i="6"/>
  <c r="AW253" i="6" s="1"/>
  <c r="AX253" i="6"/>
  <c r="AY253" i="6" s="1"/>
  <c r="AV254" i="6"/>
  <c r="AW254" i="6"/>
  <c r="AX254" i="6"/>
  <c r="AY254" i="6" s="1"/>
  <c r="AV255" i="6"/>
  <c r="AW255" i="6" s="1"/>
  <c r="AX255" i="6"/>
  <c r="AY255" i="6" s="1"/>
  <c r="AV256" i="6"/>
  <c r="AW256" i="6" s="1"/>
  <c r="AX256" i="6"/>
  <c r="AY256" i="6" s="1"/>
  <c r="AV257" i="6"/>
  <c r="AW257" i="6" s="1"/>
  <c r="AX257" i="6"/>
  <c r="AY257" i="6"/>
  <c r="AV258" i="6"/>
  <c r="AW258" i="6" s="1"/>
  <c r="AX258" i="6"/>
  <c r="AY258" i="6" s="1"/>
  <c r="AV259" i="6"/>
  <c r="AW259" i="6" s="1"/>
  <c r="AX259" i="6"/>
  <c r="AY259" i="6" s="1"/>
  <c r="AV260" i="6"/>
  <c r="AW260" i="6"/>
  <c r="AX260" i="6"/>
  <c r="AY260" i="6" s="1"/>
  <c r="AV261" i="6"/>
  <c r="AW261" i="6"/>
  <c r="AX261" i="6"/>
  <c r="AY261" i="6" s="1"/>
  <c r="AV262" i="6"/>
  <c r="AW262" i="6" s="1"/>
  <c r="AX262" i="6"/>
  <c r="AY262" i="6" s="1"/>
  <c r="AV263" i="6"/>
  <c r="AW263" i="6" s="1"/>
  <c r="AX263" i="6"/>
  <c r="AY263" i="6" s="1"/>
  <c r="AV264" i="6"/>
  <c r="AW264" i="6" s="1"/>
  <c r="AX264" i="6"/>
  <c r="AY264" i="6" s="1"/>
  <c r="AV265" i="6"/>
  <c r="AW265" i="6" s="1"/>
  <c r="AX265" i="6"/>
  <c r="AY265" i="6" s="1"/>
  <c r="AV266" i="6"/>
  <c r="AW266" i="6" s="1"/>
  <c r="AX266" i="6"/>
  <c r="AY266" i="6" s="1"/>
  <c r="AV267" i="6"/>
  <c r="AW267" i="6" s="1"/>
  <c r="AX267" i="6"/>
  <c r="AY267" i="6" s="1"/>
  <c r="AV268" i="6"/>
  <c r="AW268" i="6" s="1"/>
  <c r="AX268" i="6"/>
  <c r="AY268" i="6" s="1"/>
  <c r="AV269" i="6"/>
  <c r="AW269" i="6"/>
  <c r="AX269" i="6"/>
  <c r="AY269" i="6"/>
  <c r="AV270" i="6"/>
  <c r="AW270" i="6" s="1"/>
  <c r="AX270" i="6"/>
  <c r="AY270" i="6" s="1"/>
  <c r="AV271" i="6"/>
  <c r="AW271" i="6" s="1"/>
  <c r="AX271" i="6"/>
  <c r="AY271" i="6" s="1"/>
  <c r="AV272" i="6"/>
  <c r="AW272" i="6"/>
  <c r="AX272" i="6"/>
  <c r="AY272" i="6" s="1"/>
  <c r="AV273" i="6"/>
  <c r="AW273" i="6" s="1"/>
  <c r="AX273" i="6"/>
  <c r="AY273" i="6" s="1"/>
  <c r="AV274" i="6"/>
  <c r="AW274" i="6" s="1"/>
  <c r="AX274" i="6"/>
  <c r="AY274" i="6" s="1"/>
  <c r="AV275" i="6"/>
  <c r="AW275" i="6" s="1"/>
  <c r="AX275" i="6"/>
  <c r="AY275" i="6" s="1"/>
  <c r="AV276" i="6"/>
  <c r="AW276" i="6" s="1"/>
  <c r="AX276" i="6"/>
  <c r="AY276" i="6" s="1"/>
  <c r="AV277" i="6"/>
  <c r="AW277" i="6"/>
  <c r="AX277" i="6"/>
  <c r="AY277" i="6" s="1"/>
  <c r="AV278" i="6"/>
  <c r="AW278" i="6" s="1"/>
  <c r="AX278" i="6"/>
  <c r="AY278" i="6" s="1"/>
  <c r="AV279" i="6"/>
  <c r="AW279" i="6" s="1"/>
  <c r="AX279" i="6"/>
  <c r="AY279" i="6" s="1"/>
  <c r="AV280" i="6"/>
  <c r="AW280" i="6" s="1"/>
  <c r="AX280" i="6"/>
  <c r="AY280" i="6" s="1"/>
  <c r="AV281" i="6"/>
  <c r="AW281" i="6" s="1"/>
  <c r="AX281" i="6"/>
  <c r="AY281" i="6" s="1"/>
  <c r="AV282" i="6"/>
  <c r="AW282" i="6"/>
  <c r="AX282" i="6"/>
  <c r="AY282" i="6" s="1"/>
  <c r="AV283" i="6"/>
  <c r="AW283" i="6" s="1"/>
  <c r="AX283" i="6"/>
  <c r="AY283" i="6" s="1"/>
  <c r="AV284" i="6"/>
  <c r="AW284" i="6" s="1"/>
  <c r="AX284" i="6"/>
  <c r="AY284" i="6" s="1"/>
  <c r="AV285" i="6"/>
  <c r="AW285" i="6" s="1"/>
  <c r="AX285" i="6"/>
  <c r="AY285" i="6" s="1"/>
  <c r="AV286" i="6"/>
  <c r="AW286" i="6" s="1"/>
  <c r="AX286" i="6"/>
  <c r="AY286" i="6" s="1"/>
  <c r="AV287" i="6"/>
  <c r="AW287" i="6" s="1"/>
  <c r="AX287" i="6"/>
  <c r="AY287" i="6" s="1"/>
  <c r="AV288" i="6"/>
  <c r="AW288" i="6"/>
  <c r="AX288" i="6"/>
  <c r="AY288" i="6" s="1"/>
  <c r="AV289" i="6"/>
  <c r="AW289" i="6" s="1"/>
  <c r="AX289" i="6"/>
  <c r="AY289" i="6" s="1"/>
  <c r="AV290" i="6"/>
  <c r="AW290" i="6"/>
  <c r="AX290" i="6"/>
  <c r="AY290" i="6" s="1"/>
  <c r="AV291" i="6"/>
  <c r="AW291" i="6" s="1"/>
  <c r="AX291" i="6"/>
  <c r="AY291" i="6" s="1"/>
  <c r="AV292" i="6"/>
  <c r="AW292" i="6" s="1"/>
  <c r="AX292" i="6"/>
  <c r="AY292" i="6" s="1"/>
  <c r="AV293" i="6"/>
  <c r="AW293" i="6" s="1"/>
  <c r="AX293" i="6"/>
  <c r="AY293" i="6"/>
  <c r="AV294" i="6"/>
  <c r="AW294" i="6" s="1"/>
  <c r="AX294" i="6"/>
  <c r="AY294" i="6" s="1"/>
  <c r="AV295" i="6"/>
  <c r="AW295" i="6" s="1"/>
  <c r="AX295" i="6"/>
  <c r="AY295" i="6" s="1"/>
  <c r="AV296" i="6"/>
  <c r="AW296" i="6" s="1"/>
  <c r="AX296" i="6"/>
  <c r="AY296" i="6" s="1"/>
  <c r="AV297" i="6"/>
  <c r="AW297" i="6" s="1"/>
  <c r="AX297" i="6"/>
  <c r="AY297" i="6" s="1"/>
  <c r="AV298" i="6"/>
  <c r="AW298" i="6" s="1"/>
  <c r="AX298" i="6"/>
  <c r="AY298" i="6" s="1"/>
  <c r="AV299" i="6"/>
  <c r="AW299" i="6" s="1"/>
  <c r="AX299" i="6"/>
  <c r="AY299" i="6" s="1"/>
  <c r="AV300" i="6"/>
  <c r="AW300" i="6" s="1"/>
  <c r="AX300" i="6"/>
  <c r="AY300" i="6" s="1"/>
  <c r="AV301" i="6"/>
  <c r="AW301" i="6" s="1"/>
  <c r="AX301" i="6"/>
  <c r="AY301" i="6" s="1"/>
  <c r="AV302" i="6"/>
  <c r="AW302" i="6"/>
  <c r="AX302" i="6"/>
  <c r="AY302" i="6" s="1"/>
  <c r="AV303" i="6"/>
  <c r="AW303" i="6" s="1"/>
  <c r="AX303" i="6"/>
  <c r="AY303" i="6" s="1"/>
  <c r="AV304" i="6"/>
  <c r="AW304" i="6" s="1"/>
  <c r="AX304" i="6"/>
  <c r="AY304" i="6" s="1"/>
  <c r="AV305" i="6"/>
  <c r="AW305" i="6" s="1"/>
  <c r="AX305" i="6"/>
  <c r="AY305" i="6" s="1"/>
  <c r="AV306" i="6"/>
  <c r="AW306" i="6" s="1"/>
  <c r="AX306" i="6"/>
  <c r="AY306" i="6" s="1"/>
  <c r="AV307" i="6"/>
  <c r="AW307" i="6" s="1"/>
  <c r="AX307" i="6"/>
  <c r="AY307" i="6" s="1"/>
  <c r="AV308" i="6"/>
  <c r="AW308" i="6" s="1"/>
  <c r="AX308" i="6"/>
  <c r="AY308" i="6" s="1"/>
  <c r="AV309" i="6"/>
  <c r="AW309" i="6"/>
  <c r="AX309" i="6"/>
  <c r="AY309" i="6" s="1"/>
  <c r="AV310" i="6"/>
  <c r="AW310" i="6" s="1"/>
  <c r="AX310" i="6"/>
  <c r="AY310" i="6" s="1"/>
  <c r="AV311" i="6"/>
  <c r="AW311" i="6" s="1"/>
  <c r="AX311" i="6"/>
  <c r="AY311" i="6" s="1"/>
  <c r="AV312" i="6"/>
  <c r="AW312" i="6" s="1"/>
  <c r="AX312" i="6"/>
  <c r="AY312" i="6" s="1"/>
  <c r="AV313" i="6"/>
  <c r="AW313" i="6" s="1"/>
  <c r="AX313" i="6"/>
  <c r="AY313" i="6" s="1"/>
  <c r="AV314" i="6"/>
  <c r="AW314" i="6"/>
  <c r="AX314" i="6"/>
  <c r="AY314" i="6" s="1"/>
  <c r="AV315" i="6"/>
  <c r="AW315" i="6" s="1"/>
  <c r="AX315" i="6"/>
  <c r="AY315" i="6" s="1"/>
  <c r="AV316" i="6"/>
  <c r="AW316" i="6"/>
  <c r="AX316" i="6"/>
  <c r="AY316" i="6" s="1"/>
  <c r="AV317" i="6"/>
  <c r="AW317" i="6" s="1"/>
  <c r="AX317" i="6"/>
  <c r="AY317" i="6" s="1"/>
  <c r="AV318" i="6"/>
  <c r="AW318" i="6" s="1"/>
  <c r="AX318" i="6"/>
  <c r="AY318" i="6" s="1"/>
  <c r="AV319" i="6"/>
  <c r="AW319" i="6" s="1"/>
  <c r="AX319" i="6"/>
  <c r="AY319" i="6" s="1"/>
  <c r="AV320" i="6"/>
  <c r="AW320" i="6" s="1"/>
  <c r="AX320" i="6"/>
  <c r="AY320" i="6" s="1"/>
  <c r="AV321" i="6"/>
  <c r="AW321" i="6" s="1"/>
  <c r="AX321" i="6"/>
  <c r="AY321" i="6" s="1"/>
  <c r="AV322" i="6"/>
  <c r="AW322" i="6" s="1"/>
  <c r="AX322" i="6"/>
  <c r="AY322" i="6" s="1"/>
  <c r="AV323" i="6"/>
  <c r="AW323" i="6" s="1"/>
  <c r="AX323" i="6"/>
  <c r="AY323" i="6" s="1"/>
  <c r="AV324" i="6"/>
  <c r="AW324" i="6" s="1"/>
  <c r="AX324" i="6"/>
  <c r="AY324" i="6" s="1"/>
  <c r="AV325" i="6"/>
  <c r="AW325" i="6" s="1"/>
  <c r="AX325" i="6"/>
  <c r="AY325" i="6" s="1"/>
  <c r="AV326" i="6"/>
  <c r="AW326" i="6"/>
  <c r="AX326" i="6"/>
  <c r="AY326" i="6"/>
  <c r="AV327" i="6"/>
  <c r="AW327" i="6" s="1"/>
  <c r="AX327" i="6"/>
  <c r="AY327" i="6" s="1"/>
  <c r="AV328" i="6"/>
  <c r="AW328" i="6" s="1"/>
  <c r="AX328" i="6"/>
  <c r="AY328" i="6" s="1"/>
  <c r="AV329" i="6"/>
  <c r="AW329" i="6" s="1"/>
  <c r="AX329" i="6"/>
  <c r="AY329" i="6" s="1"/>
  <c r="AV330" i="6"/>
  <c r="AW330" i="6" s="1"/>
  <c r="AX330" i="6"/>
  <c r="AY330" i="6" s="1"/>
  <c r="AV331" i="6"/>
  <c r="AW331" i="6" s="1"/>
  <c r="AX331" i="6"/>
  <c r="AY331" i="6" s="1"/>
  <c r="AV332" i="6"/>
  <c r="AW332" i="6"/>
  <c r="AX332" i="6"/>
  <c r="AY332" i="6" s="1"/>
  <c r="AV333" i="6"/>
  <c r="AW333" i="6" s="1"/>
  <c r="AX333" i="6"/>
  <c r="AY333" i="6"/>
  <c r="AV334" i="6"/>
  <c r="AW334" i="6"/>
  <c r="AX334" i="6"/>
  <c r="AY334" i="6" s="1"/>
  <c r="AV335" i="6"/>
  <c r="AW335" i="6" s="1"/>
  <c r="AX335" i="6"/>
  <c r="AY335" i="6" s="1"/>
  <c r="AV336" i="6"/>
  <c r="AW336" i="6" s="1"/>
  <c r="AX336" i="6"/>
  <c r="AY336" i="6" s="1"/>
  <c r="AV337" i="6"/>
  <c r="AW337" i="6" s="1"/>
  <c r="AX337" i="6"/>
  <c r="AY337" i="6" s="1"/>
  <c r="AV338" i="6"/>
  <c r="AW338" i="6" s="1"/>
  <c r="AX338" i="6"/>
  <c r="AY338" i="6" s="1"/>
  <c r="AV339" i="6"/>
  <c r="AW339" i="6" s="1"/>
  <c r="AX339" i="6"/>
  <c r="AY339" i="6" s="1"/>
  <c r="AV340" i="6"/>
  <c r="AW340" i="6" s="1"/>
  <c r="AX340" i="6"/>
  <c r="AY340" i="6" s="1"/>
  <c r="AV341" i="6"/>
  <c r="AW341" i="6" s="1"/>
  <c r="AX341" i="6"/>
  <c r="AY341" i="6" s="1"/>
  <c r="AV342" i="6"/>
  <c r="AW342" i="6" s="1"/>
  <c r="AX342" i="6"/>
  <c r="AY342" i="6" s="1"/>
  <c r="AV343" i="6"/>
  <c r="AW343" i="6" s="1"/>
  <c r="AX343" i="6"/>
  <c r="AY343" i="6" s="1"/>
  <c r="AV344" i="6"/>
  <c r="AW344" i="6"/>
  <c r="AX344" i="6"/>
  <c r="AY344" i="6" s="1"/>
  <c r="AV345" i="6"/>
  <c r="AW345" i="6" s="1"/>
  <c r="AX345" i="6"/>
  <c r="AY345" i="6" s="1"/>
  <c r="AV346" i="6"/>
  <c r="AW346" i="6" s="1"/>
  <c r="AX346" i="6"/>
  <c r="AY346" i="6" s="1"/>
  <c r="AV347" i="6"/>
  <c r="AW347" i="6" s="1"/>
  <c r="AX347" i="6"/>
  <c r="AY347" i="6"/>
  <c r="AV348" i="6"/>
  <c r="AW348" i="6" s="1"/>
  <c r="AX348" i="6"/>
  <c r="AY348" i="6" s="1"/>
  <c r="AV349" i="6"/>
  <c r="AW349" i="6" s="1"/>
  <c r="AX349" i="6"/>
  <c r="AY349" i="6" s="1"/>
  <c r="AV350" i="6"/>
  <c r="AW350" i="6" s="1"/>
  <c r="AX350" i="6"/>
  <c r="AY350" i="6" s="1"/>
  <c r="AV351" i="6"/>
  <c r="AW351" i="6" s="1"/>
  <c r="AX351" i="6"/>
  <c r="AY351" i="6" s="1"/>
  <c r="AV352" i="6"/>
  <c r="AW352" i="6" s="1"/>
  <c r="AX352" i="6"/>
  <c r="AY352" i="6" s="1"/>
  <c r="AV353" i="6"/>
  <c r="AW353" i="6" s="1"/>
  <c r="AX353" i="6"/>
  <c r="AY353" i="6" s="1"/>
  <c r="AV354" i="6"/>
  <c r="AW354" i="6" s="1"/>
  <c r="AX354" i="6"/>
  <c r="AY354" i="6"/>
  <c r="AV355" i="6"/>
  <c r="AW355" i="6" s="1"/>
  <c r="AX355" i="6"/>
  <c r="AY355" i="6" s="1"/>
  <c r="AV356" i="6"/>
  <c r="AW356" i="6" s="1"/>
  <c r="AX356" i="6"/>
  <c r="AY356" i="6" s="1"/>
  <c r="AV357" i="6"/>
  <c r="AW357" i="6"/>
  <c r="AX357" i="6"/>
  <c r="AY357" i="6" s="1"/>
  <c r="AV358" i="6"/>
  <c r="AW358" i="6" s="1"/>
  <c r="AX358" i="6"/>
  <c r="AY358" i="6" s="1"/>
  <c r="AV359" i="6"/>
  <c r="AW359" i="6" s="1"/>
  <c r="AX359" i="6"/>
  <c r="AY359" i="6" s="1"/>
  <c r="AV360" i="6"/>
  <c r="AW360" i="6" s="1"/>
  <c r="AX360" i="6"/>
  <c r="AY360" i="6" s="1"/>
  <c r="AV361" i="6"/>
  <c r="AW361" i="6" s="1"/>
  <c r="AX361" i="6"/>
  <c r="AY361" i="6" s="1"/>
  <c r="AV362" i="6"/>
  <c r="AW362" i="6" s="1"/>
  <c r="AX362" i="6"/>
  <c r="AY362" i="6" s="1"/>
  <c r="AV363" i="6"/>
  <c r="AW363" i="6" s="1"/>
  <c r="AX363" i="6"/>
  <c r="AY363" i="6" s="1"/>
  <c r="AV364" i="6"/>
  <c r="AW364" i="6" s="1"/>
  <c r="AX364" i="6"/>
  <c r="AY364" i="6" s="1"/>
  <c r="AV365" i="6"/>
  <c r="AW365" i="6" s="1"/>
  <c r="AX365" i="6"/>
  <c r="AY365" i="6" s="1"/>
  <c r="AV366" i="6"/>
  <c r="AW366" i="6" s="1"/>
  <c r="AX366" i="6"/>
  <c r="AY366" i="6"/>
  <c r="AV367" i="6"/>
  <c r="AW367" i="6" s="1"/>
  <c r="AX367" i="6"/>
  <c r="AY367" i="6" s="1"/>
  <c r="AV368" i="6"/>
  <c r="AW368" i="6" s="1"/>
  <c r="AX368" i="6"/>
  <c r="AY368" i="6" s="1"/>
  <c r="AV369" i="6"/>
  <c r="AW369" i="6" s="1"/>
  <c r="AX369" i="6"/>
  <c r="AY369" i="6" s="1"/>
  <c r="AV370" i="6"/>
  <c r="AW370" i="6" s="1"/>
  <c r="AX370" i="6"/>
  <c r="AY370" i="6" s="1"/>
  <c r="AV371" i="6"/>
  <c r="AW371" i="6" s="1"/>
  <c r="AX371" i="6"/>
  <c r="AY371" i="6" s="1"/>
  <c r="AV372" i="6"/>
  <c r="AW372" i="6"/>
  <c r="AX372" i="6"/>
  <c r="AY372" i="6" s="1"/>
  <c r="AV373" i="6"/>
  <c r="AW373" i="6" s="1"/>
  <c r="AX373" i="6"/>
  <c r="AY373" i="6"/>
  <c r="AV374" i="6"/>
  <c r="AW374" i="6" s="1"/>
  <c r="AZ374" i="6" s="1"/>
  <c r="AX374" i="6"/>
  <c r="AY374" i="6" s="1"/>
  <c r="AV375" i="6"/>
  <c r="AW375" i="6" s="1"/>
  <c r="AX375" i="6"/>
  <c r="AY375" i="6" s="1"/>
  <c r="AV376" i="6"/>
  <c r="AW376" i="6" s="1"/>
  <c r="AX376" i="6"/>
  <c r="AY376" i="6" s="1"/>
  <c r="AV377" i="6"/>
  <c r="AW377" i="6" s="1"/>
  <c r="AX377" i="6"/>
  <c r="AY377" i="6" s="1"/>
  <c r="AV378" i="6"/>
  <c r="AW378" i="6" s="1"/>
  <c r="AX378" i="6"/>
  <c r="AY378" i="6"/>
  <c r="AV379" i="6"/>
  <c r="AW379" i="6" s="1"/>
  <c r="AX379" i="6"/>
  <c r="AY379" i="6" s="1"/>
  <c r="AV380" i="6"/>
  <c r="AW380" i="6"/>
  <c r="AX380" i="6"/>
  <c r="AY380" i="6" s="1"/>
  <c r="AV381" i="6"/>
  <c r="AW381" i="6"/>
  <c r="AX381" i="6"/>
  <c r="AY381" i="6" s="1"/>
  <c r="AV382" i="6"/>
  <c r="AW382" i="6" s="1"/>
  <c r="AX382" i="6"/>
  <c r="AY382" i="6"/>
  <c r="AV383" i="6"/>
  <c r="AW383" i="6" s="1"/>
  <c r="AX383" i="6"/>
  <c r="AY383" i="6" s="1"/>
  <c r="AV384" i="6"/>
  <c r="AW384" i="6" s="1"/>
  <c r="AX384" i="6"/>
  <c r="AY384" i="6" s="1"/>
  <c r="AV385" i="6"/>
  <c r="AW385" i="6"/>
  <c r="AX385" i="6"/>
  <c r="AY385" i="6"/>
  <c r="AV386" i="6"/>
  <c r="AW386" i="6" s="1"/>
  <c r="AX386" i="6"/>
  <c r="AY386" i="6" s="1"/>
  <c r="AL230" i="6"/>
  <c r="AM230" i="6"/>
  <c r="AL231" i="6"/>
  <c r="AM231" i="6"/>
  <c r="AL232" i="6"/>
  <c r="AM232" i="6"/>
  <c r="AL233" i="6"/>
  <c r="AM233" i="6"/>
  <c r="AL234" i="6"/>
  <c r="AM234" i="6"/>
  <c r="AL235" i="6"/>
  <c r="AM235" i="6"/>
  <c r="AL236" i="6"/>
  <c r="AM236" i="6"/>
  <c r="AL237" i="6"/>
  <c r="AM237" i="6"/>
  <c r="AL238" i="6"/>
  <c r="AM238" i="6"/>
  <c r="AL239" i="6"/>
  <c r="AM239" i="6"/>
  <c r="AL240" i="6"/>
  <c r="AM240" i="6"/>
  <c r="AL241" i="6"/>
  <c r="AM241" i="6"/>
  <c r="AL242" i="6"/>
  <c r="AM242" i="6"/>
  <c r="AL243" i="6"/>
  <c r="AM243" i="6"/>
  <c r="AL244" i="6"/>
  <c r="AM244" i="6"/>
  <c r="AL245" i="6"/>
  <c r="AM245" i="6"/>
  <c r="AL246" i="6"/>
  <c r="AM246" i="6"/>
  <c r="AL247" i="6"/>
  <c r="AM247" i="6"/>
  <c r="AL248" i="6"/>
  <c r="AM248" i="6"/>
  <c r="AL249" i="6"/>
  <c r="AM249" i="6"/>
  <c r="AL250" i="6"/>
  <c r="AM250" i="6"/>
  <c r="AL251" i="6"/>
  <c r="AM251" i="6"/>
  <c r="AL252" i="6"/>
  <c r="AM252" i="6"/>
  <c r="AL253" i="6"/>
  <c r="AM253" i="6"/>
  <c r="AL254" i="6"/>
  <c r="AM254" i="6"/>
  <c r="AL255" i="6"/>
  <c r="AM255" i="6"/>
  <c r="AL256" i="6"/>
  <c r="AM256" i="6"/>
  <c r="AL257" i="6"/>
  <c r="AM257" i="6"/>
  <c r="AL258" i="6"/>
  <c r="AM258" i="6"/>
  <c r="AL259" i="6"/>
  <c r="AM259" i="6"/>
  <c r="AL260" i="6"/>
  <c r="AM260" i="6"/>
  <c r="AL261" i="6"/>
  <c r="AM261" i="6"/>
  <c r="AL262" i="6"/>
  <c r="AM262" i="6"/>
  <c r="AL263" i="6"/>
  <c r="AM263" i="6"/>
  <c r="AL264" i="6"/>
  <c r="AM264" i="6"/>
  <c r="AL265" i="6"/>
  <c r="AM265" i="6"/>
  <c r="AL266" i="6"/>
  <c r="AM266" i="6"/>
  <c r="AL267" i="6"/>
  <c r="AM267" i="6"/>
  <c r="AL268" i="6"/>
  <c r="AM268" i="6"/>
  <c r="AL269" i="6"/>
  <c r="AM269" i="6"/>
  <c r="AL270" i="6"/>
  <c r="AM270" i="6"/>
  <c r="AL271" i="6"/>
  <c r="AM271" i="6"/>
  <c r="AL272" i="6"/>
  <c r="AM272" i="6"/>
  <c r="AL273" i="6"/>
  <c r="AM273" i="6"/>
  <c r="AL274" i="6"/>
  <c r="AM274" i="6"/>
  <c r="AL275" i="6"/>
  <c r="AM275" i="6"/>
  <c r="AL276" i="6"/>
  <c r="AM276" i="6"/>
  <c r="AL277" i="6"/>
  <c r="AM277" i="6"/>
  <c r="AL278" i="6"/>
  <c r="AM278" i="6"/>
  <c r="AL279" i="6"/>
  <c r="AM279" i="6"/>
  <c r="AL280" i="6"/>
  <c r="AM280" i="6"/>
  <c r="AL281" i="6"/>
  <c r="AM281" i="6"/>
  <c r="AL282" i="6"/>
  <c r="AM282" i="6"/>
  <c r="AL283" i="6"/>
  <c r="AM283" i="6"/>
  <c r="AL284" i="6"/>
  <c r="AM284" i="6"/>
  <c r="AL285" i="6"/>
  <c r="AM285" i="6"/>
  <c r="AL286" i="6"/>
  <c r="AM286" i="6"/>
  <c r="AL287" i="6"/>
  <c r="AM287" i="6"/>
  <c r="AL288" i="6"/>
  <c r="AM288" i="6"/>
  <c r="AL289" i="6"/>
  <c r="AM289" i="6"/>
  <c r="AL290" i="6"/>
  <c r="AM290" i="6"/>
  <c r="AL291" i="6"/>
  <c r="AM291" i="6"/>
  <c r="AL292" i="6"/>
  <c r="AM292" i="6"/>
  <c r="AL293" i="6"/>
  <c r="AM293" i="6"/>
  <c r="AL294" i="6"/>
  <c r="AM294" i="6"/>
  <c r="AL295" i="6"/>
  <c r="AM295" i="6"/>
  <c r="AL296" i="6"/>
  <c r="AM296" i="6"/>
  <c r="AL297" i="6"/>
  <c r="AM297" i="6"/>
  <c r="AL298" i="6"/>
  <c r="AM298" i="6"/>
  <c r="AL299" i="6"/>
  <c r="AM299" i="6"/>
  <c r="AL300" i="6"/>
  <c r="AM300" i="6"/>
  <c r="AL301" i="6"/>
  <c r="AM301" i="6"/>
  <c r="AL302" i="6"/>
  <c r="AM302" i="6"/>
  <c r="AL303" i="6"/>
  <c r="AM303" i="6"/>
  <c r="AL304" i="6"/>
  <c r="AM304" i="6"/>
  <c r="AL305" i="6"/>
  <c r="AM305" i="6"/>
  <c r="AL306" i="6"/>
  <c r="AM306" i="6"/>
  <c r="AL307" i="6"/>
  <c r="AM307" i="6"/>
  <c r="AL308" i="6"/>
  <c r="AM308" i="6"/>
  <c r="AL309" i="6"/>
  <c r="AM309" i="6"/>
  <c r="AL310" i="6"/>
  <c r="AM310" i="6"/>
  <c r="AL311" i="6"/>
  <c r="AM311" i="6"/>
  <c r="AL312" i="6"/>
  <c r="AM312" i="6"/>
  <c r="AL313" i="6"/>
  <c r="AM313" i="6"/>
  <c r="AL314" i="6"/>
  <c r="AM314" i="6"/>
  <c r="AL315" i="6"/>
  <c r="AM315" i="6"/>
  <c r="AL316" i="6"/>
  <c r="AM316" i="6"/>
  <c r="AL317" i="6"/>
  <c r="AM317" i="6"/>
  <c r="AL318" i="6"/>
  <c r="AM318" i="6"/>
  <c r="AL319" i="6"/>
  <c r="AM319" i="6"/>
  <c r="AL320" i="6"/>
  <c r="AM320" i="6"/>
  <c r="AL321" i="6"/>
  <c r="AM321" i="6"/>
  <c r="AL322" i="6"/>
  <c r="AM322" i="6"/>
  <c r="AL323" i="6"/>
  <c r="AM323" i="6"/>
  <c r="AL324" i="6"/>
  <c r="AM324" i="6"/>
  <c r="AL325" i="6"/>
  <c r="AM325" i="6"/>
  <c r="AL326" i="6"/>
  <c r="AM326" i="6"/>
  <c r="AL327" i="6"/>
  <c r="AM327" i="6"/>
  <c r="AL328" i="6"/>
  <c r="AM328" i="6"/>
  <c r="AL329" i="6"/>
  <c r="AM329" i="6"/>
  <c r="AL330" i="6"/>
  <c r="AM330" i="6"/>
  <c r="AL331" i="6"/>
  <c r="AM331" i="6"/>
  <c r="AL332" i="6"/>
  <c r="AM332" i="6"/>
  <c r="AL333" i="6"/>
  <c r="AM333" i="6"/>
  <c r="AL334" i="6"/>
  <c r="AM334" i="6"/>
  <c r="AL335" i="6"/>
  <c r="AM335" i="6"/>
  <c r="AL336" i="6"/>
  <c r="AM336" i="6"/>
  <c r="AL337" i="6"/>
  <c r="AM337" i="6"/>
  <c r="AL338" i="6"/>
  <c r="AM338" i="6"/>
  <c r="AL339" i="6"/>
  <c r="AM339" i="6"/>
  <c r="AL340" i="6"/>
  <c r="AM340" i="6"/>
  <c r="AL341" i="6"/>
  <c r="AM341" i="6"/>
  <c r="AL342" i="6"/>
  <c r="AM342" i="6"/>
  <c r="AL343" i="6"/>
  <c r="AM343" i="6"/>
  <c r="AL344" i="6"/>
  <c r="AM344" i="6"/>
  <c r="AL345" i="6"/>
  <c r="AM345" i="6"/>
  <c r="AL346" i="6"/>
  <c r="AM346" i="6"/>
  <c r="AL347" i="6"/>
  <c r="AM347" i="6"/>
  <c r="AL348" i="6"/>
  <c r="AM348" i="6"/>
  <c r="AL349" i="6"/>
  <c r="AM349" i="6"/>
  <c r="AL350" i="6"/>
  <c r="AM350" i="6"/>
  <c r="AL351" i="6"/>
  <c r="AM351" i="6"/>
  <c r="AL352" i="6"/>
  <c r="AM352" i="6"/>
  <c r="AL353" i="6"/>
  <c r="AM353" i="6"/>
  <c r="AL354" i="6"/>
  <c r="AM354" i="6"/>
  <c r="AL355" i="6"/>
  <c r="AM355" i="6"/>
  <c r="AL356" i="6"/>
  <c r="AM356" i="6"/>
  <c r="AL357" i="6"/>
  <c r="AM357" i="6"/>
  <c r="AL358" i="6"/>
  <c r="AM358" i="6"/>
  <c r="AL359" i="6"/>
  <c r="AM359" i="6"/>
  <c r="AL360" i="6"/>
  <c r="AM360" i="6"/>
  <c r="AL361" i="6"/>
  <c r="AM361" i="6"/>
  <c r="AL362" i="6"/>
  <c r="AM362" i="6"/>
  <c r="AL363" i="6"/>
  <c r="AM363" i="6"/>
  <c r="AL364" i="6"/>
  <c r="AM364" i="6"/>
  <c r="AL365" i="6"/>
  <c r="AM365" i="6"/>
  <c r="AL366" i="6"/>
  <c r="AM366" i="6"/>
  <c r="AL367" i="6"/>
  <c r="AM367" i="6"/>
  <c r="AL368" i="6"/>
  <c r="AM368" i="6"/>
  <c r="AL369" i="6"/>
  <c r="AM369" i="6"/>
  <c r="AL370" i="6"/>
  <c r="AM370" i="6"/>
  <c r="AL371" i="6"/>
  <c r="AM371" i="6"/>
  <c r="AL372" i="6"/>
  <c r="AM372" i="6"/>
  <c r="AL373" i="6"/>
  <c r="AM373" i="6"/>
  <c r="AL374" i="6"/>
  <c r="AM374" i="6"/>
  <c r="AL375" i="6"/>
  <c r="AM375" i="6"/>
  <c r="AL376" i="6"/>
  <c r="AM376" i="6"/>
  <c r="AL377" i="6"/>
  <c r="AM377" i="6"/>
  <c r="AL378" i="6"/>
  <c r="AM378" i="6"/>
  <c r="AL379" i="6"/>
  <c r="AM379" i="6"/>
  <c r="AL380" i="6"/>
  <c r="AM380" i="6"/>
  <c r="AL381" i="6"/>
  <c r="AM381" i="6"/>
  <c r="AL382" i="6"/>
  <c r="AM382" i="6"/>
  <c r="AL383" i="6"/>
  <c r="AM383" i="6"/>
  <c r="AL384" i="6"/>
  <c r="AM384" i="6"/>
  <c r="AF232" i="6"/>
  <c r="AG232" i="6" s="1"/>
  <c r="AH232" i="6"/>
  <c r="AI232" i="6"/>
  <c r="AF233" i="6"/>
  <c r="AG233" i="6" s="1"/>
  <c r="AH233" i="6"/>
  <c r="AI233" i="6" s="1"/>
  <c r="AF234" i="6"/>
  <c r="AG234" i="6" s="1"/>
  <c r="AH234" i="6"/>
  <c r="AI234" i="6" s="1"/>
  <c r="AF235" i="6"/>
  <c r="AG235" i="6" s="1"/>
  <c r="AH235" i="6"/>
  <c r="AI235" i="6" s="1"/>
  <c r="AF236" i="6"/>
  <c r="AG236" i="6" s="1"/>
  <c r="AH236" i="6"/>
  <c r="AI236" i="6" s="1"/>
  <c r="AF237" i="6"/>
  <c r="AG237" i="6" s="1"/>
  <c r="AH237" i="6"/>
  <c r="AI237" i="6" s="1"/>
  <c r="AF238" i="6"/>
  <c r="AG238" i="6" s="1"/>
  <c r="AH238" i="6"/>
  <c r="AI238" i="6" s="1"/>
  <c r="AF239" i="6"/>
  <c r="AG239" i="6" s="1"/>
  <c r="AH239" i="6"/>
  <c r="AI239" i="6" s="1"/>
  <c r="AF240" i="6"/>
  <c r="AG240" i="6" s="1"/>
  <c r="AH240" i="6"/>
  <c r="AI240" i="6" s="1"/>
  <c r="AF241" i="6"/>
  <c r="AG241" i="6"/>
  <c r="AH241" i="6"/>
  <c r="AI241" i="6"/>
  <c r="AF242" i="6"/>
  <c r="AG242" i="6" s="1"/>
  <c r="AH242" i="6"/>
  <c r="AI242" i="6" s="1"/>
  <c r="AF243" i="6"/>
  <c r="AG243" i="6" s="1"/>
  <c r="AH243" i="6"/>
  <c r="AI243" i="6" s="1"/>
  <c r="AF244" i="6"/>
  <c r="AG244" i="6" s="1"/>
  <c r="AH244" i="6"/>
  <c r="AI244" i="6" s="1"/>
  <c r="AF245" i="6"/>
  <c r="AG245" i="6" s="1"/>
  <c r="AH245" i="6"/>
  <c r="AI245" i="6" s="1"/>
  <c r="AF246" i="6"/>
  <c r="AG246" i="6" s="1"/>
  <c r="AH246" i="6"/>
  <c r="AI246" i="6" s="1"/>
  <c r="AF247" i="6"/>
  <c r="AG247" i="6" s="1"/>
  <c r="AH247" i="6"/>
  <c r="AI247" i="6" s="1"/>
  <c r="AF248" i="6"/>
  <c r="AG248" i="6" s="1"/>
  <c r="AH248" i="6"/>
  <c r="AI248" i="6"/>
  <c r="AF249" i="6"/>
  <c r="AG249" i="6"/>
  <c r="AH249" i="6"/>
  <c r="AI249" i="6" s="1"/>
  <c r="AF250" i="6"/>
  <c r="AG250" i="6" s="1"/>
  <c r="AH250" i="6"/>
  <c r="AI250" i="6" s="1"/>
  <c r="AF251" i="6"/>
  <c r="AG251" i="6" s="1"/>
  <c r="AH251" i="6"/>
  <c r="AI251" i="6" s="1"/>
  <c r="AF252" i="6"/>
  <c r="AG252" i="6" s="1"/>
  <c r="AH252" i="6"/>
  <c r="AI252" i="6" s="1"/>
  <c r="AF253" i="6"/>
  <c r="AG253" i="6" s="1"/>
  <c r="AH253" i="6"/>
  <c r="AI253" i="6" s="1"/>
  <c r="AF254" i="6"/>
  <c r="AG254" i="6" s="1"/>
  <c r="AH254" i="6"/>
  <c r="AI254" i="6" s="1"/>
  <c r="AF255" i="6"/>
  <c r="AG255" i="6" s="1"/>
  <c r="AH255" i="6"/>
  <c r="AI255" i="6" s="1"/>
  <c r="AF256" i="6"/>
  <c r="AG256" i="6" s="1"/>
  <c r="AH256" i="6"/>
  <c r="AI256" i="6" s="1"/>
  <c r="AF257" i="6"/>
  <c r="AG257" i="6" s="1"/>
  <c r="AH257" i="6"/>
  <c r="AI257" i="6" s="1"/>
  <c r="AF258" i="6"/>
  <c r="AG258" i="6" s="1"/>
  <c r="AH258" i="6"/>
  <c r="AI258" i="6" s="1"/>
  <c r="AF259" i="6"/>
  <c r="AG259" i="6" s="1"/>
  <c r="AH259" i="6"/>
  <c r="AI259" i="6" s="1"/>
  <c r="AF260" i="6"/>
  <c r="AG260" i="6" s="1"/>
  <c r="AH260" i="6"/>
  <c r="AI260" i="6" s="1"/>
  <c r="AF261" i="6"/>
  <c r="AG261" i="6" s="1"/>
  <c r="AH261" i="6"/>
  <c r="AI261" i="6"/>
  <c r="AF262" i="6"/>
  <c r="AG262" i="6" s="1"/>
  <c r="AH262" i="6"/>
  <c r="AI262" i="6"/>
  <c r="AF263" i="6"/>
  <c r="AG263" i="6" s="1"/>
  <c r="AH263" i="6"/>
  <c r="AI263" i="6" s="1"/>
  <c r="AF264" i="6"/>
  <c r="AG264" i="6" s="1"/>
  <c r="AH264" i="6"/>
  <c r="AI264" i="6"/>
  <c r="AF265" i="6"/>
  <c r="AG265" i="6" s="1"/>
  <c r="AH265" i="6"/>
  <c r="AI265" i="6" s="1"/>
  <c r="AF266" i="6"/>
  <c r="AG266" i="6" s="1"/>
  <c r="AH266" i="6"/>
  <c r="AI266" i="6" s="1"/>
  <c r="AF267" i="6"/>
  <c r="AG267" i="6" s="1"/>
  <c r="AH267" i="6"/>
  <c r="AI267" i="6" s="1"/>
  <c r="AF268" i="6"/>
  <c r="AG268" i="6" s="1"/>
  <c r="AH268" i="6"/>
  <c r="AI268" i="6" s="1"/>
  <c r="AF269" i="6"/>
  <c r="AG269" i="6" s="1"/>
  <c r="AH269" i="6"/>
  <c r="AI269" i="6" s="1"/>
  <c r="AF270" i="6"/>
  <c r="AG270" i="6" s="1"/>
  <c r="AH270" i="6"/>
  <c r="AI270" i="6" s="1"/>
  <c r="AF271" i="6"/>
  <c r="AG271" i="6" s="1"/>
  <c r="AH271" i="6"/>
  <c r="AI271" i="6" s="1"/>
  <c r="AF272" i="6"/>
  <c r="AG272" i="6" s="1"/>
  <c r="AH272" i="6"/>
  <c r="AI272" i="6" s="1"/>
  <c r="AF273" i="6"/>
  <c r="AG273" i="6"/>
  <c r="AH273" i="6"/>
  <c r="AI273" i="6" s="1"/>
  <c r="AF274" i="6"/>
  <c r="AG274" i="6" s="1"/>
  <c r="AH274" i="6"/>
  <c r="AI274" i="6" s="1"/>
  <c r="AF275" i="6"/>
  <c r="AG275" i="6" s="1"/>
  <c r="AH275" i="6"/>
  <c r="AI275" i="6" s="1"/>
  <c r="AF276" i="6"/>
  <c r="AG276" i="6" s="1"/>
  <c r="AH276" i="6"/>
  <c r="AI276" i="6"/>
  <c r="AF277" i="6"/>
  <c r="AG277" i="6" s="1"/>
  <c r="AH277" i="6"/>
  <c r="AI277" i="6"/>
  <c r="AF278" i="6"/>
  <c r="AG278" i="6" s="1"/>
  <c r="AH278" i="6"/>
  <c r="AI278" i="6" s="1"/>
  <c r="AF279" i="6"/>
  <c r="AG279" i="6" s="1"/>
  <c r="AH279" i="6"/>
  <c r="AI279" i="6" s="1"/>
  <c r="AF280" i="6"/>
  <c r="AG280" i="6" s="1"/>
  <c r="AH280" i="6"/>
  <c r="AI280" i="6"/>
  <c r="AF281" i="6"/>
  <c r="AG281" i="6"/>
  <c r="AH281" i="6"/>
  <c r="AI281" i="6" s="1"/>
  <c r="AF282" i="6"/>
  <c r="AG282" i="6" s="1"/>
  <c r="AH282" i="6"/>
  <c r="AI282" i="6" s="1"/>
  <c r="AF283" i="6"/>
  <c r="AG283" i="6"/>
  <c r="AH283" i="6"/>
  <c r="AI283" i="6" s="1"/>
  <c r="AF284" i="6"/>
  <c r="AG284" i="6" s="1"/>
  <c r="AH284" i="6"/>
  <c r="AI284" i="6" s="1"/>
  <c r="AF285" i="6"/>
  <c r="AG285" i="6"/>
  <c r="AH285" i="6"/>
  <c r="AI285" i="6"/>
  <c r="AF286" i="6"/>
  <c r="AG286" i="6" s="1"/>
  <c r="AH286" i="6"/>
  <c r="AI286" i="6" s="1"/>
  <c r="AF287" i="6"/>
  <c r="AG287" i="6" s="1"/>
  <c r="AH287" i="6"/>
  <c r="AI287" i="6" s="1"/>
  <c r="AF288" i="6"/>
  <c r="AG288" i="6" s="1"/>
  <c r="AH288" i="6"/>
  <c r="AI288" i="6" s="1"/>
  <c r="AF289" i="6"/>
  <c r="AG289" i="6"/>
  <c r="AH289" i="6"/>
  <c r="AI289" i="6" s="1"/>
  <c r="AF290" i="6"/>
  <c r="AG290" i="6" s="1"/>
  <c r="AH290" i="6"/>
  <c r="AI290" i="6" s="1"/>
  <c r="AF291" i="6"/>
  <c r="AG291" i="6" s="1"/>
  <c r="AH291" i="6"/>
  <c r="AI291" i="6" s="1"/>
  <c r="AF292" i="6"/>
  <c r="AG292" i="6" s="1"/>
  <c r="AH292" i="6"/>
  <c r="AI292" i="6"/>
  <c r="AF293" i="6"/>
  <c r="AG293" i="6" s="1"/>
  <c r="AH293" i="6"/>
  <c r="AI293" i="6" s="1"/>
  <c r="AF294" i="6"/>
  <c r="AG294" i="6" s="1"/>
  <c r="AH294" i="6"/>
  <c r="AI294" i="6" s="1"/>
  <c r="AF295" i="6"/>
  <c r="AG295" i="6" s="1"/>
  <c r="AH295" i="6"/>
  <c r="AI295" i="6" s="1"/>
  <c r="AF296" i="6"/>
  <c r="AG296" i="6" s="1"/>
  <c r="AH296" i="6"/>
  <c r="AI296" i="6" s="1"/>
  <c r="AF297" i="6"/>
  <c r="AG297" i="6" s="1"/>
  <c r="AH297" i="6"/>
  <c r="AI297" i="6"/>
  <c r="AF298" i="6"/>
  <c r="AG298" i="6" s="1"/>
  <c r="AH298" i="6"/>
  <c r="AI298" i="6" s="1"/>
  <c r="AF299" i="6"/>
  <c r="AG299" i="6" s="1"/>
  <c r="AH299" i="6"/>
  <c r="AI299" i="6" s="1"/>
  <c r="AF300" i="6"/>
  <c r="AG300" i="6" s="1"/>
  <c r="AH300" i="6"/>
  <c r="AI300" i="6" s="1"/>
  <c r="AF301" i="6"/>
  <c r="AG301" i="6" s="1"/>
  <c r="AH301" i="6"/>
  <c r="AI301" i="6" s="1"/>
  <c r="AF302" i="6"/>
  <c r="AG302" i="6" s="1"/>
  <c r="AH302" i="6"/>
  <c r="AI302" i="6" s="1"/>
  <c r="AF303" i="6"/>
  <c r="AG303" i="6" s="1"/>
  <c r="AH303" i="6"/>
  <c r="AI303" i="6"/>
  <c r="AF304" i="6"/>
  <c r="AG304" i="6" s="1"/>
  <c r="AH304" i="6"/>
  <c r="AI304" i="6" s="1"/>
  <c r="AF305" i="6"/>
  <c r="AG305" i="6" s="1"/>
  <c r="AH305" i="6"/>
  <c r="AI305" i="6" s="1"/>
  <c r="AF306" i="6"/>
  <c r="AG306" i="6" s="1"/>
  <c r="AH306" i="6"/>
  <c r="AI306" i="6" s="1"/>
  <c r="AF307" i="6"/>
  <c r="AG307" i="6" s="1"/>
  <c r="AH307" i="6"/>
  <c r="AI307" i="6" s="1"/>
  <c r="AF308" i="6"/>
  <c r="AG308" i="6" s="1"/>
  <c r="AH308" i="6"/>
  <c r="AI308" i="6"/>
  <c r="AF309" i="6"/>
  <c r="AG309" i="6" s="1"/>
  <c r="AH309" i="6"/>
  <c r="AI309" i="6"/>
  <c r="AF310" i="6"/>
  <c r="AG310" i="6" s="1"/>
  <c r="AH310" i="6"/>
  <c r="AI310" i="6" s="1"/>
  <c r="AF311" i="6"/>
  <c r="AG311" i="6" s="1"/>
  <c r="AH311" i="6"/>
  <c r="AI311" i="6" s="1"/>
  <c r="AF312" i="6"/>
  <c r="AG312" i="6" s="1"/>
  <c r="AH312" i="6"/>
  <c r="AI312" i="6" s="1"/>
  <c r="AF313" i="6"/>
  <c r="AG313" i="6"/>
  <c r="AH313" i="6"/>
  <c r="AI313" i="6" s="1"/>
  <c r="AF314" i="6"/>
  <c r="AG314" i="6" s="1"/>
  <c r="AH314" i="6"/>
  <c r="AI314" i="6" s="1"/>
  <c r="AF315" i="6"/>
  <c r="AG315" i="6"/>
  <c r="AH315" i="6"/>
  <c r="AI315" i="6" s="1"/>
  <c r="AF316" i="6"/>
  <c r="AG316" i="6" s="1"/>
  <c r="AH316" i="6"/>
  <c r="AI316" i="6" s="1"/>
  <c r="AF317" i="6"/>
  <c r="AG317" i="6" s="1"/>
  <c r="AH317" i="6"/>
  <c r="AI317" i="6"/>
  <c r="AF318" i="6"/>
  <c r="AG318" i="6" s="1"/>
  <c r="AH318" i="6"/>
  <c r="AI318" i="6"/>
  <c r="AF319" i="6"/>
  <c r="AG319" i="6" s="1"/>
  <c r="AH319" i="6"/>
  <c r="AI319" i="6"/>
  <c r="AF320" i="6"/>
  <c r="AG320" i="6" s="1"/>
  <c r="AH320" i="6"/>
  <c r="AI320" i="6" s="1"/>
  <c r="AF321" i="6"/>
  <c r="AG321" i="6" s="1"/>
  <c r="AH321" i="6"/>
  <c r="AI321" i="6" s="1"/>
  <c r="AF322" i="6"/>
  <c r="AG322" i="6" s="1"/>
  <c r="AH322" i="6"/>
  <c r="AI322" i="6" s="1"/>
  <c r="AF323" i="6"/>
  <c r="AG323" i="6"/>
  <c r="AH323" i="6"/>
  <c r="AI323" i="6" s="1"/>
  <c r="AF324" i="6"/>
  <c r="AG324" i="6" s="1"/>
  <c r="AH324" i="6"/>
  <c r="AI324" i="6"/>
  <c r="AF325" i="6"/>
  <c r="AG325" i="6" s="1"/>
  <c r="AH325" i="6"/>
  <c r="AI325" i="6"/>
  <c r="AF326" i="6"/>
  <c r="AG326" i="6" s="1"/>
  <c r="AH326" i="6"/>
  <c r="AI326" i="6"/>
  <c r="AF327" i="6"/>
  <c r="AG327" i="6"/>
  <c r="AH327" i="6"/>
  <c r="AI327" i="6"/>
  <c r="AF328" i="6"/>
  <c r="AG328" i="6" s="1"/>
  <c r="AH328" i="6"/>
  <c r="AI328" i="6" s="1"/>
  <c r="AF329" i="6"/>
  <c r="AG329" i="6"/>
  <c r="AH329" i="6"/>
  <c r="AI329" i="6" s="1"/>
  <c r="AF330" i="6"/>
  <c r="AG330" i="6" s="1"/>
  <c r="AH330" i="6"/>
  <c r="AI330" i="6" s="1"/>
  <c r="AF331" i="6"/>
  <c r="AG331" i="6"/>
  <c r="AH331" i="6"/>
  <c r="AI331" i="6" s="1"/>
  <c r="AF332" i="6"/>
  <c r="AG332" i="6" s="1"/>
  <c r="AH332" i="6"/>
  <c r="AI332" i="6"/>
  <c r="AF333" i="6"/>
  <c r="AG333" i="6" s="1"/>
  <c r="AH333" i="6"/>
  <c r="AI333" i="6"/>
  <c r="AF334" i="6"/>
  <c r="AG334" i="6" s="1"/>
  <c r="AH334" i="6"/>
  <c r="AI334" i="6"/>
  <c r="AF335" i="6"/>
  <c r="AG335" i="6" s="1"/>
  <c r="AH335" i="6"/>
  <c r="AI335" i="6"/>
  <c r="AF336" i="6"/>
  <c r="AG336" i="6" s="1"/>
  <c r="AH336" i="6"/>
  <c r="AI336" i="6" s="1"/>
  <c r="AF337" i="6"/>
  <c r="AG337" i="6" s="1"/>
  <c r="AH337" i="6"/>
  <c r="AI337" i="6" s="1"/>
  <c r="AF338" i="6"/>
  <c r="AG338" i="6" s="1"/>
  <c r="AH338" i="6"/>
  <c r="AI338" i="6"/>
  <c r="AF339" i="6"/>
  <c r="AG339" i="6"/>
  <c r="AH339" i="6"/>
  <c r="AI339" i="6" s="1"/>
  <c r="AF340" i="6"/>
  <c r="AG340" i="6" s="1"/>
  <c r="AH340" i="6"/>
  <c r="AI340" i="6"/>
  <c r="AF341" i="6"/>
  <c r="AG341" i="6" s="1"/>
  <c r="AH341" i="6"/>
  <c r="AI341" i="6" s="1"/>
  <c r="AF342" i="6"/>
  <c r="AG342" i="6" s="1"/>
  <c r="AH342" i="6"/>
  <c r="AI342" i="6"/>
  <c r="AF343" i="6"/>
  <c r="AG343" i="6"/>
  <c r="AH343" i="6"/>
  <c r="AI343" i="6"/>
  <c r="AF344" i="6"/>
  <c r="AG344" i="6" s="1"/>
  <c r="AH344" i="6"/>
  <c r="AI344" i="6" s="1"/>
  <c r="AF345" i="6"/>
  <c r="AG345" i="6"/>
  <c r="AH345" i="6"/>
  <c r="AI345" i="6" s="1"/>
  <c r="AF346" i="6"/>
  <c r="AG346" i="6" s="1"/>
  <c r="AH346" i="6"/>
  <c r="AI346" i="6" s="1"/>
  <c r="AF347" i="6"/>
  <c r="AG347" i="6"/>
  <c r="AH347" i="6"/>
  <c r="AI347" i="6"/>
  <c r="AF348" i="6"/>
  <c r="AG348" i="6" s="1"/>
  <c r="AH348" i="6"/>
  <c r="AI348" i="6"/>
  <c r="AF349" i="6"/>
  <c r="AG349" i="6" s="1"/>
  <c r="AH349" i="6"/>
  <c r="AI349" i="6"/>
  <c r="AF350" i="6"/>
  <c r="AG350" i="6" s="1"/>
  <c r="AH350" i="6"/>
  <c r="AI350" i="6"/>
  <c r="AF351" i="6"/>
  <c r="AG351" i="6" s="1"/>
  <c r="AH351" i="6"/>
  <c r="AI351" i="6"/>
  <c r="AF352" i="6"/>
  <c r="AG352" i="6" s="1"/>
  <c r="AH352" i="6"/>
  <c r="AI352" i="6" s="1"/>
  <c r="AF353" i="6"/>
  <c r="AG353" i="6"/>
  <c r="AH353" i="6"/>
  <c r="AI353" i="6" s="1"/>
  <c r="AF354" i="6"/>
  <c r="AG354" i="6" s="1"/>
  <c r="AH354" i="6"/>
  <c r="AI354" i="6"/>
  <c r="AF355" i="6"/>
  <c r="AG355" i="6"/>
  <c r="AH355" i="6"/>
  <c r="AI355" i="6" s="1"/>
  <c r="AF356" i="6"/>
  <c r="AG356" i="6" s="1"/>
  <c r="AH356" i="6"/>
  <c r="AI356" i="6" s="1"/>
  <c r="AF357" i="6"/>
  <c r="AG357" i="6" s="1"/>
  <c r="AH357" i="6"/>
  <c r="AI357" i="6"/>
  <c r="AF358" i="6"/>
  <c r="AG358" i="6" s="1"/>
  <c r="AH358" i="6"/>
  <c r="AI358" i="6"/>
  <c r="AF359" i="6"/>
  <c r="AG359" i="6" s="1"/>
  <c r="AH359" i="6"/>
  <c r="AI359" i="6" s="1"/>
  <c r="AF360" i="6"/>
  <c r="AG360" i="6" s="1"/>
  <c r="AH360" i="6"/>
  <c r="AI360" i="6" s="1"/>
  <c r="AF361" i="6"/>
  <c r="AG361" i="6" s="1"/>
  <c r="AH361" i="6"/>
  <c r="AI361" i="6" s="1"/>
  <c r="AF362" i="6"/>
  <c r="AG362" i="6" s="1"/>
  <c r="AH362" i="6"/>
  <c r="AI362" i="6" s="1"/>
  <c r="AF363" i="6"/>
  <c r="AG363" i="6"/>
  <c r="AH363" i="6"/>
  <c r="AI363" i="6"/>
  <c r="AF364" i="6"/>
  <c r="AG364" i="6" s="1"/>
  <c r="AH364" i="6"/>
  <c r="AI364" i="6" s="1"/>
  <c r="AF365" i="6"/>
  <c r="AG365" i="6" s="1"/>
  <c r="AH365" i="6"/>
  <c r="AI365" i="6" s="1"/>
  <c r="AF366" i="6"/>
  <c r="AG366" i="6" s="1"/>
  <c r="AH366" i="6"/>
  <c r="AI366" i="6"/>
  <c r="AF367" i="6"/>
  <c r="AG367" i="6" s="1"/>
  <c r="AH367" i="6"/>
  <c r="AI367" i="6" s="1"/>
  <c r="AF368" i="6"/>
  <c r="AG368" i="6" s="1"/>
  <c r="AH368" i="6"/>
  <c r="AI368" i="6" s="1"/>
  <c r="AF369" i="6"/>
  <c r="AG369" i="6"/>
  <c r="AH369" i="6"/>
  <c r="AI369" i="6" s="1"/>
  <c r="AF370" i="6"/>
  <c r="AG370" i="6" s="1"/>
  <c r="AH370" i="6"/>
  <c r="AI370" i="6" s="1"/>
  <c r="AF371" i="6"/>
  <c r="AG371" i="6" s="1"/>
  <c r="AH371" i="6"/>
  <c r="AI371" i="6" s="1"/>
  <c r="AF372" i="6"/>
  <c r="AG372" i="6" s="1"/>
  <c r="AH372" i="6"/>
  <c r="AI372" i="6" s="1"/>
  <c r="AF373" i="6"/>
  <c r="AG373" i="6" s="1"/>
  <c r="AH373" i="6"/>
  <c r="AI373" i="6"/>
  <c r="AF374" i="6"/>
  <c r="AG374" i="6" s="1"/>
  <c r="AH374" i="6"/>
  <c r="AI374" i="6"/>
  <c r="AF375" i="6"/>
  <c r="AG375" i="6" s="1"/>
  <c r="AH375" i="6"/>
  <c r="AI375" i="6"/>
  <c r="AF376" i="6"/>
  <c r="AG376" i="6" s="1"/>
  <c r="AH376" i="6"/>
  <c r="AI376" i="6" s="1"/>
  <c r="AF377" i="6"/>
  <c r="AG377" i="6"/>
  <c r="AH377" i="6"/>
  <c r="AI377" i="6" s="1"/>
  <c r="AF378" i="6"/>
  <c r="AG378" i="6" s="1"/>
  <c r="AH378" i="6"/>
  <c r="AI378" i="6" s="1"/>
  <c r="AF379" i="6"/>
  <c r="AG379" i="6" s="1"/>
  <c r="AH379" i="6"/>
  <c r="AI379" i="6" s="1"/>
  <c r="AF380" i="6"/>
  <c r="AG380" i="6" s="1"/>
  <c r="AH380" i="6"/>
  <c r="AI380" i="6" s="1"/>
  <c r="AF381" i="6"/>
  <c r="AG381" i="6" s="1"/>
  <c r="AH381" i="6"/>
  <c r="AI381" i="6"/>
  <c r="AF382" i="6"/>
  <c r="AG382" i="6" s="1"/>
  <c r="AH382" i="6"/>
  <c r="AI382" i="6"/>
  <c r="AF383" i="6"/>
  <c r="AG383" i="6" s="1"/>
  <c r="AH383" i="6"/>
  <c r="AI383" i="6"/>
  <c r="V233" i="6"/>
  <c r="W233" i="6"/>
  <c r="V234" i="6"/>
  <c r="W234" i="6"/>
  <c r="V235" i="6"/>
  <c r="W235" i="6"/>
  <c r="V236" i="6"/>
  <c r="W236" i="6"/>
  <c r="V237" i="6"/>
  <c r="W237" i="6"/>
  <c r="V238" i="6"/>
  <c r="W238" i="6"/>
  <c r="V239" i="6"/>
  <c r="W239" i="6"/>
  <c r="V240" i="6"/>
  <c r="W240" i="6"/>
  <c r="V241" i="6"/>
  <c r="W241" i="6"/>
  <c r="V242" i="6"/>
  <c r="W242" i="6"/>
  <c r="V243" i="6"/>
  <c r="W243" i="6"/>
  <c r="V244" i="6"/>
  <c r="W244" i="6"/>
  <c r="V245" i="6"/>
  <c r="W245" i="6"/>
  <c r="V246" i="6"/>
  <c r="W246" i="6"/>
  <c r="V247" i="6"/>
  <c r="W247" i="6"/>
  <c r="V248" i="6"/>
  <c r="W248" i="6"/>
  <c r="V249" i="6"/>
  <c r="W249" i="6"/>
  <c r="V250" i="6"/>
  <c r="W250" i="6"/>
  <c r="V251" i="6"/>
  <c r="W251" i="6"/>
  <c r="V252" i="6"/>
  <c r="W252" i="6"/>
  <c r="V253" i="6"/>
  <c r="W253" i="6"/>
  <c r="V254" i="6"/>
  <c r="W254" i="6"/>
  <c r="V255" i="6"/>
  <c r="W255" i="6"/>
  <c r="V256" i="6"/>
  <c r="W256" i="6"/>
  <c r="V257" i="6"/>
  <c r="W257" i="6"/>
  <c r="V258" i="6"/>
  <c r="W258" i="6"/>
  <c r="V259" i="6"/>
  <c r="W259" i="6"/>
  <c r="V260" i="6"/>
  <c r="W260" i="6"/>
  <c r="V261" i="6"/>
  <c r="W261" i="6"/>
  <c r="V262" i="6"/>
  <c r="W262" i="6"/>
  <c r="V263" i="6"/>
  <c r="W263" i="6"/>
  <c r="V264" i="6"/>
  <c r="W264" i="6"/>
  <c r="V270" i="6"/>
  <c r="W284" i="6"/>
  <c r="W289" i="6"/>
  <c r="W297" i="6"/>
  <c r="V303" i="6"/>
  <c r="W324" i="6"/>
  <c r="W339" i="6"/>
  <c r="W347" i="6"/>
  <c r="V374" i="6"/>
  <c r="V380" i="6"/>
  <c r="W380" i="6"/>
  <c r="V381" i="6"/>
  <c r="W381" i="6"/>
  <c r="P233" i="6"/>
  <c r="Q233" i="6"/>
  <c r="R233" i="6"/>
  <c r="S233" i="6" s="1"/>
  <c r="P234" i="6"/>
  <c r="Q234" i="6" s="1"/>
  <c r="R234" i="6"/>
  <c r="S234" i="6" s="1"/>
  <c r="P235" i="6"/>
  <c r="Q235" i="6" s="1"/>
  <c r="R235" i="6"/>
  <c r="S235" i="6" s="1"/>
  <c r="P236" i="6"/>
  <c r="Q236" i="6" s="1"/>
  <c r="R236" i="6"/>
  <c r="S236" i="6" s="1"/>
  <c r="P237" i="6"/>
  <c r="Q237" i="6" s="1"/>
  <c r="R237" i="6"/>
  <c r="S237" i="6" s="1"/>
  <c r="P238" i="6"/>
  <c r="Q238" i="6" s="1"/>
  <c r="R238" i="6"/>
  <c r="S238" i="6" s="1"/>
  <c r="BA238" i="6" s="1"/>
  <c r="P239" i="6"/>
  <c r="Q239" i="6" s="1"/>
  <c r="R239" i="6"/>
  <c r="S239" i="6" s="1"/>
  <c r="P240" i="6"/>
  <c r="Q240" i="6" s="1"/>
  <c r="R240" i="6"/>
  <c r="S240" i="6"/>
  <c r="BA240" i="6" s="1"/>
  <c r="P241" i="6"/>
  <c r="Q241" i="6"/>
  <c r="AZ241" i="6" s="1"/>
  <c r="R241" i="6"/>
  <c r="S241" i="6" s="1"/>
  <c r="P242" i="6"/>
  <c r="Q242" i="6" s="1"/>
  <c r="R242" i="6"/>
  <c r="S242" i="6" s="1"/>
  <c r="P243" i="6"/>
  <c r="Q243" i="6" s="1"/>
  <c r="R243" i="6"/>
  <c r="S243" i="6" s="1"/>
  <c r="P244" i="6"/>
  <c r="Q244" i="6" s="1"/>
  <c r="R244" i="6"/>
  <c r="S244" i="6" s="1"/>
  <c r="P245" i="6"/>
  <c r="Q245" i="6" s="1"/>
  <c r="AZ245" i="6" s="1"/>
  <c r="R245" i="6"/>
  <c r="S245" i="6" s="1"/>
  <c r="P246" i="6"/>
  <c r="Q246" i="6" s="1"/>
  <c r="R246" i="6"/>
  <c r="S246" i="6" s="1"/>
  <c r="P247" i="6"/>
  <c r="Q247" i="6"/>
  <c r="R247" i="6"/>
  <c r="S247" i="6" s="1"/>
  <c r="P248" i="6"/>
  <c r="Q248" i="6" s="1"/>
  <c r="R248" i="6"/>
  <c r="S248" i="6" s="1"/>
  <c r="P249" i="6"/>
  <c r="Q249" i="6" s="1"/>
  <c r="AZ249" i="6" s="1"/>
  <c r="R249" i="6"/>
  <c r="S249" i="6" s="1"/>
  <c r="P250" i="6"/>
  <c r="Q250" i="6" s="1"/>
  <c r="R250" i="6"/>
  <c r="S250" i="6" s="1"/>
  <c r="P251" i="6"/>
  <c r="Q251" i="6" s="1"/>
  <c r="R251" i="6"/>
  <c r="S251" i="6" s="1"/>
  <c r="P252" i="6"/>
  <c r="Q252" i="6" s="1"/>
  <c r="AZ252" i="6" s="1"/>
  <c r="R252" i="6"/>
  <c r="S252" i="6" s="1"/>
  <c r="BA252" i="6" s="1"/>
  <c r="P253" i="6"/>
  <c r="Q253" i="6" s="1"/>
  <c r="R253" i="6"/>
  <c r="S253" i="6" s="1"/>
  <c r="P254" i="6"/>
  <c r="Q254" i="6" s="1"/>
  <c r="R254" i="6"/>
  <c r="S254" i="6" s="1"/>
  <c r="P255" i="6"/>
  <c r="Q255" i="6" s="1"/>
  <c r="R255" i="6"/>
  <c r="S255" i="6" s="1"/>
  <c r="P256" i="6"/>
  <c r="Q256" i="6" s="1"/>
  <c r="R256" i="6"/>
  <c r="S256" i="6" s="1"/>
  <c r="P257" i="6"/>
  <c r="Q257" i="6"/>
  <c r="R257" i="6"/>
  <c r="S257" i="6" s="1"/>
  <c r="P258" i="6"/>
  <c r="Q258" i="6" s="1"/>
  <c r="R258" i="6"/>
  <c r="S258" i="6"/>
  <c r="P259" i="6"/>
  <c r="Q259" i="6" s="1"/>
  <c r="AZ259" i="6" s="1"/>
  <c r="R259" i="6"/>
  <c r="S259" i="6" s="1"/>
  <c r="P260" i="6"/>
  <c r="Q260" i="6" s="1"/>
  <c r="R260" i="6"/>
  <c r="S260" i="6" s="1"/>
  <c r="P261" i="6"/>
  <c r="Q261" i="6" s="1"/>
  <c r="R261" i="6"/>
  <c r="S261" i="6" s="1"/>
  <c r="P262" i="6"/>
  <c r="Q262" i="6" s="1"/>
  <c r="R262" i="6"/>
  <c r="S262" i="6" s="1"/>
  <c r="P263" i="6"/>
  <c r="Q263" i="6" s="1"/>
  <c r="R263" i="6"/>
  <c r="S263" i="6" s="1"/>
  <c r="P264" i="6"/>
  <c r="Q264" i="6" s="1"/>
  <c r="AZ264" i="6" s="1"/>
  <c r="R264" i="6"/>
  <c r="S264" i="6" s="1"/>
  <c r="P265" i="6"/>
  <c r="V265" i="6" s="1"/>
  <c r="Q265" i="6"/>
  <c r="R265" i="6"/>
  <c r="S265" i="6" s="1"/>
  <c r="P266" i="6"/>
  <c r="R266" i="6"/>
  <c r="S266" i="6" s="1"/>
  <c r="P267" i="6"/>
  <c r="R267" i="6"/>
  <c r="P268" i="6"/>
  <c r="R268" i="6"/>
  <c r="W268" i="6" s="1"/>
  <c r="S268" i="6"/>
  <c r="BA268" i="6" s="1"/>
  <c r="P269" i="6"/>
  <c r="V269" i="6" s="1"/>
  <c r="R269" i="6"/>
  <c r="W269" i="6" s="1"/>
  <c r="S269" i="6"/>
  <c r="P270" i="6"/>
  <c r="Q270" i="6" s="1"/>
  <c r="R270" i="6"/>
  <c r="P271" i="6"/>
  <c r="Q271" i="6" s="1"/>
  <c r="R271" i="6"/>
  <c r="P272" i="6"/>
  <c r="R272" i="6"/>
  <c r="W272" i="6" s="1"/>
  <c r="P273" i="6"/>
  <c r="R273" i="6"/>
  <c r="W273" i="6" s="1"/>
  <c r="S273" i="6"/>
  <c r="P274" i="6"/>
  <c r="R274" i="6"/>
  <c r="P275" i="6"/>
  <c r="R275" i="6"/>
  <c r="S275" i="6" s="1"/>
  <c r="P276" i="6"/>
  <c r="Q276" i="6" s="1"/>
  <c r="R276" i="6"/>
  <c r="W276" i="6" s="1"/>
  <c r="S276" i="6"/>
  <c r="P277" i="6"/>
  <c r="V277" i="6" s="1"/>
  <c r="Q277" i="6"/>
  <c r="R277" i="6"/>
  <c r="W277" i="6" s="1"/>
  <c r="P278" i="6"/>
  <c r="Q278" i="6" s="1"/>
  <c r="R278" i="6"/>
  <c r="P279" i="6"/>
  <c r="R279" i="6"/>
  <c r="P280" i="6"/>
  <c r="Q280" i="6" s="1"/>
  <c r="R280" i="6"/>
  <c r="W280" i="6" s="1"/>
  <c r="P281" i="6"/>
  <c r="R281" i="6"/>
  <c r="W281" i="6" s="1"/>
  <c r="S281" i="6"/>
  <c r="P282" i="6"/>
  <c r="R282" i="6"/>
  <c r="P283" i="6"/>
  <c r="Q283" i="6" s="1"/>
  <c r="AZ283" i="6" s="1"/>
  <c r="R283" i="6"/>
  <c r="P284" i="6"/>
  <c r="Q284" i="6" s="1"/>
  <c r="R284" i="6"/>
  <c r="S284" i="6" s="1"/>
  <c r="BA284" i="6" s="1"/>
  <c r="P285" i="6"/>
  <c r="V285" i="6" s="1"/>
  <c r="R285" i="6"/>
  <c r="W285" i="6" s="1"/>
  <c r="P286" i="6"/>
  <c r="R286" i="6"/>
  <c r="S286" i="6" s="1"/>
  <c r="P287" i="6"/>
  <c r="Q287" i="6" s="1"/>
  <c r="R287" i="6"/>
  <c r="S287" i="6" s="1"/>
  <c r="P288" i="6"/>
  <c r="Q288" i="6" s="1"/>
  <c r="AZ288" i="6" s="1"/>
  <c r="R288" i="6"/>
  <c r="W288" i="6" s="1"/>
  <c r="S288" i="6"/>
  <c r="P289" i="6"/>
  <c r="V289" i="6" s="1"/>
  <c r="R289" i="6"/>
  <c r="S289" i="6"/>
  <c r="P290" i="6"/>
  <c r="R290" i="6"/>
  <c r="W290" i="6" s="1"/>
  <c r="P291" i="6"/>
  <c r="R291" i="6"/>
  <c r="P292" i="6"/>
  <c r="Q292" i="6" s="1"/>
  <c r="AZ292" i="6" s="1"/>
  <c r="R292" i="6"/>
  <c r="P293" i="6"/>
  <c r="V293" i="6" s="1"/>
  <c r="Q293" i="6"/>
  <c r="R293" i="6"/>
  <c r="P294" i="6"/>
  <c r="R294" i="6"/>
  <c r="P295" i="6"/>
  <c r="R295" i="6"/>
  <c r="P296" i="6"/>
  <c r="Q296" i="6" s="1"/>
  <c r="R296" i="6"/>
  <c r="W296" i="6" s="1"/>
  <c r="S296" i="6"/>
  <c r="P297" i="6"/>
  <c r="V297" i="6" s="1"/>
  <c r="Q297" i="6"/>
  <c r="R297" i="6"/>
  <c r="S297" i="6" s="1"/>
  <c r="P298" i="6"/>
  <c r="R298" i="6"/>
  <c r="S298" i="6" s="1"/>
  <c r="P299" i="6"/>
  <c r="R299" i="6"/>
  <c r="W299" i="6" s="1"/>
  <c r="P300" i="6"/>
  <c r="R300" i="6"/>
  <c r="P301" i="6"/>
  <c r="V301" i="6" s="1"/>
  <c r="R301" i="6"/>
  <c r="W301" i="6" s="1"/>
  <c r="S301" i="6"/>
  <c r="P302" i="6"/>
  <c r="Q302" i="6" s="1"/>
  <c r="R302" i="6"/>
  <c r="P303" i="6"/>
  <c r="Q303" i="6" s="1"/>
  <c r="R303" i="6"/>
  <c r="P304" i="6"/>
  <c r="R304" i="6"/>
  <c r="P305" i="6"/>
  <c r="R305" i="6"/>
  <c r="S305" i="6" s="1"/>
  <c r="P306" i="6"/>
  <c r="R306" i="6"/>
  <c r="S306" i="6" s="1"/>
  <c r="P307" i="6"/>
  <c r="R307" i="6"/>
  <c r="S307" i="6" s="1"/>
  <c r="P308" i="6"/>
  <c r="R308" i="6"/>
  <c r="W308" i="6" s="1"/>
  <c r="P309" i="6"/>
  <c r="V309" i="6" s="1"/>
  <c r="R309" i="6"/>
  <c r="P310" i="6"/>
  <c r="R310" i="6"/>
  <c r="S310" i="6" s="1"/>
  <c r="P311" i="6"/>
  <c r="V311" i="6" s="1"/>
  <c r="Q311" i="6"/>
  <c r="R311" i="6"/>
  <c r="P312" i="6"/>
  <c r="Q312" i="6" s="1"/>
  <c r="R312" i="6"/>
  <c r="W312" i="6" s="1"/>
  <c r="P313" i="6"/>
  <c r="R313" i="6"/>
  <c r="W313" i="6" s="1"/>
  <c r="S313" i="6"/>
  <c r="P314" i="6"/>
  <c r="V314" i="6" s="1"/>
  <c r="R314" i="6"/>
  <c r="S314" i="6" s="1"/>
  <c r="P315" i="6"/>
  <c r="V315" i="6" s="1"/>
  <c r="R315" i="6"/>
  <c r="W315" i="6" s="1"/>
  <c r="S315" i="6"/>
  <c r="P316" i="6"/>
  <c r="R316" i="6"/>
  <c r="S316" i="6" s="1"/>
  <c r="P317" i="6"/>
  <c r="V317" i="6" s="1"/>
  <c r="R317" i="6"/>
  <c r="W317" i="6" s="1"/>
  <c r="S317" i="6"/>
  <c r="P318" i="6"/>
  <c r="R318" i="6"/>
  <c r="W318" i="6" s="1"/>
  <c r="S318" i="6"/>
  <c r="P319" i="6"/>
  <c r="V319" i="6" s="1"/>
  <c r="R319" i="6"/>
  <c r="W319" i="6" s="1"/>
  <c r="P320" i="6"/>
  <c r="Q320" i="6" s="1"/>
  <c r="R320" i="6"/>
  <c r="W320" i="6" s="1"/>
  <c r="P321" i="6"/>
  <c r="V321" i="6" s="1"/>
  <c r="R321" i="6"/>
  <c r="W321" i="6" s="1"/>
  <c r="P322" i="6"/>
  <c r="R322" i="6"/>
  <c r="W322" i="6" s="1"/>
  <c r="S322" i="6"/>
  <c r="P323" i="6"/>
  <c r="R323" i="6"/>
  <c r="S323" i="6" s="1"/>
  <c r="P324" i="6"/>
  <c r="R324" i="6"/>
  <c r="S324" i="6"/>
  <c r="P325" i="6"/>
  <c r="V325" i="6" s="1"/>
  <c r="R325" i="6"/>
  <c r="W325" i="6" s="1"/>
  <c r="P326" i="6"/>
  <c r="Q326" i="6" s="1"/>
  <c r="R326" i="6"/>
  <c r="W326" i="6" s="1"/>
  <c r="S326" i="6"/>
  <c r="P327" i="6"/>
  <c r="R327" i="6"/>
  <c r="W327" i="6" s="1"/>
  <c r="S327" i="6"/>
  <c r="P328" i="6"/>
  <c r="R328" i="6"/>
  <c r="S328" i="6" s="1"/>
  <c r="P329" i="6"/>
  <c r="V329" i="6" s="1"/>
  <c r="Q329" i="6"/>
  <c r="AZ329" i="6" s="1"/>
  <c r="R329" i="6"/>
  <c r="S329" i="6" s="1"/>
  <c r="P330" i="6"/>
  <c r="R330" i="6"/>
  <c r="W330" i="6" s="1"/>
  <c r="P331" i="6"/>
  <c r="V331" i="6" s="1"/>
  <c r="Q331" i="6"/>
  <c r="R331" i="6"/>
  <c r="P332" i="6"/>
  <c r="R332" i="6"/>
  <c r="S332" i="6" s="1"/>
  <c r="P333" i="6"/>
  <c r="V333" i="6" s="1"/>
  <c r="R333" i="6"/>
  <c r="W333" i="6" s="1"/>
  <c r="S333" i="6"/>
  <c r="P334" i="6"/>
  <c r="Q334" i="6" s="1"/>
  <c r="R334" i="6"/>
  <c r="P335" i="6"/>
  <c r="R335" i="6"/>
  <c r="P336" i="6"/>
  <c r="R336" i="6"/>
  <c r="W336" i="6" s="1"/>
  <c r="P337" i="6"/>
  <c r="V337" i="6" s="1"/>
  <c r="R337" i="6"/>
  <c r="W337" i="6" s="1"/>
  <c r="P338" i="6"/>
  <c r="Q338" i="6" s="1"/>
  <c r="R338" i="6"/>
  <c r="W338" i="6" s="1"/>
  <c r="S338" i="6"/>
  <c r="P339" i="6"/>
  <c r="V339" i="6" s="1"/>
  <c r="Q339" i="6"/>
  <c r="R339" i="6"/>
  <c r="S339" i="6" s="1"/>
  <c r="P340" i="6"/>
  <c r="R340" i="6"/>
  <c r="P341" i="6"/>
  <c r="V341" i="6" s="1"/>
  <c r="R341" i="6"/>
  <c r="W341" i="6" s="1"/>
  <c r="P342" i="6"/>
  <c r="Q342" i="6" s="1"/>
  <c r="R342" i="6"/>
  <c r="W342" i="6" s="1"/>
  <c r="S342" i="6"/>
  <c r="P343" i="6"/>
  <c r="V343" i="6" s="1"/>
  <c r="Q343" i="6"/>
  <c r="AZ343" i="6" s="1"/>
  <c r="R343" i="6"/>
  <c r="W343" i="6" s="1"/>
  <c r="S343" i="6"/>
  <c r="P344" i="6"/>
  <c r="R344" i="6"/>
  <c r="W344" i="6" s="1"/>
  <c r="P345" i="6"/>
  <c r="V345" i="6" s="1"/>
  <c r="Q345" i="6"/>
  <c r="R345" i="6"/>
  <c r="W345" i="6" s="1"/>
  <c r="P346" i="6"/>
  <c r="R346" i="6"/>
  <c r="W346" i="6" s="1"/>
  <c r="P347" i="6"/>
  <c r="V347" i="6" s="1"/>
  <c r="R347" i="6"/>
  <c r="S347" i="6"/>
  <c r="P348" i="6"/>
  <c r="R348" i="6"/>
  <c r="S348" i="6" s="1"/>
  <c r="BA348" i="6" s="1"/>
  <c r="P349" i="6"/>
  <c r="V349" i="6" s="1"/>
  <c r="R349" i="6"/>
  <c r="W349" i="6" s="1"/>
  <c r="S349" i="6"/>
  <c r="P350" i="6"/>
  <c r="R350" i="6"/>
  <c r="W350" i="6" s="1"/>
  <c r="S350" i="6"/>
  <c r="P351" i="6"/>
  <c r="Q351" i="6" s="1"/>
  <c r="R351" i="6"/>
  <c r="W351" i="6" s="1"/>
  <c r="S351" i="6"/>
  <c r="P352" i="6"/>
  <c r="Q352" i="6" s="1"/>
  <c r="R352" i="6"/>
  <c r="W352" i="6" s="1"/>
  <c r="P353" i="6"/>
  <c r="V353" i="6" s="1"/>
  <c r="R353" i="6"/>
  <c r="W353" i="6" s="1"/>
  <c r="P354" i="6"/>
  <c r="R354" i="6"/>
  <c r="W354" i="6" s="1"/>
  <c r="S354" i="6"/>
  <c r="P355" i="6"/>
  <c r="R355" i="6"/>
  <c r="W355" i="6" s="1"/>
  <c r="P356" i="6"/>
  <c r="R356" i="6"/>
  <c r="W356" i="6" s="1"/>
  <c r="S356" i="6"/>
  <c r="P357" i="6"/>
  <c r="V357" i="6" s="1"/>
  <c r="R357" i="6"/>
  <c r="W357" i="6" s="1"/>
  <c r="P358" i="6"/>
  <c r="R358" i="6"/>
  <c r="W358" i="6" s="1"/>
  <c r="P359" i="6"/>
  <c r="R359" i="6"/>
  <c r="W359" i="6" s="1"/>
  <c r="P360" i="6"/>
  <c r="Q360" i="6" s="1"/>
  <c r="R360" i="6"/>
  <c r="S360" i="6" s="1"/>
  <c r="P361" i="6"/>
  <c r="V361" i="6" s="1"/>
  <c r="Q361" i="6"/>
  <c r="R361" i="6"/>
  <c r="W361" i="6" s="1"/>
  <c r="P362" i="6"/>
  <c r="R362" i="6"/>
  <c r="W362" i="6" s="1"/>
  <c r="P363" i="6"/>
  <c r="V363" i="6" s="1"/>
  <c r="Q363" i="6"/>
  <c r="R363" i="6"/>
  <c r="P364" i="6"/>
  <c r="R364" i="6"/>
  <c r="W364" i="6" s="1"/>
  <c r="P365" i="6"/>
  <c r="V365" i="6" s="1"/>
  <c r="R365" i="6"/>
  <c r="W365" i="6" s="1"/>
  <c r="P366" i="6"/>
  <c r="Q366" i="6" s="1"/>
  <c r="R366" i="6"/>
  <c r="P367" i="6"/>
  <c r="R367" i="6"/>
  <c r="P368" i="6"/>
  <c r="R368" i="6"/>
  <c r="W368" i="6" s="1"/>
  <c r="P369" i="6"/>
  <c r="V369" i="6" s="1"/>
  <c r="R369" i="6"/>
  <c r="S369" i="6" s="1"/>
  <c r="P370" i="6"/>
  <c r="Q370" i="6" s="1"/>
  <c r="R370" i="6"/>
  <c r="W370" i="6" s="1"/>
  <c r="P371" i="6"/>
  <c r="V371" i="6" s="1"/>
  <c r="Q371" i="6"/>
  <c r="R371" i="6"/>
  <c r="W371" i="6" s="1"/>
  <c r="P372" i="6"/>
  <c r="R372" i="6"/>
  <c r="P373" i="6"/>
  <c r="V373" i="6" s="1"/>
  <c r="R373" i="6"/>
  <c r="S373" i="6" s="1"/>
  <c r="P374" i="6"/>
  <c r="Q374" i="6" s="1"/>
  <c r="R374" i="6"/>
  <c r="W374" i="6" s="1"/>
  <c r="S374" i="6"/>
  <c r="P375" i="6"/>
  <c r="V375" i="6" s="1"/>
  <c r="R375" i="6"/>
  <c r="W375" i="6" s="1"/>
  <c r="P376" i="6"/>
  <c r="Q376" i="6" s="1"/>
  <c r="R376" i="6"/>
  <c r="W376" i="6" s="1"/>
  <c r="P377" i="6"/>
  <c r="V377" i="6" s="1"/>
  <c r="Q377" i="6"/>
  <c r="R377" i="6"/>
  <c r="S377" i="6" s="1"/>
  <c r="P378" i="6"/>
  <c r="R378" i="6"/>
  <c r="W378" i="6" s="1"/>
  <c r="P379" i="6"/>
  <c r="V379" i="6" s="1"/>
  <c r="R379" i="6"/>
  <c r="W379" i="6" s="1"/>
  <c r="S379" i="6"/>
  <c r="P380" i="6"/>
  <c r="Q380" i="6" s="1"/>
  <c r="R380" i="6"/>
  <c r="S380" i="6" s="1"/>
  <c r="P381" i="6"/>
  <c r="Q381" i="6" s="1"/>
  <c r="R381" i="6"/>
  <c r="S381" i="6"/>
  <c r="P382" i="6"/>
  <c r="Q382" i="6" s="1"/>
  <c r="R382" i="6"/>
  <c r="S382" i="6"/>
  <c r="P383" i="6"/>
  <c r="Q383" i="6" s="1"/>
  <c r="R383" i="6"/>
  <c r="S383" i="6"/>
  <c r="BA383" i="6" s="1"/>
  <c r="P384" i="6"/>
  <c r="Q384" i="6" s="1"/>
  <c r="R384" i="6"/>
  <c r="S384" i="6" s="1"/>
  <c r="P385" i="6"/>
  <c r="Q385" i="6" s="1"/>
  <c r="AZ385" i="6" s="1"/>
  <c r="R385" i="6"/>
  <c r="S385" i="6" s="1"/>
  <c r="AV387" i="6"/>
  <c r="AW387" i="6" s="1"/>
  <c r="AX387" i="6"/>
  <c r="AY387" i="6" s="1"/>
  <c r="AV388" i="6"/>
  <c r="AW388" i="6" s="1"/>
  <c r="AX388" i="6"/>
  <c r="AY388" i="6" s="1"/>
  <c r="AV389" i="6"/>
  <c r="AW389" i="6" s="1"/>
  <c r="AX389" i="6"/>
  <c r="AY389" i="6" s="1"/>
  <c r="AV390" i="6"/>
  <c r="AW390" i="6" s="1"/>
  <c r="AX390" i="6"/>
  <c r="AY390" i="6" s="1"/>
  <c r="AV391" i="6"/>
  <c r="AW391" i="6" s="1"/>
  <c r="AX391" i="6"/>
  <c r="AY391" i="6" s="1"/>
  <c r="AV392" i="6"/>
  <c r="AW392" i="6" s="1"/>
  <c r="AX392" i="6"/>
  <c r="AY392" i="6" s="1"/>
  <c r="AV393" i="6"/>
  <c r="AW393" i="6" s="1"/>
  <c r="AX393" i="6"/>
  <c r="AY393" i="6" s="1"/>
  <c r="AV394" i="6"/>
  <c r="AW394" i="6" s="1"/>
  <c r="AX394" i="6"/>
  <c r="AY394" i="6" s="1"/>
  <c r="AV395" i="6"/>
  <c r="AW395" i="6" s="1"/>
  <c r="AX395" i="6"/>
  <c r="AY395" i="6" s="1"/>
  <c r="AV396" i="6"/>
  <c r="AW396" i="6" s="1"/>
  <c r="AX396" i="6"/>
  <c r="AY396" i="6" s="1"/>
  <c r="AV397" i="6"/>
  <c r="AW397" i="6" s="1"/>
  <c r="AX397" i="6"/>
  <c r="AY397" i="6" s="1"/>
  <c r="AV398" i="6"/>
  <c r="AW398" i="6" s="1"/>
  <c r="AX398" i="6"/>
  <c r="AY398" i="6" s="1"/>
  <c r="AV399" i="6"/>
  <c r="AW399" i="6" s="1"/>
  <c r="AX399" i="6"/>
  <c r="AY399" i="6" s="1"/>
  <c r="AV400" i="6"/>
  <c r="AW400" i="6" s="1"/>
  <c r="AX400" i="6"/>
  <c r="AY400" i="6" s="1"/>
  <c r="AV401" i="6"/>
  <c r="AW401" i="6" s="1"/>
  <c r="AX401" i="6"/>
  <c r="AY401" i="6" s="1"/>
  <c r="AV402" i="6"/>
  <c r="AW402" i="6" s="1"/>
  <c r="AX402" i="6"/>
  <c r="AY402" i="6" s="1"/>
  <c r="AV403" i="6"/>
  <c r="AW403" i="6" s="1"/>
  <c r="AX403" i="6"/>
  <c r="AY403" i="6" s="1"/>
  <c r="AV404" i="6"/>
  <c r="AW404" i="6" s="1"/>
  <c r="AX404" i="6"/>
  <c r="AY404" i="6" s="1"/>
  <c r="AV405" i="6"/>
  <c r="AW405" i="6" s="1"/>
  <c r="AX405" i="6"/>
  <c r="AY405" i="6" s="1"/>
  <c r="AV406" i="6"/>
  <c r="AW406" i="6" s="1"/>
  <c r="AX406" i="6"/>
  <c r="AY406" i="6" s="1"/>
  <c r="AV407" i="6"/>
  <c r="AW407" i="6" s="1"/>
  <c r="AX407" i="6"/>
  <c r="AY407" i="6" s="1"/>
  <c r="AV408" i="6"/>
  <c r="AW408" i="6" s="1"/>
  <c r="AX408" i="6"/>
  <c r="AY408" i="6" s="1"/>
  <c r="AV409" i="6"/>
  <c r="AW409" i="6" s="1"/>
  <c r="AX409" i="6"/>
  <c r="AY409" i="6" s="1"/>
  <c r="AV410" i="6"/>
  <c r="AW410" i="6" s="1"/>
  <c r="AX410" i="6"/>
  <c r="AY410" i="6" s="1"/>
  <c r="AV411" i="6"/>
  <c r="AW411" i="6" s="1"/>
  <c r="AX411" i="6"/>
  <c r="AY411" i="6" s="1"/>
  <c r="AV412" i="6"/>
  <c r="AW412" i="6" s="1"/>
  <c r="AX412" i="6"/>
  <c r="AY412" i="6" s="1"/>
  <c r="AV413" i="6"/>
  <c r="AW413" i="6" s="1"/>
  <c r="AX413" i="6"/>
  <c r="AY413" i="6" s="1"/>
  <c r="AV414" i="6"/>
  <c r="AW414" i="6" s="1"/>
  <c r="AX414" i="6"/>
  <c r="AY414" i="6" s="1"/>
  <c r="AV415" i="6"/>
  <c r="AW415" i="6" s="1"/>
  <c r="AX415" i="6"/>
  <c r="AY415" i="6" s="1"/>
  <c r="AV416" i="6"/>
  <c r="AW416" i="6" s="1"/>
  <c r="AX416" i="6"/>
  <c r="AY416" i="6" s="1"/>
  <c r="AV417" i="6"/>
  <c r="AW417" i="6" s="1"/>
  <c r="AX417" i="6"/>
  <c r="AY417" i="6" s="1"/>
  <c r="AV418" i="6"/>
  <c r="AW418" i="6" s="1"/>
  <c r="AX418" i="6"/>
  <c r="AY418" i="6" s="1"/>
  <c r="AV419" i="6"/>
  <c r="AW419" i="6" s="1"/>
  <c r="AX419" i="6"/>
  <c r="AY419" i="6" s="1"/>
  <c r="AV420" i="6"/>
  <c r="AW420" i="6" s="1"/>
  <c r="AX420" i="6"/>
  <c r="AY420" i="6"/>
  <c r="AV421" i="6"/>
  <c r="AW421" i="6" s="1"/>
  <c r="AX421" i="6"/>
  <c r="AY421" i="6" s="1"/>
  <c r="AV422" i="6"/>
  <c r="AW422" i="6" s="1"/>
  <c r="AX422" i="6"/>
  <c r="AY422" i="6" s="1"/>
  <c r="AV423" i="6"/>
  <c r="AW423" i="6" s="1"/>
  <c r="AX423" i="6"/>
  <c r="AY423" i="6" s="1"/>
  <c r="AV424" i="6"/>
  <c r="AW424" i="6" s="1"/>
  <c r="AX424" i="6"/>
  <c r="AY424" i="6" s="1"/>
  <c r="AV425" i="6"/>
  <c r="AW425" i="6" s="1"/>
  <c r="AX425" i="6"/>
  <c r="AY425" i="6" s="1"/>
  <c r="AV426" i="6"/>
  <c r="AW426" i="6" s="1"/>
  <c r="AX426" i="6"/>
  <c r="AY426" i="6" s="1"/>
  <c r="AV427" i="6"/>
  <c r="AW427" i="6" s="1"/>
  <c r="AX427" i="6"/>
  <c r="AY427" i="6" s="1"/>
  <c r="AV428" i="6"/>
  <c r="AW428" i="6" s="1"/>
  <c r="AX428" i="6"/>
  <c r="AY428" i="6" s="1"/>
  <c r="AV429" i="6"/>
  <c r="AW429" i="6" s="1"/>
  <c r="AX429" i="6"/>
  <c r="AY429" i="6" s="1"/>
  <c r="AV430" i="6"/>
  <c r="AW430" i="6" s="1"/>
  <c r="AX430" i="6"/>
  <c r="AY430" i="6" s="1"/>
  <c r="AV431" i="6"/>
  <c r="AW431" i="6" s="1"/>
  <c r="AX431" i="6"/>
  <c r="AY431" i="6" s="1"/>
  <c r="AV432" i="6"/>
  <c r="AW432" i="6" s="1"/>
  <c r="AX432" i="6"/>
  <c r="AY432" i="6" s="1"/>
  <c r="AV433" i="6"/>
  <c r="AW433" i="6" s="1"/>
  <c r="AX433" i="6"/>
  <c r="AY433" i="6" s="1"/>
  <c r="AV434" i="6"/>
  <c r="AW434" i="6" s="1"/>
  <c r="AX434" i="6"/>
  <c r="AY434" i="6" s="1"/>
  <c r="AV435" i="6"/>
  <c r="AW435" i="6" s="1"/>
  <c r="AX435" i="6"/>
  <c r="AY435" i="6" s="1"/>
  <c r="AV436" i="6"/>
  <c r="AW436" i="6" s="1"/>
  <c r="AX436" i="6"/>
  <c r="AY436" i="6" s="1"/>
  <c r="AV437" i="6"/>
  <c r="AW437" i="6" s="1"/>
  <c r="AX437" i="6"/>
  <c r="AY437" i="6" s="1"/>
  <c r="AV438" i="6"/>
  <c r="AW438" i="6" s="1"/>
  <c r="AX438" i="6"/>
  <c r="AY438" i="6" s="1"/>
  <c r="AV439" i="6"/>
  <c r="AW439" i="6" s="1"/>
  <c r="AX439" i="6"/>
  <c r="AY439" i="6" s="1"/>
  <c r="AV440" i="6"/>
  <c r="AW440" i="6" s="1"/>
  <c r="AX440" i="6"/>
  <c r="AY440" i="6" s="1"/>
  <c r="AV441" i="6"/>
  <c r="AW441" i="6" s="1"/>
  <c r="AX441" i="6"/>
  <c r="AY441" i="6" s="1"/>
  <c r="AV442" i="6"/>
  <c r="AW442" i="6" s="1"/>
  <c r="AX442" i="6"/>
  <c r="AY442" i="6"/>
  <c r="AV443" i="6"/>
  <c r="AW443" i="6" s="1"/>
  <c r="AX443" i="6"/>
  <c r="AY443" i="6" s="1"/>
  <c r="AV444" i="6"/>
  <c r="AW444" i="6" s="1"/>
  <c r="AX444" i="6"/>
  <c r="AY444" i="6" s="1"/>
  <c r="AV445" i="6"/>
  <c r="AW445" i="6" s="1"/>
  <c r="AX445" i="6"/>
  <c r="AY445" i="6" s="1"/>
  <c r="AV446" i="6"/>
  <c r="AW446" i="6" s="1"/>
  <c r="AX446" i="6"/>
  <c r="AY446" i="6" s="1"/>
  <c r="AV447" i="6"/>
  <c r="AW447" i="6" s="1"/>
  <c r="AX447" i="6"/>
  <c r="AY447" i="6" s="1"/>
  <c r="AV448" i="6"/>
  <c r="AW448" i="6" s="1"/>
  <c r="AX448" i="6"/>
  <c r="AY448" i="6" s="1"/>
  <c r="AV449" i="6"/>
  <c r="AW449" i="6" s="1"/>
  <c r="AX449" i="6"/>
  <c r="AY449" i="6" s="1"/>
  <c r="AV450" i="6"/>
  <c r="AW450" i="6" s="1"/>
  <c r="AX450" i="6"/>
  <c r="AY450" i="6" s="1"/>
  <c r="AV451" i="6"/>
  <c r="AW451" i="6" s="1"/>
  <c r="AX451" i="6"/>
  <c r="AY451" i="6" s="1"/>
  <c r="AV452" i="6"/>
  <c r="AW452" i="6" s="1"/>
  <c r="AX452" i="6"/>
  <c r="AY452" i="6" s="1"/>
  <c r="AV453" i="6"/>
  <c r="AW453" i="6" s="1"/>
  <c r="AX453" i="6"/>
  <c r="AY453" i="6" s="1"/>
  <c r="AV454" i="6"/>
  <c r="AW454" i="6" s="1"/>
  <c r="AX454" i="6"/>
  <c r="AY454" i="6" s="1"/>
  <c r="AV455" i="6"/>
  <c r="AW455" i="6" s="1"/>
  <c r="AX455" i="6"/>
  <c r="AY455" i="6" s="1"/>
  <c r="AV456" i="6"/>
  <c r="AW456" i="6" s="1"/>
  <c r="AX456" i="6"/>
  <c r="AY456" i="6" s="1"/>
  <c r="AV457" i="6"/>
  <c r="AW457" i="6"/>
  <c r="AX457" i="6"/>
  <c r="AY457" i="6" s="1"/>
  <c r="AV458" i="6"/>
  <c r="AW458" i="6" s="1"/>
  <c r="AX458" i="6"/>
  <c r="AY458" i="6" s="1"/>
  <c r="AV459" i="6"/>
  <c r="AW459" i="6" s="1"/>
  <c r="AX459" i="6"/>
  <c r="AY459" i="6" s="1"/>
  <c r="AV460" i="6"/>
  <c r="AW460" i="6" s="1"/>
  <c r="AX460" i="6"/>
  <c r="AY460" i="6" s="1"/>
  <c r="AV461" i="6"/>
  <c r="AW461" i="6" s="1"/>
  <c r="AX461" i="6"/>
  <c r="AY461" i="6" s="1"/>
  <c r="AV462" i="6"/>
  <c r="AW462" i="6" s="1"/>
  <c r="AX462" i="6"/>
  <c r="AY462" i="6" s="1"/>
  <c r="AV463" i="6"/>
  <c r="AW463" i="6" s="1"/>
  <c r="AX463" i="6"/>
  <c r="AY463" i="6" s="1"/>
  <c r="AV464" i="6"/>
  <c r="AW464" i="6"/>
  <c r="AX464" i="6"/>
  <c r="AY464" i="6" s="1"/>
  <c r="AV465" i="6"/>
  <c r="AW465" i="6" s="1"/>
  <c r="AX465" i="6"/>
  <c r="AY465" i="6" s="1"/>
  <c r="AV466" i="6"/>
  <c r="AW466" i="6" s="1"/>
  <c r="AX466" i="6"/>
  <c r="AY466" i="6" s="1"/>
  <c r="AV467" i="6"/>
  <c r="AW467" i="6" s="1"/>
  <c r="AX467" i="6"/>
  <c r="AY467" i="6" s="1"/>
  <c r="AV468" i="6"/>
  <c r="AW468" i="6" s="1"/>
  <c r="AX468" i="6"/>
  <c r="AY468" i="6" s="1"/>
  <c r="AV469" i="6"/>
  <c r="AW469" i="6" s="1"/>
  <c r="AX469" i="6"/>
  <c r="AY469" i="6" s="1"/>
  <c r="AV470" i="6"/>
  <c r="AW470" i="6" s="1"/>
  <c r="AX470" i="6"/>
  <c r="AY470" i="6" s="1"/>
  <c r="AV471" i="6"/>
  <c r="AW471" i="6" s="1"/>
  <c r="AX471" i="6"/>
  <c r="AY471" i="6" s="1"/>
  <c r="AV472" i="6"/>
  <c r="AW472" i="6" s="1"/>
  <c r="AX472" i="6"/>
  <c r="AY472" i="6" s="1"/>
  <c r="AV473" i="6"/>
  <c r="AW473" i="6" s="1"/>
  <c r="AX473" i="6"/>
  <c r="AY473" i="6" s="1"/>
  <c r="AV474" i="6"/>
  <c r="AW474" i="6" s="1"/>
  <c r="AX474" i="6"/>
  <c r="AY474" i="6" s="1"/>
  <c r="AV475" i="6"/>
  <c r="AW475" i="6" s="1"/>
  <c r="AX475" i="6"/>
  <c r="AY475" i="6" s="1"/>
  <c r="AV476" i="6"/>
  <c r="AW476" i="6"/>
  <c r="AX476" i="6"/>
  <c r="AY476" i="6" s="1"/>
  <c r="AV477" i="6"/>
  <c r="AW477" i="6" s="1"/>
  <c r="AX477" i="6"/>
  <c r="AY477" i="6" s="1"/>
  <c r="AV478" i="6"/>
  <c r="AW478" i="6" s="1"/>
  <c r="AX478" i="6"/>
  <c r="AY478" i="6" s="1"/>
  <c r="AV479" i="6"/>
  <c r="AW479" i="6" s="1"/>
  <c r="AX479" i="6"/>
  <c r="AY479" i="6" s="1"/>
  <c r="AV480" i="6"/>
  <c r="AW480" i="6" s="1"/>
  <c r="AX480" i="6"/>
  <c r="AY480" i="6" s="1"/>
  <c r="AV481" i="6"/>
  <c r="AW481" i="6" s="1"/>
  <c r="AX481" i="6"/>
  <c r="AY481" i="6" s="1"/>
  <c r="AV482" i="6"/>
  <c r="AW482" i="6" s="1"/>
  <c r="AX482" i="6"/>
  <c r="AY482" i="6" s="1"/>
  <c r="AV483" i="6"/>
  <c r="AW483" i="6" s="1"/>
  <c r="AX483" i="6"/>
  <c r="AY483" i="6" s="1"/>
  <c r="AV484" i="6"/>
  <c r="AW484" i="6" s="1"/>
  <c r="AX484" i="6"/>
  <c r="AY484" i="6" s="1"/>
  <c r="AV485" i="6"/>
  <c r="AW485" i="6" s="1"/>
  <c r="AX485" i="6"/>
  <c r="AY485" i="6" s="1"/>
  <c r="AV486" i="6"/>
  <c r="AW486" i="6" s="1"/>
  <c r="AX486" i="6"/>
  <c r="AY486" i="6" s="1"/>
  <c r="AV487" i="6"/>
  <c r="AW487" i="6" s="1"/>
  <c r="AX487" i="6"/>
  <c r="AY487" i="6" s="1"/>
  <c r="AV488" i="6"/>
  <c r="AW488" i="6" s="1"/>
  <c r="AX488" i="6"/>
  <c r="AY488" i="6" s="1"/>
  <c r="AV489" i="6"/>
  <c r="AW489" i="6" s="1"/>
  <c r="AX489" i="6"/>
  <c r="AY489" i="6" s="1"/>
  <c r="AV490" i="6"/>
  <c r="AW490" i="6" s="1"/>
  <c r="AX490" i="6"/>
  <c r="AY490" i="6" s="1"/>
  <c r="AV491" i="6"/>
  <c r="AW491" i="6" s="1"/>
  <c r="AX491" i="6"/>
  <c r="AY491" i="6" s="1"/>
  <c r="AV492" i="6"/>
  <c r="AW492" i="6" s="1"/>
  <c r="AX492" i="6"/>
  <c r="AY492" i="6" s="1"/>
  <c r="AV493" i="6"/>
  <c r="AW493" i="6" s="1"/>
  <c r="AX493" i="6"/>
  <c r="AY493" i="6" s="1"/>
  <c r="AV494" i="6"/>
  <c r="AW494" i="6" s="1"/>
  <c r="AX494" i="6"/>
  <c r="AY494" i="6" s="1"/>
  <c r="AV495" i="6"/>
  <c r="AW495" i="6" s="1"/>
  <c r="AX495" i="6"/>
  <c r="AY495" i="6" s="1"/>
  <c r="AV496" i="6"/>
  <c r="AW496" i="6" s="1"/>
  <c r="AX496" i="6"/>
  <c r="AY496" i="6" s="1"/>
  <c r="AV497" i="6"/>
  <c r="AW497" i="6" s="1"/>
  <c r="AX497" i="6"/>
  <c r="AY497" i="6" s="1"/>
  <c r="AV498" i="6"/>
  <c r="AW498" i="6" s="1"/>
  <c r="AX498" i="6"/>
  <c r="AY498" i="6" s="1"/>
  <c r="AV499" i="6"/>
  <c r="AW499" i="6" s="1"/>
  <c r="AX499" i="6"/>
  <c r="AY499" i="6"/>
  <c r="AV500" i="6"/>
  <c r="AW500" i="6" s="1"/>
  <c r="AX500" i="6"/>
  <c r="AY500" i="6" s="1"/>
  <c r="AV501" i="6"/>
  <c r="AW501" i="6" s="1"/>
  <c r="AX501" i="6"/>
  <c r="AY501" i="6" s="1"/>
  <c r="AV502" i="6"/>
  <c r="AW502" i="6" s="1"/>
  <c r="AX502" i="6"/>
  <c r="AY502" i="6" s="1"/>
  <c r="AV503" i="6"/>
  <c r="AW503" i="6" s="1"/>
  <c r="AX503" i="6"/>
  <c r="AY503" i="6" s="1"/>
  <c r="AV504" i="6"/>
  <c r="AW504" i="6" s="1"/>
  <c r="AX504" i="6"/>
  <c r="AY504" i="6" s="1"/>
  <c r="AV505" i="6"/>
  <c r="AW505" i="6" s="1"/>
  <c r="AX505" i="6"/>
  <c r="AY505" i="6" s="1"/>
  <c r="AV506" i="6"/>
  <c r="AW506" i="6" s="1"/>
  <c r="AX506" i="6"/>
  <c r="AY506" i="6" s="1"/>
  <c r="AV507" i="6"/>
  <c r="AW507" i="6" s="1"/>
  <c r="AX507" i="6"/>
  <c r="AY507" i="6" s="1"/>
  <c r="AV508" i="6"/>
  <c r="AW508" i="6" s="1"/>
  <c r="AX508" i="6"/>
  <c r="AY508" i="6" s="1"/>
  <c r="AV509" i="6"/>
  <c r="AW509" i="6" s="1"/>
  <c r="AX509" i="6"/>
  <c r="AY509" i="6" s="1"/>
  <c r="AV510" i="6"/>
  <c r="AW510" i="6" s="1"/>
  <c r="AX510" i="6"/>
  <c r="AY510" i="6" s="1"/>
  <c r="AV511" i="6"/>
  <c r="AW511" i="6" s="1"/>
  <c r="AX511" i="6"/>
  <c r="AY511" i="6" s="1"/>
  <c r="AV512" i="6"/>
  <c r="AW512" i="6" s="1"/>
  <c r="AX512" i="6"/>
  <c r="AY512" i="6" s="1"/>
  <c r="AV513" i="6"/>
  <c r="AW513" i="6" s="1"/>
  <c r="AX513" i="6"/>
  <c r="AY513" i="6" s="1"/>
  <c r="AV514" i="6"/>
  <c r="AW514" i="6" s="1"/>
  <c r="AX514" i="6"/>
  <c r="AY514" i="6" s="1"/>
  <c r="AV515" i="6"/>
  <c r="AW515" i="6" s="1"/>
  <c r="AX515" i="6"/>
  <c r="AY515" i="6" s="1"/>
  <c r="AV516" i="6"/>
  <c r="AW516" i="6" s="1"/>
  <c r="AX516" i="6"/>
  <c r="AY516" i="6" s="1"/>
  <c r="AV517" i="6"/>
  <c r="AW517" i="6" s="1"/>
  <c r="AX517" i="6"/>
  <c r="AY517" i="6" s="1"/>
  <c r="AV518" i="6"/>
  <c r="AW518" i="6" s="1"/>
  <c r="AX518" i="6"/>
  <c r="AY518" i="6" s="1"/>
  <c r="AV519" i="6"/>
  <c r="AW519" i="6" s="1"/>
  <c r="AX519" i="6"/>
  <c r="AY519" i="6" s="1"/>
  <c r="AV520" i="6"/>
  <c r="AW520" i="6" s="1"/>
  <c r="AX520" i="6"/>
  <c r="AY520" i="6" s="1"/>
  <c r="AV521" i="6"/>
  <c r="AW521" i="6" s="1"/>
  <c r="AX521" i="6"/>
  <c r="AY521" i="6" s="1"/>
  <c r="AV522" i="6"/>
  <c r="AW522" i="6" s="1"/>
  <c r="AX522" i="6"/>
  <c r="AY522" i="6" s="1"/>
  <c r="AV523" i="6"/>
  <c r="AW523" i="6" s="1"/>
  <c r="AX523" i="6"/>
  <c r="AY523" i="6" s="1"/>
  <c r="AV524" i="6"/>
  <c r="AW524" i="6" s="1"/>
  <c r="AX524" i="6"/>
  <c r="AY524" i="6" s="1"/>
  <c r="AV525" i="6"/>
  <c r="AW525" i="6" s="1"/>
  <c r="AX525" i="6"/>
  <c r="AY525" i="6" s="1"/>
  <c r="AV526" i="6"/>
  <c r="AW526" i="6" s="1"/>
  <c r="AX526" i="6"/>
  <c r="AY526" i="6" s="1"/>
  <c r="AV527" i="6"/>
  <c r="AW527" i="6" s="1"/>
  <c r="AX527" i="6"/>
  <c r="AY527" i="6" s="1"/>
  <c r="AV528" i="6"/>
  <c r="AW528" i="6" s="1"/>
  <c r="AX528" i="6"/>
  <c r="AY528" i="6" s="1"/>
  <c r="AV529" i="6"/>
  <c r="AW529" i="6" s="1"/>
  <c r="AX529" i="6"/>
  <c r="AY529" i="6" s="1"/>
  <c r="AV530" i="6"/>
  <c r="AW530" i="6" s="1"/>
  <c r="AX530" i="6"/>
  <c r="AY530" i="6" s="1"/>
  <c r="AV531" i="6"/>
  <c r="AW531" i="6" s="1"/>
  <c r="AX531" i="6"/>
  <c r="AY531" i="6" s="1"/>
  <c r="AV532" i="6"/>
  <c r="AW532" i="6" s="1"/>
  <c r="AX532" i="6"/>
  <c r="AY532" i="6" s="1"/>
  <c r="AV533" i="6"/>
  <c r="AW533" i="6" s="1"/>
  <c r="AX533" i="6"/>
  <c r="AY533" i="6" s="1"/>
  <c r="AV534" i="6"/>
  <c r="AW534" i="6" s="1"/>
  <c r="AX534" i="6"/>
  <c r="AY534" i="6" s="1"/>
  <c r="AV535" i="6"/>
  <c r="AW535" i="6" s="1"/>
  <c r="AX535" i="6"/>
  <c r="AY535" i="6" s="1"/>
  <c r="AV536" i="6"/>
  <c r="AW536" i="6" s="1"/>
  <c r="AX536" i="6"/>
  <c r="AY536" i="6" s="1"/>
  <c r="AV537" i="6"/>
  <c r="AW537" i="6" s="1"/>
  <c r="AX537" i="6"/>
  <c r="AY537" i="6"/>
  <c r="AV538" i="6"/>
  <c r="AW538" i="6" s="1"/>
  <c r="AX538" i="6"/>
  <c r="AY538" i="6" s="1"/>
  <c r="AV539" i="6"/>
  <c r="AW539" i="6" s="1"/>
  <c r="AX539" i="6"/>
  <c r="AY539" i="6" s="1"/>
  <c r="AV540" i="6"/>
  <c r="AW540" i="6" s="1"/>
  <c r="AX540" i="6"/>
  <c r="AY540" i="6" s="1"/>
  <c r="AV541" i="6"/>
  <c r="AW541" i="6" s="1"/>
  <c r="AX541" i="6"/>
  <c r="AY541" i="6" s="1"/>
  <c r="AV542" i="6"/>
  <c r="AW542" i="6"/>
  <c r="AX542" i="6"/>
  <c r="AY542" i="6" s="1"/>
  <c r="AV543" i="6"/>
  <c r="AW543" i="6" s="1"/>
  <c r="AX543" i="6"/>
  <c r="AY543" i="6" s="1"/>
  <c r="AV544" i="6"/>
  <c r="AW544" i="6" s="1"/>
  <c r="AX544" i="6"/>
  <c r="AY544" i="6"/>
  <c r="AV545" i="6"/>
  <c r="AW545" i="6" s="1"/>
  <c r="AX545" i="6"/>
  <c r="AY545" i="6" s="1"/>
  <c r="AV546" i="6"/>
  <c r="AW546" i="6" s="1"/>
  <c r="AX546" i="6"/>
  <c r="AY546" i="6" s="1"/>
  <c r="AV547" i="6"/>
  <c r="AW547" i="6"/>
  <c r="AX547" i="6"/>
  <c r="AY547" i="6" s="1"/>
  <c r="AV548" i="6"/>
  <c r="AW548" i="6" s="1"/>
  <c r="AX548" i="6"/>
  <c r="AY548" i="6" s="1"/>
  <c r="AV549" i="6"/>
  <c r="AW549" i="6" s="1"/>
  <c r="AX549" i="6"/>
  <c r="AY549" i="6" s="1"/>
  <c r="AV550" i="6"/>
  <c r="AW550" i="6" s="1"/>
  <c r="AX550" i="6"/>
  <c r="AY550" i="6" s="1"/>
  <c r="AV551" i="6"/>
  <c r="AW551" i="6" s="1"/>
  <c r="AX551" i="6"/>
  <c r="AY551" i="6" s="1"/>
  <c r="AV552" i="6"/>
  <c r="AW552" i="6" s="1"/>
  <c r="AX552" i="6"/>
  <c r="AY552" i="6" s="1"/>
  <c r="AV553" i="6"/>
  <c r="AW553" i="6" s="1"/>
  <c r="AX553" i="6"/>
  <c r="AY553" i="6" s="1"/>
  <c r="AV554" i="6"/>
  <c r="AW554" i="6" s="1"/>
  <c r="AX554" i="6"/>
  <c r="AY554" i="6" s="1"/>
  <c r="AV555" i="6"/>
  <c r="AW555" i="6" s="1"/>
  <c r="AX555" i="6"/>
  <c r="AY555" i="6" s="1"/>
  <c r="AV556" i="6"/>
  <c r="AW556" i="6" s="1"/>
  <c r="AX556" i="6"/>
  <c r="AY556" i="6" s="1"/>
  <c r="AV557" i="6"/>
  <c r="AW557" i="6" s="1"/>
  <c r="AX557" i="6"/>
  <c r="AY557" i="6" s="1"/>
  <c r="AV558" i="6"/>
  <c r="AW558" i="6" s="1"/>
  <c r="AX558" i="6"/>
  <c r="AY558" i="6" s="1"/>
  <c r="AV559" i="6"/>
  <c r="AW559" i="6" s="1"/>
  <c r="AX559" i="6"/>
  <c r="AY559" i="6"/>
  <c r="AV560" i="6"/>
  <c r="AW560" i="6" s="1"/>
  <c r="AX560" i="6"/>
  <c r="AY560" i="6" s="1"/>
  <c r="AV561" i="6"/>
  <c r="AW561" i="6" s="1"/>
  <c r="AX561" i="6"/>
  <c r="AY561" i="6" s="1"/>
  <c r="AV562" i="6"/>
  <c r="AW562" i="6" s="1"/>
  <c r="AX562" i="6"/>
  <c r="AY562" i="6" s="1"/>
  <c r="AV563" i="6"/>
  <c r="AW563" i="6" s="1"/>
  <c r="AX563" i="6"/>
  <c r="AY563" i="6" s="1"/>
  <c r="AV564" i="6"/>
  <c r="AW564" i="6" s="1"/>
  <c r="AX564" i="6"/>
  <c r="AY564" i="6" s="1"/>
  <c r="AV565" i="6"/>
  <c r="AW565" i="6" s="1"/>
  <c r="AX565" i="6"/>
  <c r="AY565" i="6" s="1"/>
  <c r="AV566" i="6"/>
  <c r="AW566" i="6" s="1"/>
  <c r="AX566" i="6"/>
  <c r="AY566" i="6" s="1"/>
  <c r="AV567" i="6"/>
  <c r="AW567" i="6" s="1"/>
  <c r="AX567" i="6"/>
  <c r="AY567" i="6" s="1"/>
  <c r="AV568" i="6"/>
  <c r="AW568" i="6" s="1"/>
  <c r="AX568" i="6"/>
  <c r="AY568" i="6" s="1"/>
  <c r="AV569" i="6"/>
  <c r="AW569" i="6" s="1"/>
  <c r="AX569" i="6"/>
  <c r="AY569" i="6" s="1"/>
  <c r="AV570" i="6"/>
  <c r="AW570" i="6" s="1"/>
  <c r="AX570" i="6"/>
  <c r="AY570" i="6" s="1"/>
  <c r="AV571" i="6"/>
  <c r="AW571" i="6" s="1"/>
  <c r="AX571" i="6"/>
  <c r="AY571" i="6" s="1"/>
  <c r="AV572" i="6"/>
  <c r="AW572" i="6" s="1"/>
  <c r="AX572" i="6"/>
  <c r="AY572" i="6" s="1"/>
  <c r="AV573" i="6"/>
  <c r="AW573" i="6" s="1"/>
  <c r="AX573" i="6"/>
  <c r="AY573" i="6" s="1"/>
  <c r="AV574" i="6"/>
  <c r="AW574" i="6" s="1"/>
  <c r="AX574" i="6"/>
  <c r="AY574" i="6" s="1"/>
  <c r="AV575" i="6"/>
  <c r="AW575" i="6" s="1"/>
  <c r="AX575" i="6"/>
  <c r="AY575" i="6" s="1"/>
  <c r="AV576" i="6"/>
  <c r="AW576" i="6"/>
  <c r="AX576" i="6"/>
  <c r="AY576" i="6" s="1"/>
  <c r="AV577" i="6"/>
  <c r="AW577" i="6" s="1"/>
  <c r="AX577" i="6"/>
  <c r="AY577" i="6" s="1"/>
  <c r="AV578" i="6"/>
  <c r="AW578" i="6" s="1"/>
  <c r="AX578" i="6"/>
  <c r="AY578" i="6" s="1"/>
  <c r="AV579" i="6"/>
  <c r="AW579" i="6" s="1"/>
  <c r="AX579" i="6"/>
  <c r="AY579" i="6" s="1"/>
  <c r="AV580" i="6"/>
  <c r="AW580" i="6" s="1"/>
  <c r="AX580" i="6"/>
  <c r="AY580" i="6" s="1"/>
  <c r="AV581" i="6"/>
  <c r="AW581" i="6" s="1"/>
  <c r="AX581" i="6"/>
  <c r="AY581" i="6" s="1"/>
  <c r="AV582" i="6"/>
  <c r="AW582" i="6" s="1"/>
  <c r="AX582" i="6"/>
  <c r="AY582" i="6" s="1"/>
  <c r="AV583" i="6"/>
  <c r="AW583" i="6" s="1"/>
  <c r="AX583" i="6"/>
  <c r="AY583" i="6" s="1"/>
  <c r="AV584" i="6"/>
  <c r="AW584" i="6" s="1"/>
  <c r="AX584" i="6"/>
  <c r="AY584" i="6" s="1"/>
  <c r="AV585" i="6"/>
  <c r="AW585" i="6" s="1"/>
  <c r="AX585" i="6"/>
  <c r="AY585" i="6" s="1"/>
  <c r="AV586" i="6"/>
  <c r="AW586" i="6" s="1"/>
  <c r="AX586" i="6"/>
  <c r="AY586" i="6" s="1"/>
  <c r="AV587" i="6"/>
  <c r="AW587" i="6" s="1"/>
  <c r="AX587" i="6"/>
  <c r="AY587" i="6" s="1"/>
  <c r="AV588" i="6"/>
  <c r="AW588" i="6" s="1"/>
  <c r="AX588" i="6"/>
  <c r="AY588" i="6" s="1"/>
  <c r="AV589" i="6"/>
  <c r="AW589" i="6" s="1"/>
  <c r="AX589" i="6"/>
  <c r="AY589" i="6" s="1"/>
  <c r="AV590" i="6"/>
  <c r="AW590" i="6" s="1"/>
  <c r="AX590" i="6"/>
  <c r="AY590" i="6" s="1"/>
  <c r="AV591" i="6"/>
  <c r="AW591" i="6" s="1"/>
  <c r="AX591" i="6"/>
  <c r="AY591" i="6" s="1"/>
  <c r="AV592" i="6"/>
  <c r="AW592" i="6" s="1"/>
  <c r="AX592" i="6"/>
  <c r="AY592" i="6" s="1"/>
  <c r="AV593" i="6"/>
  <c r="AW593" i="6" s="1"/>
  <c r="AX593" i="6"/>
  <c r="AY593" i="6" s="1"/>
  <c r="AV594" i="6"/>
  <c r="AW594" i="6" s="1"/>
  <c r="AX594" i="6"/>
  <c r="AY594" i="6" s="1"/>
  <c r="AV595" i="6"/>
  <c r="AW595" i="6" s="1"/>
  <c r="AX595" i="6"/>
  <c r="AY595" i="6" s="1"/>
  <c r="AV596" i="6"/>
  <c r="AW596" i="6" s="1"/>
  <c r="AX596" i="6"/>
  <c r="AY596" i="6" s="1"/>
  <c r="AV597" i="6"/>
  <c r="AW597" i="6" s="1"/>
  <c r="AX597" i="6"/>
  <c r="AY597" i="6" s="1"/>
  <c r="AV598" i="6"/>
  <c r="AW598" i="6" s="1"/>
  <c r="AX598" i="6"/>
  <c r="AY598" i="6" s="1"/>
  <c r="AV599" i="6"/>
  <c r="AW599" i="6" s="1"/>
  <c r="AX599" i="6"/>
  <c r="AY599" i="6" s="1"/>
  <c r="AV600" i="6"/>
  <c r="AW600" i="6" s="1"/>
  <c r="AX600" i="6"/>
  <c r="AY600" i="6" s="1"/>
  <c r="AV601" i="6"/>
  <c r="AW601" i="6" s="1"/>
  <c r="AX601" i="6"/>
  <c r="AY601" i="6" s="1"/>
  <c r="AV602" i="6"/>
  <c r="AW602" i="6" s="1"/>
  <c r="AX602" i="6"/>
  <c r="AY602" i="6" s="1"/>
  <c r="AV603" i="6"/>
  <c r="AW603" i="6" s="1"/>
  <c r="AX603" i="6"/>
  <c r="AY603" i="6" s="1"/>
  <c r="AV604" i="6"/>
  <c r="AW604" i="6" s="1"/>
  <c r="AX604" i="6"/>
  <c r="AY604" i="6" s="1"/>
  <c r="AV605" i="6"/>
  <c r="AW605" i="6" s="1"/>
  <c r="AX605" i="6"/>
  <c r="AY605" i="6" s="1"/>
  <c r="AV606" i="6"/>
  <c r="AW606" i="6" s="1"/>
  <c r="AX606" i="6"/>
  <c r="AY606" i="6" s="1"/>
  <c r="AV607" i="6"/>
  <c r="AW607" i="6" s="1"/>
  <c r="AX607" i="6"/>
  <c r="AY607" i="6" s="1"/>
  <c r="AV608" i="6"/>
  <c r="AW608" i="6" s="1"/>
  <c r="AX608" i="6"/>
  <c r="AY608" i="6"/>
  <c r="AV609" i="6"/>
  <c r="AW609" i="6" s="1"/>
  <c r="AX609" i="6"/>
  <c r="AY609" i="6" s="1"/>
  <c r="AV610" i="6"/>
  <c r="AW610" i="6" s="1"/>
  <c r="AX610" i="6"/>
  <c r="AY610" i="6" s="1"/>
  <c r="AV611" i="6"/>
  <c r="AW611" i="6" s="1"/>
  <c r="AX611" i="6"/>
  <c r="AY611" i="6" s="1"/>
  <c r="AV612" i="6"/>
  <c r="AW612" i="6" s="1"/>
  <c r="AX612" i="6"/>
  <c r="AY612" i="6" s="1"/>
  <c r="AV613" i="6"/>
  <c r="AW613" i="6" s="1"/>
  <c r="AX613" i="6"/>
  <c r="AY613" i="6" s="1"/>
  <c r="AV614" i="6"/>
  <c r="AW614" i="6" s="1"/>
  <c r="AX614" i="6"/>
  <c r="AY614" i="6" s="1"/>
  <c r="AV615" i="6"/>
  <c r="AW615" i="6" s="1"/>
  <c r="AX615" i="6"/>
  <c r="AY615" i="6" s="1"/>
  <c r="AV616" i="6"/>
  <c r="AW616" i="6"/>
  <c r="AX616" i="6"/>
  <c r="AY616" i="6" s="1"/>
  <c r="AV617" i="6"/>
  <c r="AW617" i="6" s="1"/>
  <c r="AX617" i="6"/>
  <c r="AY617" i="6" s="1"/>
  <c r="AV618" i="6"/>
  <c r="AW618" i="6" s="1"/>
  <c r="AX618" i="6"/>
  <c r="AY618" i="6" s="1"/>
  <c r="AV619" i="6"/>
  <c r="AW619" i="6" s="1"/>
  <c r="AX619" i="6"/>
  <c r="AY619" i="6" s="1"/>
  <c r="AV620" i="6"/>
  <c r="AW620" i="6" s="1"/>
  <c r="AX620" i="6"/>
  <c r="AY620" i="6" s="1"/>
  <c r="AV621" i="6"/>
  <c r="AW621" i="6" s="1"/>
  <c r="AX621" i="6"/>
  <c r="AY621" i="6" s="1"/>
  <c r="AV622" i="6"/>
  <c r="AW622" i="6" s="1"/>
  <c r="AX622" i="6"/>
  <c r="AY622" i="6" s="1"/>
  <c r="AV623" i="6"/>
  <c r="AW623" i="6" s="1"/>
  <c r="AX623" i="6"/>
  <c r="AY623" i="6" s="1"/>
  <c r="AV624" i="6"/>
  <c r="AW624" i="6" s="1"/>
  <c r="AX624" i="6"/>
  <c r="AY624" i="6" s="1"/>
  <c r="AV625" i="6"/>
  <c r="AW625" i="6" s="1"/>
  <c r="AX625" i="6"/>
  <c r="AY625" i="6" s="1"/>
  <c r="AV626" i="6"/>
  <c r="AW626" i="6" s="1"/>
  <c r="AX626" i="6"/>
  <c r="AY626" i="6" s="1"/>
  <c r="AV627" i="6"/>
  <c r="AW627" i="6" s="1"/>
  <c r="AX627" i="6"/>
  <c r="AY627" i="6" s="1"/>
  <c r="AV628" i="6"/>
  <c r="AW628" i="6" s="1"/>
  <c r="AX628" i="6"/>
  <c r="AY628" i="6" s="1"/>
  <c r="AV629" i="6"/>
  <c r="AW629" i="6" s="1"/>
  <c r="AX629" i="6"/>
  <c r="AY629" i="6" s="1"/>
  <c r="AV630" i="6"/>
  <c r="AW630" i="6" s="1"/>
  <c r="AX630" i="6"/>
  <c r="AY630" i="6" s="1"/>
  <c r="AV631" i="6"/>
  <c r="AW631" i="6" s="1"/>
  <c r="AX631" i="6"/>
  <c r="AY631" i="6" s="1"/>
  <c r="AV632" i="6"/>
  <c r="AW632" i="6" s="1"/>
  <c r="AX632" i="6"/>
  <c r="AY632" i="6" s="1"/>
  <c r="AV633" i="6"/>
  <c r="AW633" i="6" s="1"/>
  <c r="AX633" i="6"/>
  <c r="AY633" i="6" s="1"/>
  <c r="AV634" i="6"/>
  <c r="AW634" i="6" s="1"/>
  <c r="AX634" i="6"/>
  <c r="AY634" i="6" s="1"/>
  <c r="AV635" i="6"/>
  <c r="AW635" i="6" s="1"/>
  <c r="AX635" i="6"/>
  <c r="AY635" i="6" s="1"/>
  <c r="AV636" i="6"/>
  <c r="AW636" i="6" s="1"/>
  <c r="AX636" i="6"/>
  <c r="AY636" i="6" s="1"/>
  <c r="AV637" i="6"/>
  <c r="AW637" i="6" s="1"/>
  <c r="AX637" i="6"/>
  <c r="AY637" i="6" s="1"/>
  <c r="AV638" i="6"/>
  <c r="AW638" i="6" s="1"/>
  <c r="AX638" i="6"/>
  <c r="AY638" i="6" s="1"/>
  <c r="AV639" i="6"/>
  <c r="AW639" i="6" s="1"/>
  <c r="AX639" i="6"/>
  <c r="AY639" i="6" s="1"/>
  <c r="AV640" i="6"/>
  <c r="AW640" i="6" s="1"/>
  <c r="AX640" i="6"/>
  <c r="AY640" i="6" s="1"/>
  <c r="AV641" i="6"/>
  <c r="AW641" i="6" s="1"/>
  <c r="AX641" i="6"/>
  <c r="AY641" i="6" s="1"/>
  <c r="AV642" i="6"/>
  <c r="AW642" i="6" s="1"/>
  <c r="AX642" i="6"/>
  <c r="AY642" i="6" s="1"/>
  <c r="AV643" i="6"/>
  <c r="AW643" i="6" s="1"/>
  <c r="AX643" i="6"/>
  <c r="AY643" i="6" s="1"/>
  <c r="AV644" i="6"/>
  <c r="AW644" i="6" s="1"/>
  <c r="AX644" i="6"/>
  <c r="AY644" i="6" s="1"/>
  <c r="AV645" i="6"/>
  <c r="AW645" i="6" s="1"/>
  <c r="AX645" i="6"/>
  <c r="AY645" i="6" s="1"/>
  <c r="AV646" i="6"/>
  <c r="AW646" i="6" s="1"/>
  <c r="AX646" i="6"/>
  <c r="AY646" i="6" s="1"/>
  <c r="AV647" i="6"/>
  <c r="AW647" i="6" s="1"/>
  <c r="AX647" i="6"/>
  <c r="AY647" i="6" s="1"/>
  <c r="AV648" i="6"/>
  <c r="AW648" i="6" s="1"/>
  <c r="AX648" i="6"/>
  <c r="AY648" i="6" s="1"/>
  <c r="AV649" i="6"/>
  <c r="AW649" i="6" s="1"/>
  <c r="AX649" i="6"/>
  <c r="AY649" i="6" s="1"/>
  <c r="AV650" i="6"/>
  <c r="AW650" i="6" s="1"/>
  <c r="AX650" i="6"/>
  <c r="AY650" i="6" s="1"/>
  <c r="AV651" i="6"/>
  <c r="AW651" i="6" s="1"/>
  <c r="AX651" i="6"/>
  <c r="AY651" i="6" s="1"/>
  <c r="AV652" i="6"/>
  <c r="AW652" i="6" s="1"/>
  <c r="AX652" i="6"/>
  <c r="AY652" i="6" s="1"/>
  <c r="AV653" i="6"/>
  <c r="AW653" i="6" s="1"/>
  <c r="AX653" i="6"/>
  <c r="AY653" i="6" s="1"/>
  <c r="AV654" i="6"/>
  <c r="AW654" i="6" s="1"/>
  <c r="AX654" i="6"/>
  <c r="AY654" i="6" s="1"/>
  <c r="AV655" i="6"/>
  <c r="AW655" i="6" s="1"/>
  <c r="AX655" i="6"/>
  <c r="AY655" i="6" s="1"/>
  <c r="AV656" i="6"/>
  <c r="AW656" i="6" s="1"/>
  <c r="AX656" i="6"/>
  <c r="AY656" i="6"/>
  <c r="AV657" i="6"/>
  <c r="AW657" i="6" s="1"/>
  <c r="AX657" i="6"/>
  <c r="AY657" i="6" s="1"/>
  <c r="AV658" i="6"/>
  <c r="AW658" i="6" s="1"/>
  <c r="AX658" i="6"/>
  <c r="AY658" i="6" s="1"/>
  <c r="AV659" i="6"/>
  <c r="AW659" i="6" s="1"/>
  <c r="AX659" i="6"/>
  <c r="AY659" i="6" s="1"/>
  <c r="AV660" i="6"/>
  <c r="AW660" i="6" s="1"/>
  <c r="AX660" i="6"/>
  <c r="AY660" i="6" s="1"/>
  <c r="AV661" i="6"/>
  <c r="AW661" i="6" s="1"/>
  <c r="AX661" i="6"/>
  <c r="AY661" i="6" s="1"/>
  <c r="AV662" i="6"/>
  <c r="AW662" i="6" s="1"/>
  <c r="AX662" i="6"/>
  <c r="AY662" i="6" s="1"/>
  <c r="AV663" i="6"/>
  <c r="AW663" i="6" s="1"/>
  <c r="AX663" i="6"/>
  <c r="AY663" i="6" s="1"/>
  <c r="AV664" i="6"/>
  <c r="AW664" i="6" s="1"/>
  <c r="AX664" i="6"/>
  <c r="AY664" i="6" s="1"/>
  <c r="AV665" i="6"/>
  <c r="AW665" i="6" s="1"/>
  <c r="AX665" i="6"/>
  <c r="AY665" i="6" s="1"/>
  <c r="AV666" i="6"/>
  <c r="AW666" i="6" s="1"/>
  <c r="AX666" i="6"/>
  <c r="AY666" i="6" s="1"/>
  <c r="AV667" i="6"/>
  <c r="AW667" i="6" s="1"/>
  <c r="AX667" i="6"/>
  <c r="AY667" i="6" s="1"/>
  <c r="AV668" i="6"/>
  <c r="AW668" i="6" s="1"/>
  <c r="AX668" i="6"/>
  <c r="AY668" i="6" s="1"/>
  <c r="AV669" i="6"/>
  <c r="AW669" i="6" s="1"/>
  <c r="AX669" i="6"/>
  <c r="AY669" i="6" s="1"/>
  <c r="AV670" i="6"/>
  <c r="AW670" i="6" s="1"/>
  <c r="AX670" i="6"/>
  <c r="AY670" i="6" s="1"/>
  <c r="AV671" i="6"/>
  <c r="AW671" i="6" s="1"/>
  <c r="AX671" i="6"/>
  <c r="AY671" i="6" s="1"/>
  <c r="AV672" i="6"/>
  <c r="AW672" i="6" s="1"/>
  <c r="AX672" i="6"/>
  <c r="AY672" i="6" s="1"/>
  <c r="AV673" i="6"/>
  <c r="AW673" i="6" s="1"/>
  <c r="AX673" i="6"/>
  <c r="AY673" i="6" s="1"/>
  <c r="AV674" i="6"/>
  <c r="AW674" i="6" s="1"/>
  <c r="AX674" i="6"/>
  <c r="AY674" i="6" s="1"/>
  <c r="AV675" i="6"/>
  <c r="AW675" i="6" s="1"/>
  <c r="AX675" i="6"/>
  <c r="AY675" i="6" s="1"/>
  <c r="AV676" i="6"/>
  <c r="AW676" i="6" s="1"/>
  <c r="AX676" i="6"/>
  <c r="AY676" i="6" s="1"/>
  <c r="AV677" i="6"/>
  <c r="AW677" i="6" s="1"/>
  <c r="AX677" i="6"/>
  <c r="AY677" i="6" s="1"/>
  <c r="AV678" i="6"/>
  <c r="AW678" i="6" s="1"/>
  <c r="AX678" i="6"/>
  <c r="AY678" i="6" s="1"/>
  <c r="AV679" i="6"/>
  <c r="AW679" i="6" s="1"/>
  <c r="AX679" i="6"/>
  <c r="AY679" i="6" s="1"/>
  <c r="AV680" i="6"/>
  <c r="AW680" i="6" s="1"/>
  <c r="AX680" i="6"/>
  <c r="AY680" i="6" s="1"/>
  <c r="AV681" i="6"/>
  <c r="AW681" i="6" s="1"/>
  <c r="AX681" i="6"/>
  <c r="AY681" i="6" s="1"/>
  <c r="AV682" i="6"/>
  <c r="AW682" i="6" s="1"/>
  <c r="AX682" i="6"/>
  <c r="AY682" i="6" s="1"/>
  <c r="AV683" i="6"/>
  <c r="AW683" i="6" s="1"/>
  <c r="AX683" i="6"/>
  <c r="AY683" i="6" s="1"/>
  <c r="AV684" i="6"/>
  <c r="AW684" i="6" s="1"/>
  <c r="AX684" i="6"/>
  <c r="AY684" i="6" s="1"/>
  <c r="AV685" i="6"/>
  <c r="AW685" i="6" s="1"/>
  <c r="AX685" i="6"/>
  <c r="AY685" i="6" s="1"/>
  <c r="AV686" i="6"/>
  <c r="AW686" i="6" s="1"/>
  <c r="AX686" i="6"/>
  <c r="AY686" i="6" s="1"/>
  <c r="AL385" i="6"/>
  <c r="AM385" i="6"/>
  <c r="AL386" i="6"/>
  <c r="AM386" i="6"/>
  <c r="AL387" i="6"/>
  <c r="AM387" i="6"/>
  <c r="AL388" i="6"/>
  <c r="AM388" i="6"/>
  <c r="AL389" i="6"/>
  <c r="AM389" i="6"/>
  <c r="AL390" i="6"/>
  <c r="AM390" i="6"/>
  <c r="AL391" i="6"/>
  <c r="AM391" i="6"/>
  <c r="AL392" i="6"/>
  <c r="AM392" i="6"/>
  <c r="AL393" i="6"/>
  <c r="AM393" i="6"/>
  <c r="AL394" i="6"/>
  <c r="AM394" i="6"/>
  <c r="AL395" i="6"/>
  <c r="AM395" i="6"/>
  <c r="AL396" i="6"/>
  <c r="AM396" i="6"/>
  <c r="AL397" i="6"/>
  <c r="AM397" i="6"/>
  <c r="AL398" i="6"/>
  <c r="AM398" i="6"/>
  <c r="AL399" i="6"/>
  <c r="AM399" i="6"/>
  <c r="AL400" i="6"/>
  <c r="AM400" i="6"/>
  <c r="AL401" i="6"/>
  <c r="AM401" i="6"/>
  <c r="AL402" i="6"/>
  <c r="AM402" i="6"/>
  <c r="AL403" i="6"/>
  <c r="AM403" i="6"/>
  <c r="AL404" i="6"/>
  <c r="AM404" i="6"/>
  <c r="AL405" i="6"/>
  <c r="AM405" i="6"/>
  <c r="AL406" i="6"/>
  <c r="AM406" i="6"/>
  <c r="AL407" i="6"/>
  <c r="AM407" i="6"/>
  <c r="AL408" i="6"/>
  <c r="AM408" i="6"/>
  <c r="AL409" i="6"/>
  <c r="AM409" i="6"/>
  <c r="AL410" i="6"/>
  <c r="AM410" i="6"/>
  <c r="AL411" i="6"/>
  <c r="AM411" i="6"/>
  <c r="AL412" i="6"/>
  <c r="AM412" i="6"/>
  <c r="AL413" i="6"/>
  <c r="AM413" i="6"/>
  <c r="AL414" i="6"/>
  <c r="AM414" i="6"/>
  <c r="AL415" i="6"/>
  <c r="AM415" i="6"/>
  <c r="AL416" i="6"/>
  <c r="AM416" i="6"/>
  <c r="AL417" i="6"/>
  <c r="AM417" i="6"/>
  <c r="AL418" i="6"/>
  <c r="AM418" i="6"/>
  <c r="AL419" i="6"/>
  <c r="AM419" i="6"/>
  <c r="AL420" i="6"/>
  <c r="AM420" i="6"/>
  <c r="AL421" i="6"/>
  <c r="AM421" i="6"/>
  <c r="AL422" i="6"/>
  <c r="AM422" i="6"/>
  <c r="AL423" i="6"/>
  <c r="AM423" i="6"/>
  <c r="AL424" i="6"/>
  <c r="AM424" i="6"/>
  <c r="AL425" i="6"/>
  <c r="AM425" i="6"/>
  <c r="AL426" i="6"/>
  <c r="AM426" i="6"/>
  <c r="AL427" i="6"/>
  <c r="AM427" i="6"/>
  <c r="AL428" i="6"/>
  <c r="AM428" i="6"/>
  <c r="AL429" i="6"/>
  <c r="AM429" i="6"/>
  <c r="AL430" i="6"/>
  <c r="AM430" i="6"/>
  <c r="AL431" i="6"/>
  <c r="AM431" i="6"/>
  <c r="AL432" i="6"/>
  <c r="AM432" i="6"/>
  <c r="AL433" i="6"/>
  <c r="AM433" i="6"/>
  <c r="AL434" i="6"/>
  <c r="AM434" i="6"/>
  <c r="AL435" i="6"/>
  <c r="AM435" i="6"/>
  <c r="AL436" i="6"/>
  <c r="AM436" i="6"/>
  <c r="AL437" i="6"/>
  <c r="AM437" i="6"/>
  <c r="AL438" i="6"/>
  <c r="AM438" i="6"/>
  <c r="AL439" i="6"/>
  <c r="AM439" i="6"/>
  <c r="AL440" i="6"/>
  <c r="AM440" i="6"/>
  <c r="AL441" i="6"/>
  <c r="AM441" i="6"/>
  <c r="AL442" i="6"/>
  <c r="AM442" i="6"/>
  <c r="AL443" i="6"/>
  <c r="AM443" i="6"/>
  <c r="AL444" i="6"/>
  <c r="AM444" i="6"/>
  <c r="AL445" i="6"/>
  <c r="AM445" i="6"/>
  <c r="AL446" i="6"/>
  <c r="AM446" i="6"/>
  <c r="AL447" i="6"/>
  <c r="AM447" i="6"/>
  <c r="AL448" i="6"/>
  <c r="AM448" i="6"/>
  <c r="AL449" i="6"/>
  <c r="AM449" i="6"/>
  <c r="AL450" i="6"/>
  <c r="AM450" i="6"/>
  <c r="AL451" i="6"/>
  <c r="AM451" i="6"/>
  <c r="AL452" i="6"/>
  <c r="AM452" i="6"/>
  <c r="AL453" i="6"/>
  <c r="AM453" i="6"/>
  <c r="AL454" i="6"/>
  <c r="AM454" i="6"/>
  <c r="AL455" i="6"/>
  <c r="AM455" i="6"/>
  <c r="AL456" i="6"/>
  <c r="AM456" i="6"/>
  <c r="AL457" i="6"/>
  <c r="AM457" i="6"/>
  <c r="AL458" i="6"/>
  <c r="AM458" i="6"/>
  <c r="AL459" i="6"/>
  <c r="AM459" i="6"/>
  <c r="AL460" i="6"/>
  <c r="AM460" i="6"/>
  <c r="AL461" i="6"/>
  <c r="AM461" i="6"/>
  <c r="AL462" i="6"/>
  <c r="AM462" i="6"/>
  <c r="AL463" i="6"/>
  <c r="AM463" i="6"/>
  <c r="AL464" i="6"/>
  <c r="AM464" i="6"/>
  <c r="AL465" i="6"/>
  <c r="AM465" i="6"/>
  <c r="AL466" i="6"/>
  <c r="AM466" i="6"/>
  <c r="AL467" i="6"/>
  <c r="AM467" i="6"/>
  <c r="AL468" i="6"/>
  <c r="AM468" i="6"/>
  <c r="AL469" i="6"/>
  <c r="AM469" i="6"/>
  <c r="AL470" i="6"/>
  <c r="AM470" i="6"/>
  <c r="AL471" i="6"/>
  <c r="AM471" i="6"/>
  <c r="AL472" i="6"/>
  <c r="AM472" i="6"/>
  <c r="AL473" i="6"/>
  <c r="AM473" i="6"/>
  <c r="AL474" i="6"/>
  <c r="AM474" i="6"/>
  <c r="AL475" i="6"/>
  <c r="AM475" i="6"/>
  <c r="AL476" i="6"/>
  <c r="AM476" i="6"/>
  <c r="AL477" i="6"/>
  <c r="AM477" i="6"/>
  <c r="AL478" i="6"/>
  <c r="AM478" i="6"/>
  <c r="AL479" i="6"/>
  <c r="AM479" i="6"/>
  <c r="AL480" i="6"/>
  <c r="AM480" i="6"/>
  <c r="AL481" i="6"/>
  <c r="AM481" i="6"/>
  <c r="AL482" i="6"/>
  <c r="AM482" i="6"/>
  <c r="AL483" i="6"/>
  <c r="AM483" i="6"/>
  <c r="AL484" i="6"/>
  <c r="AM484" i="6"/>
  <c r="AL485" i="6"/>
  <c r="AM485" i="6"/>
  <c r="AL486" i="6"/>
  <c r="AM486" i="6"/>
  <c r="AL487" i="6"/>
  <c r="AM487" i="6"/>
  <c r="AL488" i="6"/>
  <c r="AM488" i="6"/>
  <c r="AL489" i="6"/>
  <c r="AM489" i="6"/>
  <c r="AL490" i="6"/>
  <c r="AM490" i="6"/>
  <c r="AL491" i="6"/>
  <c r="AM491" i="6"/>
  <c r="AL492" i="6"/>
  <c r="AM492" i="6"/>
  <c r="AL493" i="6"/>
  <c r="AM493" i="6"/>
  <c r="AL494" i="6"/>
  <c r="AM494" i="6"/>
  <c r="AL495" i="6"/>
  <c r="AM495" i="6"/>
  <c r="AL496" i="6"/>
  <c r="AM496" i="6"/>
  <c r="AL497" i="6"/>
  <c r="AM497" i="6"/>
  <c r="AL498" i="6"/>
  <c r="AM498" i="6"/>
  <c r="AL499" i="6"/>
  <c r="AM499" i="6"/>
  <c r="AL500" i="6"/>
  <c r="AM500" i="6"/>
  <c r="AL501" i="6"/>
  <c r="AM501" i="6"/>
  <c r="AL502" i="6"/>
  <c r="AM502" i="6"/>
  <c r="AL503" i="6"/>
  <c r="AM503" i="6"/>
  <c r="AL504" i="6"/>
  <c r="AM504" i="6"/>
  <c r="AL505" i="6"/>
  <c r="AM505" i="6"/>
  <c r="AL506" i="6"/>
  <c r="AM506" i="6"/>
  <c r="AL507" i="6"/>
  <c r="AM507" i="6"/>
  <c r="AL508" i="6"/>
  <c r="AM508" i="6"/>
  <c r="AL509" i="6"/>
  <c r="AM509" i="6"/>
  <c r="AL510" i="6"/>
  <c r="AM510" i="6"/>
  <c r="AL511" i="6"/>
  <c r="AM511" i="6"/>
  <c r="AL512" i="6"/>
  <c r="AM512" i="6"/>
  <c r="AL513" i="6"/>
  <c r="AM513" i="6"/>
  <c r="AL514" i="6"/>
  <c r="AM514" i="6"/>
  <c r="AL515" i="6"/>
  <c r="AM515" i="6"/>
  <c r="AL516" i="6"/>
  <c r="AM516" i="6"/>
  <c r="AL517" i="6"/>
  <c r="AM517" i="6"/>
  <c r="AL518" i="6"/>
  <c r="AM518" i="6"/>
  <c r="AL519" i="6"/>
  <c r="AM519" i="6"/>
  <c r="AL520" i="6"/>
  <c r="AM520" i="6"/>
  <c r="AL521" i="6"/>
  <c r="AM521" i="6"/>
  <c r="AL522" i="6"/>
  <c r="AM522" i="6"/>
  <c r="AL523" i="6"/>
  <c r="AM523" i="6"/>
  <c r="AL524" i="6"/>
  <c r="AM524" i="6"/>
  <c r="AL525" i="6"/>
  <c r="AM525" i="6"/>
  <c r="AL526" i="6"/>
  <c r="AM526" i="6"/>
  <c r="AL527" i="6"/>
  <c r="AM527" i="6"/>
  <c r="AL528" i="6"/>
  <c r="AM528" i="6"/>
  <c r="AL529" i="6"/>
  <c r="AM529" i="6"/>
  <c r="AL530" i="6"/>
  <c r="AM530" i="6"/>
  <c r="AL531" i="6"/>
  <c r="AM531" i="6"/>
  <c r="AL532" i="6"/>
  <c r="AM532" i="6"/>
  <c r="AL533" i="6"/>
  <c r="AM533" i="6"/>
  <c r="AL534" i="6"/>
  <c r="AM534" i="6"/>
  <c r="AL535" i="6"/>
  <c r="AM535" i="6"/>
  <c r="AL536" i="6"/>
  <c r="AM536" i="6"/>
  <c r="AL537" i="6"/>
  <c r="AM537" i="6"/>
  <c r="AL538" i="6"/>
  <c r="AM538" i="6"/>
  <c r="AL539" i="6"/>
  <c r="AM539" i="6"/>
  <c r="AL540" i="6"/>
  <c r="AM540" i="6"/>
  <c r="AL541" i="6"/>
  <c r="AM541" i="6"/>
  <c r="AL542" i="6"/>
  <c r="AM542" i="6"/>
  <c r="AL543" i="6"/>
  <c r="AM543" i="6"/>
  <c r="AL544" i="6"/>
  <c r="AM544" i="6"/>
  <c r="AL545" i="6"/>
  <c r="AM545" i="6"/>
  <c r="AL546" i="6"/>
  <c r="AM546" i="6"/>
  <c r="AL547" i="6"/>
  <c r="AM547" i="6"/>
  <c r="AL548" i="6"/>
  <c r="AM548" i="6"/>
  <c r="AL549" i="6"/>
  <c r="AM549" i="6"/>
  <c r="AL550" i="6"/>
  <c r="AM550" i="6"/>
  <c r="AL551" i="6"/>
  <c r="AM551" i="6"/>
  <c r="AL552" i="6"/>
  <c r="AM552" i="6"/>
  <c r="AL553" i="6"/>
  <c r="AM553" i="6"/>
  <c r="AL554" i="6"/>
  <c r="AM554" i="6"/>
  <c r="AL555" i="6"/>
  <c r="AM555" i="6"/>
  <c r="AL556" i="6"/>
  <c r="AM556" i="6"/>
  <c r="AL557" i="6"/>
  <c r="AM557" i="6"/>
  <c r="AL558" i="6"/>
  <c r="AM558" i="6"/>
  <c r="AL559" i="6"/>
  <c r="AM559" i="6"/>
  <c r="AL560" i="6"/>
  <c r="AM560" i="6"/>
  <c r="AL561" i="6"/>
  <c r="AM561" i="6"/>
  <c r="AL562" i="6"/>
  <c r="AM562" i="6"/>
  <c r="AL563" i="6"/>
  <c r="AM563" i="6"/>
  <c r="AL564" i="6"/>
  <c r="AM564" i="6"/>
  <c r="AL565" i="6"/>
  <c r="AM565" i="6"/>
  <c r="AL566" i="6"/>
  <c r="AM566" i="6"/>
  <c r="AL567" i="6"/>
  <c r="AM567" i="6"/>
  <c r="AL568" i="6"/>
  <c r="AM568" i="6"/>
  <c r="AL569" i="6"/>
  <c r="AM569" i="6"/>
  <c r="AL570" i="6"/>
  <c r="AM570" i="6"/>
  <c r="AL571" i="6"/>
  <c r="AM571" i="6"/>
  <c r="AL572" i="6"/>
  <c r="AM572" i="6"/>
  <c r="AL573" i="6"/>
  <c r="AM573" i="6"/>
  <c r="AL574" i="6"/>
  <c r="AM574" i="6"/>
  <c r="AL575" i="6"/>
  <c r="AM575" i="6"/>
  <c r="AL576" i="6"/>
  <c r="AM576" i="6"/>
  <c r="AL577" i="6"/>
  <c r="AM577" i="6"/>
  <c r="AL578" i="6"/>
  <c r="AM578" i="6"/>
  <c r="AL579" i="6"/>
  <c r="AM579" i="6"/>
  <c r="AL580" i="6"/>
  <c r="AM580" i="6"/>
  <c r="AL581" i="6"/>
  <c r="AM581" i="6"/>
  <c r="AL582" i="6"/>
  <c r="AM582" i="6"/>
  <c r="AL583" i="6"/>
  <c r="AM583" i="6"/>
  <c r="AL584" i="6"/>
  <c r="AM584" i="6"/>
  <c r="AL585" i="6"/>
  <c r="AM585" i="6"/>
  <c r="AL586" i="6"/>
  <c r="AM586" i="6"/>
  <c r="AL587" i="6"/>
  <c r="AM587" i="6"/>
  <c r="AL588" i="6"/>
  <c r="AM588" i="6"/>
  <c r="AL589" i="6"/>
  <c r="AM589" i="6"/>
  <c r="AL590" i="6"/>
  <c r="AM590" i="6"/>
  <c r="AL591" i="6"/>
  <c r="AM591" i="6"/>
  <c r="AL592" i="6"/>
  <c r="AM592" i="6"/>
  <c r="AL593" i="6"/>
  <c r="AM593" i="6"/>
  <c r="AL594" i="6"/>
  <c r="AM594" i="6"/>
  <c r="AL595" i="6"/>
  <c r="AM595" i="6"/>
  <c r="AL596" i="6"/>
  <c r="AM596" i="6"/>
  <c r="AL597" i="6"/>
  <c r="AM597" i="6"/>
  <c r="AL598" i="6"/>
  <c r="AM598" i="6"/>
  <c r="AL599" i="6"/>
  <c r="AM599" i="6"/>
  <c r="AL600" i="6"/>
  <c r="AM600" i="6"/>
  <c r="AL601" i="6"/>
  <c r="AM601" i="6"/>
  <c r="AL602" i="6"/>
  <c r="AM602" i="6"/>
  <c r="AL603" i="6"/>
  <c r="AM603" i="6"/>
  <c r="AL604" i="6"/>
  <c r="AM604" i="6"/>
  <c r="AL605" i="6"/>
  <c r="AM605" i="6"/>
  <c r="AL606" i="6"/>
  <c r="AM606" i="6"/>
  <c r="AL607" i="6"/>
  <c r="AM607" i="6"/>
  <c r="AL608" i="6"/>
  <c r="AM608" i="6"/>
  <c r="AL609" i="6"/>
  <c r="AM609" i="6"/>
  <c r="AL610" i="6"/>
  <c r="AM610" i="6"/>
  <c r="AL611" i="6"/>
  <c r="AM611" i="6"/>
  <c r="AL612" i="6"/>
  <c r="AM612" i="6"/>
  <c r="AL613" i="6"/>
  <c r="AM613" i="6"/>
  <c r="AL614" i="6"/>
  <c r="AM614" i="6"/>
  <c r="AL615" i="6"/>
  <c r="AM615" i="6"/>
  <c r="AL616" i="6"/>
  <c r="AM616" i="6"/>
  <c r="AL617" i="6"/>
  <c r="AM617" i="6"/>
  <c r="AL618" i="6"/>
  <c r="AM618" i="6"/>
  <c r="AL619" i="6"/>
  <c r="AM619" i="6"/>
  <c r="AL620" i="6"/>
  <c r="AM620" i="6"/>
  <c r="AL621" i="6"/>
  <c r="AM621" i="6"/>
  <c r="AL622" i="6"/>
  <c r="AM622" i="6"/>
  <c r="AL623" i="6"/>
  <c r="AM623" i="6"/>
  <c r="AL624" i="6"/>
  <c r="AM624" i="6"/>
  <c r="AL625" i="6"/>
  <c r="AM625" i="6"/>
  <c r="AL626" i="6"/>
  <c r="AM626" i="6"/>
  <c r="AL627" i="6"/>
  <c r="AM627" i="6"/>
  <c r="AL628" i="6"/>
  <c r="AM628" i="6"/>
  <c r="AL629" i="6"/>
  <c r="AM629" i="6"/>
  <c r="AL630" i="6"/>
  <c r="AM630" i="6"/>
  <c r="AL631" i="6"/>
  <c r="AM631" i="6"/>
  <c r="AL632" i="6"/>
  <c r="AM632" i="6"/>
  <c r="AL633" i="6"/>
  <c r="AM633" i="6"/>
  <c r="AL634" i="6"/>
  <c r="AM634" i="6"/>
  <c r="AL635" i="6"/>
  <c r="AM635" i="6"/>
  <c r="AL636" i="6"/>
  <c r="AM636" i="6"/>
  <c r="AL637" i="6"/>
  <c r="AM637" i="6"/>
  <c r="AL638" i="6"/>
  <c r="AM638" i="6"/>
  <c r="AL639" i="6"/>
  <c r="AM639" i="6"/>
  <c r="AL640" i="6"/>
  <c r="AM640" i="6"/>
  <c r="AL641" i="6"/>
  <c r="AM641" i="6"/>
  <c r="AL642" i="6"/>
  <c r="AM642" i="6"/>
  <c r="AL643" i="6"/>
  <c r="AM643" i="6"/>
  <c r="AL644" i="6"/>
  <c r="AM644" i="6"/>
  <c r="AL645" i="6"/>
  <c r="AM645" i="6"/>
  <c r="AL646" i="6"/>
  <c r="AM646" i="6"/>
  <c r="AL647" i="6"/>
  <c r="AM647" i="6"/>
  <c r="AL648" i="6"/>
  <c r="AM648" i="6"/>
  <c r="AL649" i="6"/>
  <c r="AM649" i="6"/>
  <c r="AL650" i="6"/>
  <c r="AM650" i="6"/>
  <c r="AL651" i="6"/>
  <c r="AM651" i="6"/>
  <c r="AL652" i="6"/>
  <c r="AM652" i="6"/>
  <c r="AL653" i="6"/>
  <c r="AM653" i="6"/>
  <c r="AL654" i="6"/>
  <c r="AM654" i="6"/>
  <c r="AL655" i="6"/>
  <c r="AM655" i="6"/>
  <c r="AL656" i="6"/>
  <c r="AM656" i="6"/>
  <c r="AL657" i="6"/>
  <c r="AM657" i="6"/>
  <c r="AL658" i="6"/>
  <c r="AM658" i="6"/>
  <c r="AL659" i="6"/>
  <c r="AM659" i="6"/>
  <c r="AL660" i="6"/>
  <c r="AM660" i="6"/>
  <c r="AL661" i="6"/>
  <c r="AM661" i="6"/>
  <c r="AL662" i="6"/>
  <c r="AM662" i="6"/>
  <c r="AL663" i="6"/>
  <c r="AM663" i="6"/>
  <c r="AL664" i="6"/>
  <c r="AM664" i="6"/>
  <c r="AL665" i="6"/>
  <c r="AM665" i="6"/>
  <c r="AL666" i="6"/>
  <c r="AM666" i="6"/>
  <c r="AL667" i="6"/>
  <c r="AM667" i="6"/>
  <c r="AL668" i="6"/>
  <c r="AM668" i="6"/>
  <c r="AL669" i="6"/>
  <c r="AM669" i="6"/>
  <c r="AL670" i="6"/>
  <c r="AM670" i="6"/>
  <c r="AL671" i="6"/>
  <c r="AM671" i="6"/>
  <c r="AL672" i="6"/>
  <c r="AM672" i="6"/>
  <c r="AL673" i="6"/>
  <c r="AM673" i="6"/>
  <c r="AL674" i="6"/>
  <c r="AM674" i="6"/>
  <c r="AL675" i="6"/>
  <c r="AM675" i="6"/>
  <c r="AL676" i="6"/>
  <c r="AM676" i="6"/>
  <c r="AL677" i="6"/>
  <c r="AM677" i="6"/>
  <c r="AL678" i="6"/>
  <c r="AM678" i="6"/>
  <c r="AL679" i="6"/>
  <c r="AM679" i="6"/>
  <c r="AL680" i="6"/>
  <c r="AM680" i="6"/>
  <c r="AL681" i="6"/>
  <c r="AM681" i="6"/>
  <c r="AL682" i="6"/>
  <c r="AM682" i="6"/>
  <c r="AL683" i="6"/>
  <c r="AM683" i="6"/>
  <c r="AL684" i="6"/>
  <c r="AM684" i="6"/>
  <c r="AL685" i="6"/>
  <c r="AM685" i="6"/>
  <c r="AL686" i="6"/>
  <c r="AM686" i="6"/>
  <c r="AF384" i="6"/>
  <c r="AG384" i="6" s="1"/>
  <c r="AH384" i="6"/>
  <c r="AI384" i="6" s="1"/>
  <c r="AF385" i="6"/>
  <c r="AG385" i="6" s="1"/>
  <c r="AH385" i="6"/>
  <c r="AI385" i="6"/>
  <c r="AF386" i="6"/>
  <c r="AG386" i="6" s="1"/>
  <c r="AH386" i="6"/>
  <c r="AI386" i="6" s="1"/>
  <c r="AF387" i="6"/>
  <c r="AG387" i="6" s="1"/>
  <c r="AH387" i="6"/>
  <c r="AI387" i="6" s="1"/>
  <c r="AF388" i="6"/>
  <c r="AG388" i="6" s="1"/>
  <c r="AH388" i="6"/>
  <c r="AI388" i="6" s="1"/>
  <c r="AF389" i="6"/>
  <c r="AG389" i="6" s="1"/>
  <c r="AH389" i="6"/>
  <c r="AI389" i="6" s="1"/>
  <c r="AF390" i="6"/>
  <c r="AG390" i="6" s="1"/>
  <c r="AH390" i="6"/>
  <c r="AI390" i="6" s="1"/>
  <c r="AF391" i="6"/>
  <c r="AG391" i="6" s="1"/>
  <c r="AH391" i="6"/>
  <c r="AI391" i="6" s="1"/>
  <c r="AF392" i="6"/>
  <c r="AG392" i="6" s="1"/>
  <c r="AH392" i="6"/>
  <c r="AI392" i="6" s="1"/>
  <c r="AF393" i="6"/>
  <c r="AG393" i="6" s="1"/>
  <c r="AH393" i="6"/>
  <c r="AI393" i="6" s="1"/>
  <c r="AF394" i="6"/>
  <c r="AG394" i="6" s="1"/>
  <c r="AH394" i="6"/>
  <c r="AI394" i="6" s="1"/>
  <c r="AF395" i="6"/>
  <c r="AG395" i="6" s="1"/>
  <c r="AH395" i="6"/>
  <c r="AI395" i="6" s="1"/>
  <c r="AF396" i="6"/>
  <c r="AG396" i="6" s="1"/>
  <c r="AH396" i="6"/>
  <c r="AI396" i="6" s="1"/>
  <c r="AF397" i="6"/>
  <c r="AG397" i="6" s="1"/>
  <c r="AH397" i="6"/>
  <c r="AI397" i="6" s="1"/>
  <c r="AF398" i="6"/>
  <c r="AG398" i="6" s="1"/>
  <c r="AH398" i="6"/>
  <c r="AI398" i="6" s="1"/>
  <c r="AF399" i="6"/>
  <c r="AG399" i="6" s="1"/>
  <c r="AH399" i="6"/>
  <c r="AI399" i="6" s="1"/>
  <c r="AF400" i="6"/>
  <c r="AG400" i="6" s="1"/>
  <c r="AH400" i="6"/>
  <c r="AI400" i="6" s="1"/>
  <c r="AF401" i="6"/>
  <c r="AG401" i="6" s="1"/>
  <c r="AH401" i="6"/>
  <c r="AI401" i="6" s="1"/>
  <c r="AF402" i="6"/>
  <c r="AG402" i="6" s="1"/>
  <c r="AH402" i="6"/>
  <c r="AI402" i="6" s="1"/>
  <c r="AF403" i="6"/>
  <c r="AG403" i="6" s="1"/>
  <c r="AH403" i="6"/>
  <c r="AI403" i="6" s="1"/>
  <c r="AF404" i="6"/>
  <c r="AG404" i="6" s="1"/>
  <c r="AH404" i="6"/>
  <c r="AI404" i="6" s="1"/>
  <c r="AF405" i="6"/>
  <c r="AG405" i="6" s="1"/>
  <c r="AH405" i="6"/>
  <c r="AI405" i="6" s="1"/>
  <c r="AF406" i="6"/>
  <c r="AG406" i="6" s="1"/>
  <c r="AH406" i="6"/>
  <c r="AI406" i="6" s="1"/>
  <c r="AF407" i="6"/>
  <c r="AG407" i="6" s="1"/>
  <c r="AH407" i="6"/>
  <c r="AI407" i="6" s="1"/>
  <c r="AF408" i="6"/>
  <c r="AG408" i="6" s="1"/>
  <c r="AH408" i="6"/>
  <c r="AI408" i="6" s="1"/>
  <c r="AF409" i="6"/>
  <c r="AG409" i="6" s="1"/>
  <c r="AH409" i="6"/>
  <c r="AI409" i="6"/>
  <c r="AF410" i="6"/>
  <c r="AG410" i="6" s="1"/>
  <c r="AH410" i="6"/>
  <c r="AI410" i="6" s="1"/>
  <c r="AF411" i="6"/>
  <c r="AG411" i="6" s="1"/>
  <c r="AH411" i="6"/>
  <c r="AI411" i="6" s="1"/>
  <c r="AF412" i="6"/>
  <c r="AG412" i="6" s="1"/>
  <c r="AH412" i="6"/>
  <c r="AI412" i="6" s="1"/>
  <c r="AF413" i="6"/>
  <c r="AG413" i="6"/>
  <c r="AH413" i="6"/>
  <c r="AI413" i="6" s="1"/>
  <c r="AF414" i="6"/>
  <c r="AG414" i="6" s="1"/>
  <c r="AH414" i="6"/>
  <c r="AI414" i="6" s="1"/>
  <c r="AF415" i="6"/>
  <c r="AG415" i="6" s="1"/>
  <c r="AH415" i="6"/>
  <c r="AI415" i="6" s="1"/>
  <c r="AF416" i="6"/>
  <c r="AG416" i="6" s="1"/>
  <c r="AH416" i="6"/>
  <c r="AI416" i="6" s="1"/>
  <c r="AF417" i="6"/>
  <c r="AG417" i="6" s="1"/>
  <c r="AH417" i="6"/>
  <c r="AI417" i="6" s="1"/>
  <c r="AF418" i="6"/>
  <c r="AG418" i="6" s="1"/>
  <c r="AH418" i="6"/>
  <c r="AI418" i="6" s="1"/>
  <c r="AF419" i="6"/>
  <c r="AG419" i="6" s="1"/>
  <c r="AH419" i="6"/>
  <c r="AI419" i="6" s="1"/>
  <c r="AF420" i="6"/>
  <c r="AG420" i="6" s="1"/>
  <c r="AH420" i="6"/>
  <c r="AI420" i="6" s="1"/>
  <c r="AF421" i="6"/>
  <c r="AG421" i="6" s="1"/>
  <c r="AH421" i="6"/>
  <c r="AI421" i="6" s="1"/>
  <c r="AF422" i="6"/>
  <c r="AG422" i="6" s="1"/>
  <c r="AH422" i="6"/>
  <c r="AI422" i="6" s="1"/>
  <c r="AF423" i="6"/>
  <c r="AG423" i="6" s="1"/>
  <c r="AH423" i="6"/>
  <c r="AI423" i="6" s="1"/>
  <c r="AF424" i="6"/>
  <c r="AG424" i="6" s="1"/>
  <c r="AH424" i="6"/>
  <c r="AI424" i="6" s="1"/>
  <c r="AF425" i="6"/>
  <c r="AG425" i="6" s="1"/>
  <c r="AH425" i="6"/>
  <c r="AI425" i="6" s="1"/>
  <c r="AF426" i="6"/>
  <c r="AG426" i="6" s="1"/>
  <c r="AH426" i="6"/>
  <c r="AI426" i="6" s="1"/>
  <c r="AF427" i="6"/>
  <c r="AG427" i="6" s="1"/>
  <c r="AH427" i="6"/>
  <c r="AI427" i="6" s="1"/>
  <c r="AF428" i="6"/>
  <c r="AG428" i="6" s="1"/>
  <c r="AH428" i="6"/>
  <c r="AI428" i="6" s="1"/>
  <c r="AF429" i="6"/>
  <c r="AG429" i="6" s="1"/>
  <c r="AH429" i="6"/>
  <c r="AI429" i="6" s="1"/>
  <c r="AF430" i="6"/>
  <c r="AG430" i="6" s="1"/>
  <c r="AH430" i="6"/>
  <c r="AI430" i="6" s="1"/>
  <c r="AF431" i="6"/>
  <c r="AG431" i="6" s="1"/>
  <c r="AH431" i="6"/>
  <c r="AI431" i="6" s="1"/>
  <c r="AF432" i="6"/>
  <c r="AG432" i="6" s="1"/>
  <c r="AH432" i="6"/>
  <c r="AI432" i="6" s="1"/>
  <c r="AF433" i="6"/>
  <c r="AG433" i="6" s="1"/>
  <c r="AH433" i="6"/>
  <c r="AI433" i="6" s="1"/>
  <c r="AF434" i="6"/>
  <c r="AG434" i="6" s="1"/>
  <c r="AH434" i="6"/>
  <c r="AI434" i="6" s="1"/>
  <c r="AF435" i="6"/>
  <c r="AG435" i="6" s="1"/>
  <c r="AH435" i="6"/>
  <c r="AI435" i="6" s="1"/>
  <c r="AF436" i="6"/>
  <c r="AG436" i="6" s="1"/>
  <c r="AH436" i="6"/>
  <c r="AI436" i="6" s="1"/>
  <c r="AF437" i="6"/>
  <c r="AG437" i="6" s="1"/>
  <c r="AH437" i="6"/>
  <c r="AI437" i="6" s="1"/>
  <c r="AF438" i="6"/>
  <c r="AG438" i="6" s="1"/>
  <c r="AH438" i="6"/>
  <c r="AI438" i="6" s="1"/>
  <c r="AF439" i="6"/>
  <c r="AG439" i="6" s="1"/>
  <c r="AH439" i="6"/>
  <c r="AI439" i="6" s="1"/>
  <c r="AF440" i="6"/>
  <c r="AG440" i="6" s="1"/>
  <c r="AH440" i="6"/>
  <c r="AI440" i="6" s="1"/>
  <c r="AF441" i="6"/>
  <c r="AG441" i="6" s="1"/>
  <c r="AH441" i="6"/>
  <c r="AI441" i="6" s="1"/>
  <c r="AF442" i="6"/>
  <c r="AG442" i="6" s="1"/>
  <c r="AH442" i="6"/>
  <c r="AI442" i="6" s="1"/>
  <c r="AF443" i="6"/>
  <c r="AG443" i="6" s="1"/>
  <c r="AH443" i="6"/>
  <c r="AI443" i="6" s="1"/>
  <c r="AF444" i="6"/>
  <c r="AG444" i="6" s="1"/>
  <c r="AH444" i="6"/>
  <c r="AI444" i="6" s="1"/>
  <c r="AF445" i="6"/>
  <c r="AG445" i="6" s="1"/>
  <c r="AH445" i="6"/>
  <c r="AI445" i="6" s="1"/>
  <c r="AF446" i="6"/>
  <c r="AG446" i="6" s="1"/>
  <c r="AH446" i="6"/>
  <c r="AI446" i="6" s="1"/>
  <c r="AF447" i="6"/>
  <c r="AG447" i="6" s="1"/>
  <c r="AH447" i="6"/>
  <c r="AI447" i="6" s="1"/>
  <c r="AF448" i="6"/>
  <c r="AG448" i="6" s="1"/>
  <c r="AH448" i="6"/>
  <c r="AI448" i="6" s="1"/>
  <c r="AF449" i="6"/>
  <c r="AG449" i="6" s="1"/>
  <c r="AH449" i="6"/>
  <c r="AI449" i="6" s="1"/>
  <c r="AF450" i="6"/>
  <c r="AG450" i="6" s="1"/>
  <c r="AH450" i="6"/>
  <c r="AI450" i="6" s="1"/>
  <c r="AF451" i="6"/>
  <c r="AG451" i="6" s="1"/>
  <c r="AH451" i="6"/>
  <c r="AI451" i="6" s="1"/>
  <c r="AF452" i="6"/>
  <c r="AG452" i="6" s="1"/>
  <c r="AH452" i="6"/>
  <c r="AI452" i="6" s="1"/>
  <c r="AF453" i="6"/>
  <c r="AG453" i="6" s="1"/>
  <c r="AH453" i="6"/>
  <c r="AI453" i="6" s="1"/>
  <c r="AF454" i="6"/>
  <c r="AG454" i="6" s="1"/>
  <c r="AH454" i="6"/>
  <c r="AI454" i="6" s="1"/>
  <c r="AF455" i="6"/>
  <c r="AG455" i="6" s="1"/>
  <c r="AH455" i="6"/>
  <c r="AI455" i="6" s="1"/>
  <c r="AF456" i="6"/>
  <c r="AG456" i="6" s="1"/>
  <c r="AH456" i="6"/>
  <c r="AI456" i="6" s="1"/>
  <c r="AF457" i="6"/>
  <c r="AG457" i="6" s="1"/>
  <c r="AH457" i="6"/>
  <c r="AI457" i="6" s="1"/>
  <c r="AF458" i="6"/>
  <c r="AG458" i="6" s="1"/>
  <c r="AH458" i="6"/>
  <c r="AI458" i="6" s="1"/>
  <c r="AF459" i="6"/>
  <c r="AG459" i="6" s="1"/>
  <c r="AH459" i="6"/>
  <c r="AI459" i="6" s="1"/>
  <c r="AF460" i="6"/>
  <c r="AG460" i="6" s="1"/>
  <c r="AH460" i="6"/>
  <c r="AI460" i="6" s="1"/>
  <c r="AF461" i="6"/>
  <c r="AG461" i="6"/>
  <c r="AH461" i="6"/>
  <c r="AI461" i="6" s="1"/>
  <c r="AF462" i="6"/>
  <c r="AG462" i="6" s="1"/>
  <c r="AH462" i="6"/>
  <c r="AI462" i="6" s="1"/>
  <c r="AF463" i="6"/>
  <c r="AG463" i="6" s="1"/>
  <c r="AH463" i="6"/>
  <c r="AI463" i="6" s="1"/>
  <c r="AF464" i="6"/>
  <c r="AG464" i="6" s="1"/>
  <c r="AH464" i="6"/>
  <c r="AI464" i="6" s="1"/>
  <c r="AF465" i="6"/>
  <c r="AG465" i="6" s="1"/>
  <c r="AH465" i="6"/>
  <c r="AI465" i="6" s="1"/>
  <c r="AF466" i="6"/>
  <c r="AG466" i="6" s="1"/>
  <c r="AH466" i="6"/>
  <c r="AI466" i="6" s="1"/>
  <c r="AF467" i="6"/>
  <c r="AG467" i="6" s="1"/>
  <c r="AH467" i="6"/>
  <c r="AI467" i="6" s="1"/>
  <c r="AF468" i="6"/>
  <c r="AG468" i="6" s="1"/>
  <c r="AH468" i="6"/>
  <c r="AI468" i="6" s="1"/>
  <c r="AF469" i="6"/>
  <c r="AG469" i="6" s="1"/>
  <c r="AH469" i="6"/>
  <c r="AI469" i="6" s="1"/>
  <c r="AF470" i="6"/>
  <c r="AG470" i="6" s="1"/>
  <c r="AH470" i="6"/>
  <c r="AI470" i="6" s="1"/>
  <c r="AF471" i="6"/>
  <c r="AG471" i="6" s="1"/>
  <c r="AH471" i="6"/>
  <c r="AI471" i="6" s="1"/>
  <c r="AF472" i="6"/>
  <c r="AG472" i="6" s="1"/>
  <c r="AH472" i="6"/>
  <c r="AI472" i="6" s="1"/>
  <c r="AF473" i="6"/>
  <c r="AG473" i="6" s="1"/>
  <c r="AH473" i="6"/>
  <c r="AI473" i="6" s="1"/>
  <c r="AF474" i="6"/>
  <c r="AG474" i="6" s="1"/>
  <c r="AH474" i="6"/>
  <c r="AI474" i="6" s="1"/>
  <c r="AF475" i="6"/>
  <c r="AG475" i="6" s="1"/>
  <c r="AH475" i="6"/>
  <c r="AI475" i="6" s="1"/>
  <c r="AF476" i="6"/>
  <c r="AG476" i="6" s="1"/>
  <c r="AH476" i="6"/>
  <c r="AI476" i="6" s="1"/>
  <c r="AF477" i="6"/>
  <c r="AG477" i="6" s="1"/>
  <c r="AH477" i="6"/>
  <c r="AI477" i="6" s="1"/>
  <c r="AF478" i="6"/>
  <c r="AG478" i="6" s="1"/>
  <c r="AH478" i="6"/>
  <c r="AI478" i="6" s="1"/>
  <c r="AF479" i="6"/>
  <c r="AG479" i="6" s="1"/>
  <c r="AH479" i="6"/>
  <c r="AI479" i="6" s="1"/>
  <c r="AF480" i="6"/>
  <c r="AG480" i="6" s="1"/>
  <c r="AH480" i="6"/>
  <c r="AI480" i="6" s="1"/>
  <c r="AF481" i="6"/>
  <c r="AG481" i="6" s="1"/>
  <c r="AH481" i="6"/>
  <c r="AI481" i="6" s="1"/>
  <c r="AF482" i="6"/>
  <c r="AG482" i="6" s="1"/>
  <c r="AH482" i="6"/>
  <c r="AI482" i="6" s="1"/>
  <c r="AF483" i="6"/>
  <c r="AG483" i="6" s="1"/>
  <c r="AH483" i="6"/>
  <c r="AI483" i="6" s="1"/>
  <c r="AF484" i="6"/>
  <c r="AG484" i="6" s="1"/>
  <c r="AH484" i="6"/>
  <c r="AI484" i="6" s="1"/>
  <c r="AF485" i="6"/>
  <c r="AG485" i="6" s="1"/>
  <c r="AH485" i="6"/>
  <c r="AI485" i="6" s="1"/>
  <c r="AF486" i="6"/>
  <c r="AG486" i="6"/>
  <c r="AH486" i="6"/>
  <c r="AI486" i="6" s="1"/>
  <c r="AF487" i="6"/>
  <c r="AG487" i="6" s="1"/>
  <c r="AH487" i="6"/>
  <c r="AI487" i="6" s="1"/>
  <c r="AF488" i="6"/>
  <c r="AG488" i="6" s="1"/>
  <c r="AH488" i="6"/>
  <c r="AI488" i="6" s="1"/>
  <c r="AF489" i="6"/>
  <c r="AG489" i="6" s="1"/>
  <c r="AH489" i="6"/>
  <c r="AI489" i="6" s="1"/>
  <c r="AF490" i="6"/>
  <c r="AG490" i="6" s="1"/>
  <c r="AH490" i="6"/>
  <c r="AI490" i="6" s="1"/>
  <c r="AF491" i="6"/>
  <c r="AG491" i="6" s="1"/>
  <c r="AH491" i="6"/>
  <c r="AI491" i="6" s="1"/>
  <c r="AF492" i="6"/>
  <c r="AG492" i="6" s="1"/>
  <c r="AH492" i="6"/>
  <c r="AI492" i="6" s="1"/>
  <c r="AF493" i="6"/>
  <c r="AG493" i="6" s="1"/>
  <c r="AH493" i="6"/>
  <c r="AI493" i="6" s="1"/>
  <c r="AF494" i="6"/>
  <c r="AG494" i="6" s="1"/>
  <c r="AH494" i="6"/>
  <c r="AI494" i="6" s="1"/>
  <c r="AF495" i="6"/>
  <c r="AG495" i="6" s="1"/>
  <c r="AH495" i="6"/>
  <c r="AI495" i="6" s="1"/>
  <c r="AF496" i="6"/>
  <c r="AG496" i="6" s="1"/>
  <c r="AH496" i="6"/>
  <c r="AI496" i="6" s="1"/>
  <c r="AF497" i="6"/>
  <c r="AG497" i="6" s="1"/>
  <c r="AH497" i="6"/>
  <c r="AI497" i="6" s="1"/>
  <c r="AF498" i="6"/>
  <c r="AG498" i="6"/>
  <c r="AH498" i="6"/>
  <c r="AI498" i="6" s="1"/>
  <c r="AF499" i="6"/>
  <c r="AG499" i="6" s="1"/>
  <c r="AH499" i="6"/>
  <c r="AI499" i="6" s="1"/>
  <c r="AF500" i="6"/>
  <c r="AG500" i="6" s="1"/>
  <c r="AH500" i="6"/>
  <c r="AI500" i="6" s="1"/>
  <c r="AF501" i="6"/>
  <c r="AG501" i="6" s="1"/>
  <c r="AH501" i="6"/>
  <c r="AI501" i="6" s="1"/>
  <c r="AF502" i="6"/>
  <c r="AG502" i="6" s="1"/>
  <c r="AH502" i="6"/>
  <c r="AI502" i="6" s="1"/>
  <c r="AF503" i="6"/>
  <c r="AG503" i="6" s="1"/>
  <c r="AH503" i="6"/>
  <c r="AI503" i="6"/>
  <c r="AF504" i="6"/>
  <c r="AG504" i="6" s="1"/>
  <c r="AH504" i="6"/>
  <c r="AI504" i="6" s="1"/>
  <c r="AF505" i="6"/>
  <c r="AG505" i="6"/>
  <c r="AH505" i="6"/>
  <c r="AI505" i="6" s="1"/>
  <c r="AF506" i="6"/>
  <c r="AG506" i="6" s="1"/>
  <c r="AH506" i="6"/>
  <c r="AI506" i="6" s="1"/>
  <c r="AF507" i="6"/>
  <c r="AG507" i="6" s="1"/>
  <c r="AH507" i="6"/>
  <c r="AI507" i="6" s="1"/>
  <c r="AF508" i="6"/>
  <c r="AG508" i="6" s="1"/>
  <c r="AH508" i="6"/>
  <c r="AI508" i="6" s="1"/>
  <c r="AF509" i="6"/>
  <c r="AG509" i="6" s="1"/>
  <c r="AH509" i="6"/>
  <c r="AI509" i="6" s="1"/>
  <c r="AF510" i="6"/>
  <c r="AG510" i="6" s="1"/>
  <c r="AH510" i="6"/>
  <c r="AI510" i="6" s="1"/>
  <c r="AF511" i="6"/>
  <c r="AG511" i="6" s="1"/>
  <c r="AH511" i="6"/>
  <c r="AI511" i="6" s="1"/>
  <c r="AF512" i="6"/>
  <c r="AG512" i="6" s="1"/>
  <c r="AH512" i="6"/>
  <c r="AI512" i="6" s="1"/>
  <c r="AF513" i="6"/>
  <c r="AG513" i="6" s="1"/>
  <c r="AH513" i="6"/>
  <c r="AI513" i="6" s="1"/>
  <c r="AF514" i="6"/>
  <c r="AG514" i="6" s="1"/>
  <c r="AH514" i="6"/>
  <c r="AI514" i="6" s="1"/>
  <c r="AF515" i="6"/>
  <c r="AG515" i="6" s="1"/>
  <c r="AH515" i="6"/>
  <c r="AI515" i="6" s="1"/>
  <c r="AF516" i="6"/>
  <c r="AG516" i="6" s="1"/>
  <c r="AH516" i="6"/>
  <c r="AI516" i="6" s="1"/>
  <c r="AF517" i="6"/>
  <c r="AG517" i="6" s="1"/>
  <c r="AH517" i="6"/>
  <c r="AI517" i="6" s="1"/>
  <c r="AF518" i="6"/>
  <c r="AG518" i="6"/>
  <c r="AH518" i="6"/>
  <c r="AI518" i="6" s="1"/>
  <c r="AF519" i="6"/>
  <c r="AG519" i="6" s="1"/>
  <c r="AH519" i="6"/>
  <c r="AI519" i="6" s="1"/>
  <c r="AF520" i="6"/>
  <c r="AG520" i="6" s="1"/>
  <c r="AH520" i="6"/>
  <c r="AI520" i="6" s="1"/>
  <c r="AF521" i="6"/>
  <c r="AG521" i="6" s="1"/>
  <c r="AH521" i="6"/>
  <c r="AI521" i="6" s="1"/>
  <c r="AF522" i="6"/>
  <c r="AG522" i="6" s="1"/>
  <c r="AH522" i="6"/>
  <c r="AI522" i="6" s="1"/>
  <c r="AF523" i="6"/>
  <c r="AG523" i="6" s="1"/>
  <c r="AH523" i="6"/>
  <c r="AI523" i="6" s="1"/>
  <c r="AF524" i="6"/>
  <c r="AG524" i="6" s="1"/>
  <c r="AH524" i="6"/>
  <c r="AI524" i="6" s="1"/>
  <c r="AF525" i="6"/>
  <c r="AG525" i="6" s="1"/>
  <c r="AH525" i="6"/>
  <c r="AI525" i="6"/>
  <c r="AF526" i="6"/>
  <c r="AG526" i="6" s="1"/>
  <c r="AH526" i="6"/>
  <c r="AI526" i="6" s="1"/>
  <c r="AF527" i="6"/>
  <c r="AG527" i="6" s="1"/>
  <c r="AH527" i="6"/>
  <c r="AI527" i="6" s="1"/>
  <c r="AF528" i="6"/>
  <c r="AG528" i="6" s="1"/>
  <c r="AH528" i="6"/>
  <c r="AI528" i="6" s="1"/>
  <c r="AF529" i="6"/>
  <c r="AG529" i="6" s="1"/>
  <c r="AH529" i="6"/>
  <c r="AI529" i="6" s="1"/>
  <c r="AF530" i="6"/>
  <c r="AG530" i="6" s="1"/>
  <c r="AH530" i="6"/>
  <c r="AI530" i="6" s="1"/>
  <c r="AF531" i="6"/>
  <c r="AG531" i="6" s="1"/>
  <c r="AH531" i="6"/>
  <c r="AI531" i="6" s="1"/>
  <c r="AF532" i="6"/>
  <c r="AG532" i="6" s="1"/>
  <c r="AH532" i="6"/>
  <c r="AI532" i="6" s="1"/>
  <c r="AF533" i="6"/>
  <c r="AG533" i="6" s="1"/>
  <c r="AH533" i="6"/>
  <c r="AI533" i="6" s="1"/>
  <c r="AF534" i="6"/>
  <c r="AG534" i="6" s="1"/>
  <c r="AH534" i="6"/>
  <c r="AI534" i="6" s="1"/>
  <c r="AF535" i="6"/>
  <c r="AG535" i="6" s="1"/>
  <c r="AH535" i="6"/>
  <c r="AI535" i="6" s="1"/>
  <c r="AF536" i="6"/>
  <c r="AG536" i="6" s="1"/>
  <c r="AH536" i="6"/>
  <c r="AI536" i="6" s="1"/>
  <c r="AF537" i="6"/>
  <c r="AG537" i="6" s="1"/>
  <c r="AH537" i="6"/>
  <c r="AI537" i="6" s="1"/>
  <c r="AF538" i="6"/>
  <c r="AG538" i="6" s="1"/>
  <c r="AH538" i="6"/>
  <c r="AI538" i="6" s="1"/>
  <c r="AF539" i="6"/>
  <c r="AG539" i="6" s="1"/>
  <c r="AH539" i="6"/>
  <c r="AI539" i="6"/>
  <c r="AF540" i="6"/>
  <c r="AG540" i="6" s="1"/>
  <c r="AH540" i="6"/>
  <c r="AI540" i="6" s="1"/>
  <c r="AF541" i="6"/>
  <c r="AG541" i="6" s="1"/>
  <c r="AH541" i="6"/>
  <c r="AI541" i="6" s="1"/>
  <c r="AF542" i="6"/>
  <c r="AG542" i="6" s="1"/>
  <c r="AH542" i="6"/>
  <c r="AI542" i="6" s="1"/>
  <c r="AF543" i="6"/>
  <c r="AG543" i="6" s="1"/>
  <c r="AH543" i="6"/>
  <c r="AI543" i="6" s="1"/>
  <c r="AF544" i="6"/>
  <c r="AG544" i="6" s="1"/>
  <c r="AH544" i="6"/>
  <c r="AI544" i="6" s="1"/>
  <c r="AF545" i="6"/>
  <c r="AG545" i="6" s="1"/>
  <c r="AH545" i="6"/>
  <c r="AI545" i="6" s="1"/>
  <c r="AF546" i="6"/>
  <c r="AG546" i="6" s="1"/>
  <c r="AH546" i="6"/>
  <c r="AI546" i="6" s="1"/>
  <c r="AF547" i="6"/>
  <c r="AG547" i="6" s="1"/>
  <c r="AH547" i="6"/>
  <c r="AI547" i="6" s="1"/>
  <c r="AF548" i="6"/>
  <c r="AG548" i="6" s="1"/>
  <c r="AH548" i="6"/>
  <c r="AI548" i="6" s="1"/>
  <c r="AF549" i="6"/>
  <c r="AG549" i="6" s="1"/>
  <c r="AH549" i="6"/>
  <c r="AI549" i="6" s="1"/>
  <c r="AF550" i="6"/>
  <c r="AG550" i="6" s="1"/>
  <c r="AH550" i="6"/>
  <c r="AI550" i="6" s="1"/>
  <c r="AF551" i="6"/>
  <c r="AG551" i="6" s="1"/>
  <c r="AH551" i="6"/>
  <c r="AI551" i="6" s="1"/>
  <c r="AF552" i="6"/>
  <c r="AG552" i="6" s="1"/>
  <c r="AH552" i="6"/>
  <c r="AI552" i="6" s="1"/>
  <c r="AF553" i="6"/>
  <c r="AG553" i="6" s="1"/>
  <c r="AH553" i="6"/>
  <c r="AI553" i="6" s="1"/>
  <c r="AF554" i="6"/>
  <c r="AG554" i="6" s="1"/>
  <c r="AH554" i="6"/>
  <c r="AI554" i="6" s="1"/>
  <c r="AF555" i="6"/>
  <c r="AG555" i="6" s="1"/>
  <c r="AH555" i="6"/>
  <c r="AI555" i="6" s="1"/>
  <c r="AF556" i="6"/>
  <c r="AG556" i="6" s="1"/>
  <c r="AH556" i="6"/>
  <c r="AI556" i="6" s="1"/>
  <c r="AF557" i="6"/>
  <c r="AG557" i="6" s="1"/>
  <c r="AH557" i="6"/>
  <c r="AI557" i="6" s="1"/>
  <c r="AF558" i="6"/>
  <c r="AG558" i="6" s="1"/>
  <c r="AH558" i="6"/>
  <c r="AI558" i="6" s="1"/>
  <c r="AF559" i="6"/>
  <c r="AG559" i="6" s="1"/>
  <c r="AH559" i="6"/>
  <c r="AI559" i="6" s="1"/>
  <c r="AF560" i="6"/>
  <c r="AG560" i="6"/>
  <c r="AH560" i="6"/>
  <c r="AI560" i="6" s="1"/>
  <c r="AF561" i="6"/>
  <c r="AG561" i="6" s="1"/>
  <c r="AH561" i="6"/>
  <c r="AI561" i="6" s="1"/>
  <c r="AF562" i="6"/>
  <c r="AG562" i="6" s="1"/>
  <c r="AH562" i="6"/>
  <c r="AI562" i="6" s="1"/>
  <c r="AF563" i="6"/>
  <c r="AG563" i="6" s="1"/>
  <c r="AH563" i="6"/>
  <c r="AI563" i="6" s="1"/>
  <c r="AF564" i="6"/>
  <c r="AG564" i="6" s="1"/>
  <c r="AH564" i="6"/>
  <c r="AI564" i="6" s="1"/>
  <c r="AF565" i="6"/>
  <c r="AG565" i="6"/>
  <c r="AH565" i="6"/>
  <c r="AI565" i="6" s="1"/>
  <c r="AF566" i="6"/>
  <c r="AG566" i="6" s="1"/>
  <c r="AH566" i="6"/>
  <c r="AI566" i="6" s="1"/>
  <c r="AF567" i="6"/>
  <c r="AG567" i="6" s="1"/>
  <c r="AH567" i="6"/>
  <c r="AI567" i="6"/>
  <c r="AF568" i="6"/>
  <c r="AG568" i="6" s="1"/>
  <c r="AH568" i="6"/>
  <c r="AI568" i="6" s="1"/>
  <c r="AF569" i="6"/>
  <c r="AG569" i="6" s="1"/>
  <c r="AH569" i="6"/>
  <c r="AI569" i="6" s="1"/>
  <c r="AF570" i="6"/>
  <c r="AG570" i="6" s="1"/>
  <c r="AH570" i="6"/>
  <c r="AI570" i="6" s="1"/>
  <c r="AF571" i="6"/>
  <c r="AG571" i="6" s="1"/>
  <c r="AH571" i="6"/>
  <c r="AI571" i="6" s="1"/>
  <c r="AF572" i="6"/>
  <c r="AG572" i="6" s="1"/>
  <c r="AH572" i="6"/>
  <c r="AI572" i="6" s="1"/>
  <c r="AF573" i="6"/>
  <c r="AG573" i="6" s="1"/>
  <c r="AH573" i="6"/>
  <c r="AI573" i="6" s="1"/>
  <c r="AF574" i="6"/>
  <c r="AG574" i="6" s="1"/>
  <c r="AH574" i="6"/>
  <c r="AI574" i="6" s="1"/>
  <c r="AF575" i="6"/>
  <c r="AG575" i="6" s="1"/>
  <c r="AH575" i="6"/>
  <c r="AI575" i="6" s="1"/>
  <c r="AF576" i="6"/>
  <c r="AG576" i="6" s="1"/>
  <c r="AH576" i="6"/>
  <c r="AI576" i="6" s="1"/>
  <c r="AF577" i="6"/>
  <c r="AG577" i="6" s="1"/>
  <c r="AH577" i="6"/>
  <c r="AI577" i="6" s="1"/>
  <c r="AF578" i="6"/>
  <c r="AG578" i="6" s="1"/>
  <c r="AH578" i="6"/>
  <c r="AI578" i="6" s="1"/>
  <c r="AF579" i="6"/>
  <c r="AG579" i="6" s="1"/>
  <c r="AH579" i="6"/>
  <c r="AI579" i="6" s="1"/>
  <c r="AF580" i="6"/>
  <c r="AG580" i="6" s="1"/>
  <c r="AH580" i="6"/>
  <c r="AI580" i="6" s="1"/>
  <c r="AF581" i="6"/>
  <c r="AG581" i="6" s="1"/>
  <c r="AH581" i="6"/>
  <c r="AI581" i="6"/>
  <c r="AF582" i="6"/>
  <c r="AG582" i="6" s="1"/>
  <c r="AH582" i="6"/>
  <c r="AI582" i="6" s="1"/>
  <c r="AF583" i="6"/>
  <c r="AG583" i="6" s="1"/>
  <c r="AH583" i="6"/>
  <c r="AI583" i="6" s="1"/>
  <c r="AF584" i="6"/>
  <c r="AG584" i="6" s="1"/>
  <c r="AH584" i="6"/>
  <c r="AI584" i="6" s="1"/>
  <c r="AF585" i="6"/>
  <c r="AG585" i="6"/>
  <c r="AH585" i="6"/>
  <c r="AI585" i="6" s="1"/>
  <c r="AF586" i="6"/>
  <c r="AG586" i="6" s="1"/>
  <c r="AH586" i="6"/>
  <c r="AI586" i="6" s="1"/>
  <c r="AF587" i="6"/>
  <c r="AG587" i="6" s="1"/>
  <c r="AH587" i="6"/>
  <c r="AI587" i="6" s="1"/>
  <c r="AF588" i="6"/>
  <c r="AG588" i="6" s="1"/>
  <c r="AH588" i="6"/>
  <c r="AI588" i="6" s="1"/>
  <c r="AF589" i="6"/>
  <c r="AG589" i="6" s="1"/>
  <c r="AH589" i="6"/>
  <c r="AI589" i="6" s="1"/>
  <c r="AF590" i="6"/>
  <c r="AG590" i="6" s="1"/>
  <c r="AH590" i="6"/>
  <c r="AI590" i="6" s="1"/>
  <c r="AF591" i="6"/>
  <c r="AG591" i="6" s="1"/>
  <c r="AH591" i="6"/>
  <c r="AI591" i="6" s="1"/>
  <c r="AF592" i="6"/>
  <c r="AG592" i="6" s="1"/>
  <c r="AH592" i="6"/>
  <c r="AI592" i="6" s="1"/>
  <c r="AF593" i="6"/>
  <c r="AG593" i="6" s="1"/>
  <c r="AH593" i="6"/>
  <c r="AI593" i="6" s="1"/>
  <c r="AF594" i="6"/>
  <c r="AG594" i="6" s="1"/>
  <c r="AH594" i="6"/>
  <c r="AI594" i="6" s="1"/>
  <c r="AF595" i="6"/>
  <c r="AG595" i="6" s="1"/>
  <c r="AH595" i="6"/>
  <c r="AI595" i="6" s="1"/>
  <c r="AF596" i="6"/>
  <c r="AG596" i="6" s="1"/>
  <c r="AH596" i="6"/>
  <c r="AI596" i="6" s="1"/>
  <c r="AF597" i="6"/>
  <c r="AG597" i="6" s="1"/>
  <c r="AH597" i="6"/>
  <c r="AI597" i="6" s="1"/>
  <c r="AF598" i="6"/>
  <c r="AG598" i="6" s="1"/>
  <c r="AH598" i="6"/>
  <c r="AI598" i="6" s="1"/>
  <c r="AF599" i="6"/>
  <c r="AG599" i="6" s="1"/>
  <c r="AH599" i="6"/>
  <c r="AI599" i="6" s="1"/>
  <c r="AF600" i="6"/>
  <c r="AG600" i="6" s="1"/>
  <c r="AH600" i="6"/>
  <c r="AI600" i="6" s="1"/>
  <c r="AF601" i="6"/>
  <c r="AG601" i="6" s="1"/>
  <c r="AH601" i="6"/>
  <c r="AI601" i="6" s="1"/>
  <c r="AF602" i="6"/>
  <c r="AG602" i="6" s="1"/>
  <c r="AH602" i="6"/>
  <c r="AI602" i="6" s="1"/>
  <c r="AF603" i="6"/>
  <c r="AG603" i="6" s="1"/>
  <c r="AH603" i="6"/>
  <c r="AI603" i="6" s="1"/>
  <c r="AF604" i="6"/>
  <c r="AG604" i="6" s="1"/>
  <c r="AH604" i="6"/>
  <c r="AI604" i="6" s="1"/>
  <c r="AF605" i="6"/>
  <c r="AG605" i="6" s="1"/>
  <c r="AH605" i="6"/>
  <c r="AI605" i="6" s="1"/>
  <c r="AF606" i="6"/>
  <c r="AG606" i="6" s="1"/>
  <c r="AH606" i="6"/>
  <c r="AI606" i="6" s="1"/>
  <c r="AF607" i="6"/>
  <c r="AG607" i="6" s="1"/>
  <c r="AH607" i="6"/>
  <c r="AI607" i="6" s="1"/>
  <c r="AF608" i="6"/>
  <c r="AG608" i="6" s="1"/>
  <c r="AH608" i="6"/>
  <c r="AI608" i="6" s="1"/>
  <c r="AF609" i="6"/>
  <c r="AG609" i="6" s="1"/>
  <c r="AH609" i="6"/>
  <c r="AI609" i="6" s="1"/>
  <c r="AF610" i="6"/>
  <c r="AG610" i="6" s="1"/>
  <c r="AH610" i="6"/>
  <c r="AI610" i="6" s="1"/>
  <c r="AF611" i="6"/>
  <c r="AG611" i="6" s="1"/>
  <c r="AH611" i="6"/>
  <c r="AI611" i="6" s="1"/>
  <c r="AF612" i="6"/>
  <c r="AG612" i="6" s="1"/>
  <c r="AH612" i="6"/>
  <c r="AI612" i="6" s="1"/>
  <c r="AF613" i="6"/>
  <c r="AG613" i="6" s="1"/>
  <c r="AF614" i="6"/>
  <c r="AG614" i="6" s="1"/>
  <c r="AF615" i="6"/>
  <c r="AG615" i="6" s="1"/>
  <c r="AF616" i="6"/>
  <c r="AG616" i="6" s="1"/>
  <c r="AH616" i="6"/>
  <c r="AI616" i="6" s="1"/>
  <c r="AF617" i="6"/>
  <c r="AG617" i="6" s="1"/>
  <c r="AF618" i="6"/>
  <c r="AG618" i="6" s="1"/>
  <c r="AF619" i="6"/>
  <c r="AG619" i="6" s="1"/>
  <c r="AF620" i="6"/>
  <c r="AG620" i="6" s="1"/>
  <c r="AF621" i="6"/>
  <c r="AG621" i="6" s="1"/>
  <c r="AF622" i="6"/>
  <c r="AG622" i="6"/>
  <c r="AF623" i="6"/>
  <c r="AG623" i="6" s="1"/>
  <c r="AH623" i="6"/>
  <c r="AI623" i="6" s="1"/>
  <c r="AF624" i="6"/>
  <c r="AG624" i="6" s="1"/>
  <c r="AH624" i="6"/>
  <c r="AI624" i="6" s="1"/>
  <c r="AF625" i="6"/>
  <c r="AG625" i="6" s="1"/>
  <c r="AH625" i="6"/>
  <c r="AI625" i="6" s="1"/>
  <c r="AF626" i="6"/>
  <c r="AG626" i="6" s="1"/>
  <c r="AH626" i="6"/>
  <c r="AI626" i="6" s="1"/>
  <c r="AF627" i="6"/>
  <c r="AG627" i="6" s="1"/>
  <c r="AH627" i="6"/>
  <c r="AI627" i="6" s="1"/>
  <c r="AF628" i="6"/>
  <c r="AG628" i="6" s="1"/>
  <c r="AH628" i="6"/>
  <c r="AI628" i="6" s="1"/>
  <c r="AF629" i="6"/>
  <c r="AG629" i="6" s="1"/>
  <c r="AH629" i="6"/>
  <c r="AI629" i="6" s="1"/>
  <c r="AF630" i="6"/>
  <c r="AG630" i="6"/>
  <c r="AH630" i="6"/>
  <c r="AI630" i="6" s="1"/>
  <c r="AF631" i="6"/>
  <c r="AG631" i="6" s="1"/>
  <c r="AH631" i="6"/>
  <c r="AI631" i="6" s="1"/>
  <c r="AF632" i="6"/>
  <c r="AG632" i="6" s="1"/>
  <c r="AH632" i="6"/>
  <c r="AI632" i="6" s="1"/>
  <c r="AF633" i="6"/>
  <c r="AG633" i="6" s="1"/>
  <c r="AH633" i="6"/>
  <c r="AI633" i="6" s="1"/>
  <c r="AF634" i="6"/>
  <c r="AG634" i="6" s="1"/>
  <c r="AH634" i="6"/>
  <c r="AI634" i="6" s="1"/>
  <c r="AF635" i="6"/>
  <c r="AG635" i="6" s="1"/>
  <c r="AH635" i="6"/>
  <c r="AI635" i="6" s="1"/>
  <c r="AF636" i="6"/>
  <c r="AG636" i="6" s="1"/>
  <c r="AH636" i="6"/>
  <c r="AI636" i="6" s="1"/>
  <c r="AF637" i="6"/>
  <c r="AG637" i="6" s="1"/>
  <c r="AH637" i="6"/>
  <c r="AI637" i="6" s="1"/>
  <c r="AF638" i="6"/>
  <c r="AG638" i="6" s="1"/>
  <c r="AH638" i="6"/>
  <c r="AI638" i="6" s="1"/>
  <c r="AF639" i="6"/>
  <c r="AG639" i="6" s="1"/>
  <c r="AH639" i="6"/>
  <c r="AI639" i="6" s="1"/>
  <c r="AF640" i="6"/>
  <c r="AG640" i="6" s="1"/>
  <c r="AH640" i="6"/>
  <c r="AI640" i="6" s="1"/>
  <c r="AF641" i="6"/>
  <c r="AG641" i="6" s="1"/>
  <c r="AH641" i="6"/>
  <c r="AI641" i="6" s="1"/>
  <c r="AF642" i="6"/>
  <c r="AG642" i="6" s="1"/>
  <c r="AH642" i="6"/>
  <c r="AI642" i="6" s="1"/>
  <c r="AF643" i="6"/>
  <c r="AG643" i="6" s="1"/>
  <c r="AH643" i="6"/>
  <c r="AI643" i="6" s="1"/>
  <c r="AF644" i="6"/>
  <c r="AG644" i="6" s="1"/>
  <c r="AH644" i="6"/>
  <c r="AI644" i="6" s="1"/>
  <c r="AF645" i="6"/>
  <c r="AG645" i="6" s="1"/>
  <c r="AH645" i="6"/>
  <c r="AI645" i="6" s="1"/>
  <c r="AF646" i="6"/>
  <c r="AG646" i="6" s="1"/>
  <c r="AH646" i="6"/>
  <c r="AI646" i="6" s="1"/>
  <c r="AF647" i="6"/>
  <c r="AG647" i="6" s="1"/>
  <c r="AH647" i="6"/>
  <c r="AI647" i="6" s="1"/>
  <c r="AF648" i="6"/>
  <c r="AG648" i="6" s="1"/>
  <c r="AH648" i="6"/>
  <c r="AI648" i="6" s="1"/>
  <c r="AF649" i="6"/>
  <c r="AG649" i="6" s="1"/>
  <c r="AH649" i="6"/>
  <c r="AI649" i="6" s="1"/>
  <c r="AF650" i="6"/>
  <c r="AG650" i="6" s="1"/>
  <c r="AH650" i="6"/>
  <c r="AI650" i="6" s="1"/>
  <c r="AF651" i="6"/>
  <c r="AG651" i="6" s="1"/>
  <c r="AH651" i="6"/>
  <c r="AI651" i="6" s="1"/>
  <c r="AF652" i="6"/>
  <c r="AG652" i="6" s="1"/>
  <c r="AH652" i="6"/>
  <c r="AI652" i="6" s="1"/>
  <c r="AF653" i="6"/>
  <c r="AG653" i="6" s="1"/>
  <c r="AH653" i="6"/>
  <c r="AI653" i="6" s="1"/>
  <c r="AF654" i="6"/>
  <c r="AG654" i="6" s="1"/>
  <c r="AH654" i="6"/>
  <c r="AI654" i="6" s="1"/>
  <c r="AF655" i="6"/>
  <c r="AG655" i="6" s="1"/>
  <c r="AH655" i="6"/>
  <c r="AI655" i="6" s="1"/>
  <c r="AF656" i="6"/>
  <c r="AG656" i="6" s="1"/>
  <c r="AH656" i="6"/>
  <c r="AI656" i="6" s="1"/>
  <c r="AF657" i="6"/>
  <c r="AG657" i="6" s="1"/>
  <c r="AH657" i="6"/>
  <c r="AI657" i="6" s="1"/>
  <c r="AF658" i="6"/>
  <c r="AG658" i="6" s="1"/>
  <c r="AH658" i="6"/>
  <c r="AI658" i="6" s="1"/>
  <c r="AF659" i="6"/>
  <c r="AG659" i="6" s="1"/>
  <c r="AH659" i="6"/>
  <c r="AI659" i="6" s="1"/>
  <c r="AF660" i="6"/>
  <c r="AG660" i="6" s="1"/>
  <c r="AH660" i="6"/>
  <c r="AI660" i="6" s="1"/>
  <c r="AF661" i="6"/>
  <c r="AG661" i="6" s="1"/>
  <c r="AH661" i="6"/>
  <c r="AI661" i="6" s="1"/>
  <c r="AF662" i="6"/>
  <c r="AG662" i="6" s="1"/>
  <c r="AH662" i="6"/>
  <c r="AI662" i="6" s="1"/>
  <c r="AF663" i="6"/>
  <c r="AG663" i="6" s="1"/>
  <c r="AH663" i="6"/>
  <c r="AI663" i="6" s="1"/>
  <c r="AF664" i="6"/>
  <c r="AG664" i="6"/>
  <c r="AH664" i="6"/>
  <c r="AI664" i="6" s="1"/>
  <c r="AF665" i="6"/>
  <c r="AG665" i="6" s="1"/>
  <c r="AH665" i="6"/>
  <c r="AI665" i="6" s="1"/>
  <c r="AF666" i="6"/>
  <c r="AG666" i="6" s="1"/>
  <c r="AH666" i="6"/>
  <c r="AI666" i="6" s="1"/>
  <c r="AF667" i="6"/>
  <c r="AG667" i="6" s="1"/>
  <c r="AH667" i="6"/>
  <c r="AI667" i="6"/>
  <c r="AF668" i="6"/>
  <c r="AG668" i="6" s="1"/>
  <c r="AH668" i="6"/>
  <c r="AI668" i="6" s="1"/>
  <c r="AF669" i="6"/>
  <c r="AG669" i="6" s="1"/>
  <c r="AH669" i="6"/>
  <c r="AI669" i="6" s="1"/>
  <c r="AF670" i="6"/>
  <c r="AG670" i="6" s="1"/>
  <c r="AH670" i="6"/>
  <c r="AI670" i="6" s="1"/>
  <c r="AF671" i="6"/>
  <c r="AG671" i="6" s="1"/>
  <c r="AH671" i="6"/>
  <c r="AI671" i="6" s="1"/>
  <c r="AF672" i="6"/>
  <c r="AG672" i="6" s="1"/>
  <c r="AH672" i="6"/>
  <c r="AI672" i="6" s="1"/>
  <c r="AF673" i="6"/>
  <c r="AG673" i="6" s="1"/>
  <c r="AH673" i="6"/>
  <c r="AI673" i="6" s="1"/>
  <c r="AF674" i="6"/>
  <c r="AG674" i="6" s="1"/>
  <c r="AH674" i="6"/>
  <c r="AI674" i="6" s="1"/>
  <c r="AF675" i="6"/>
  <c r="AG675" i="6" s="1"/>
  <c r="AH675" i="6"/>
  <c r="AI675" i="6" s="1"/>
  <c r="AF676" i="6"/>
  <c r="AG676" i="6" s="1"/>
  <c r="AH676" i="6"/>
  <c r="AI676" i="6" s="1"/>
  <c r="AF677" i="6"/>
  <c r="AG677" i="6" s="1"/>
  <c r="AH677" i="6"/>
  <c r="AI677" i="6" s="1"/>
  <c r="AF678" i="6"/>
  <c r="AG678" i="6" s="1"/>
  <c r="AH678" i="6"/>
  <c r="AI678" i="6" s="1"/>
  <c r="AF679" i="6"/>
  <c r="AG679" i="6" s="1"/>
  <c r="AH679" i="6"/>
  <c r="AI679" i="6" s="1"/>
  <c r="AF680" i="6"/>
  <c r="AG680" i="6" s="1"/>
  <c r="AH680" i="6"/>
  <c r="AI680" i="6" s="1"/>
  <c r="AF681" i="6"/>
  <c r="AG681" i="6" s="1"/>
  <c r="AH681" i="6"/>
  <c r="AI681" i="6" s="1"/>
  <c r="AF682" i="6"/>
  <c r="AG682" i="6" s="1"/>
  <c r="AH682" i="6"/>
  <c r="AI682" i="6" s="1"/>
  <c r="AF683" i="6"/>
  <c r="AG683" i="6" s="1"/>
  <c r="AH683" i="6"/>
  <c r="AI683" i="6" s="1"/>
  <c r="AF684" i="6"/>
  <c r="AG684" i="6" s="1"/>
  <c r="AH684" i="6"/>
  <c r="AI684" i="6" s="1"/>
  <c r="AF685" i="6"/>
  <c r="AG685" i="6" s="1"/>
  <c r="AH685" i="6"/>
  <c r="AI685" i="6" s="1"/>
  <c r="AF686" i="6"/>
  <c r="AG686" i="6" s="1"/>
  <c r="AH686" i="6"/>
  <c r="AI686" i="6" s="1"/>
  <c r="V382" i="6"/>
  <c r="W382" i="6"/>
  <c r="V383" i="6"/>
  <c r="W383" i="6"/>
  <c r="V384" i="6"/>
  <c r="W384" i="6"/>
  <c r="V385" i="6"/>
  <c r="W385" i="6"/>
  <c r="V386" i="6"/>
  <c r="W386" i="6"/>
  <c r="V387" i="6"/>
  <c r="W387" i="6"/>
  <c r="V388" i="6"/>
  <c r="W388" i="6"/>
  <c r="V389" i="6"/>
  <c r="W389" i="6"/>
  <c r="V390" i="6"/>
  <c r="W390" i="6"/>
  <c r="V391" i="6"/>
  <c r="W391" i="6"/>
  <c r="V392" i="6"/>
  <c r="W392" i="6"/>
  <c r="V393" i="6"/>
  <c r="W393" i="6"/>
  <c r="V394" i="6"/>
  <c r="W394" i="6"/>
  <c r="V395" i="6"/>
  <c r="W395" i="6"/>
  <c r="V396" i="6"/>
  <c r="W396" i="6"/>
  <c r="V397" i="6"/>
  <c r="W397" i="6"/>
  <c r="V398" i="6"/>
  <c r="W398" i="6"/>
  <c r="V399" i="6"/>
  <c r="W399" i="6"/>
  <c r="V400" i="6"/>
  <c r="W400" i="6"/>
  <c r="V401" i="6"/>
  <c r="W401" i="6"/>
  <c r="V402" i="6"/>
  <c r="W402" i="6"/>
  <c r="V403" i="6"/>
  <c r="W403" i="6"/>
  <c r="V404" i="6"/>
  <c r="W404" i="6"/>
  <c r="V405" i="6"/>
  <c r="W405" i="6"/>
  <c r="V406" i="6"/>
  <c r="W406" i="6"/>
  <c r="V407" i="6"/>
  <c r="W407" i="6"/>
  <c r="V408" i="6"/>
  <c r="W408" i="6"/>
  <c r="V409" i="6"/>
  <c r="W409" i="6"/>
  <c r="V410" i="6"/>
  <c r="W410" i="6"/>
  <c r="V411" i="6"/>
  <c r="W411" i="6"/>
  <c r="V412" i="6"/>
  <c r="W412" i="6"/>
  <c r="V413" i="6"/>
  <c r="W413" i="6"/>
  <c r="V414" i="6"/>
  <c r="W414" i="6"/>
  <c r="V415" i="6"/>
  <c r="W415" i="6"/>
  <c r="V416" i="6"/>
  <c r="W416" i="6"/>
  <c r="V417" i="6"/>
  <c r="W417" i="6"/>
  <c r="V418" i="6"/>
  <c r="W418" i="6"/>
  <c r="V419" i="6"/>
  <c r="W419" i="6"/>
  <c r="V420" i="6"/>
  <c r="W420" i="6"/>
  <c r="V421" i="6"/>
  <c r="W421" i="6"/>
  <c r="V422" i="6"/>
  <c r="W422" i="6"/>
  <c r="V423" i="6"/>
  <c r="W423" i="6"/>
  <c r="V424" i="6"/>
  <c r="W424" i="6"/>
  <c r="V425" i="6"/>
  <c r="W425" i="6"/>
  <c r="V426" i="6"/>
  <c r="W426" i="6"/>
  <c r="V427" i="6"/>
  <c r="V432" i="6"/>
  <c r="W432" i="6"/>
  <c r="V434" i="6"/>
  <c r="W434" i="6"/>
  <c r="W439" i="6"/>
  <c r="V451" i="6"/>
  <c r="W451" i="6"/>
  <c r="V459" i="6"/>
  <c r="W459" i="6"/>
  <c r="V460" i="6"/>
  <c r="W460" i="6"/>
  <c r="V461" i="6"/>
  <c r="W461" i="6"/>
  <c r="V481" i="6"/>
  <c r="W481" i="6"/>
  <c r="V482" i="6"/>
  <c r="W482" i="6"/>
  <c r="V483" i="6"/>
  <c r="W483" i="6"/>
  <c r="V484" i="6"/>
  <c r="W484" i="6"/>
  <c r="V485" i="6"/>
  <c r="W485" i="6"/>
  <c r="V486" i="6"/>
  <c r="W486" i="6"/>
  <c r="V487" i="6"/>
  <c r="W487" i="6"/>
  <c r="V488" i="6"/>
  <c r="W488" i="6"/>
  <c r="V489" i="6"/>
  <c r="W489" i="6"/>
  <c r="V490" i="6"/>
  <c r="W490" i="6"/>
  <c r="V491" i="6"/>
  <c r="W491" i="6"/>
  <c r="V492" i="6"/>
  <c r="W492" i="6"/>
  <c r="V493" i="6"/>
  <c r="W493" i="6"/>
  <c r="V494" i="6"/>
  <c r="W494" i="6"/>
  <c r="V495" i="6"/>
  <c r="W495" i="6"/>
  <c r="V496" i="6"/>
  <c r="W496" i="6"/>
  <c r="V497" i="6"/>
  <c r="W497" i="6"/>
  <c r="V498" i="6"/>
  <c r="W498" i="6"/>
  <c r="V499" i="6"/>
  <c r="W499" i="6"/>
  <c r="V500" i="6"/>
  <c r="W500" i="6"/>
  <c r="V501" i="6"/>
  <c r="W501" i="6"/>
  <c r="V502" i="6"/>
  <c r="W502" i="6"/>
  <c r="V503" i="6"/>
  <c r="W503" i="6"/>
  <c r="V504" i="6"/>
  <c r="W504" i="6"/>
  <c r="V505" i="6"/>
  <c r="W505" i="6"/>
  <c r="V506" i="6"/>
  <c r="W506" i="6"/>
  <c r="V507" i="6"/>
  <c r="W507" i="6"/>
  <c r="W558" i="6"/>
  <c r="W616" i="6"/>
  <c r="W661" i="6"/>
  <c r="V662" i="6"/>
  <c r="W662" i="6"/>
  <c r="V663" i="6"/>
  <c r="W663" i="6"/>
  <c r="V664" i="6"/>
  <c r="W664" i="6"/>
  <c r="V665" i="6"/>
  <c r="W665" i="6"/>
  <c r="W667" i="6"/>
  <c r="P386" i="6"/>
  <c r="Q386" i="6" s="1"/>
  <c r="R386" i="6"/>
  <c r="S386" i="6" s="1"/>
  <c r="P387" i="6"/>
  <c r="Q387" i="6" s="1"/>
  <c r="R387" i="6"/>
  <c r="S387" i="6" s="1"/>
  <c r="P388" i="6"/>
  <c r="Q388" i="6" s="1"/>
  <c r="R388" i="6"/>
  <c r="S388" i="6" s="1"/>
  <c r="P389" i="6"/>
  <c r="Q389" i="6" s="1"/>
  <c r="R389" i="6"/>
  <c r="S389" i="6" s="1"/>
  <c r="P390" i="6"/>
  <c r="Q390" i="6" s="1"/>
  <c r="R390" i="6"/>
  <c r="S390" i="6" s="1"/>
  <c r="P391" i="6"/>
  <c r="Q391" i="6" s="1"/>
  <c r="R391" i="6"/>
  <c r="S391" i="6" s="1"/>
  <c r="P392" i="6"/>
  <c r="Q392" i="6" s="1"/>
  <c r="R392" i="6"/>
  <c r="S392" i="6" s="1"/>
  <c r="P393" i="6"/>
  <c r="Q393" i="6" s="1"/>
  <c r="R393" i="6"/>
  <c r="S393" i="6" s="1"/>
  <c r="P394" i="6"/>
  <c r="Q394" i="6" s="1"/>
  <c r="R394" i="6"/>
  <c r="S394" i="6" s="1"/>
  <c r="P395" i="6"/>
  <c r="Q395" i="6" s="1"/>
  <c r="R395" i="6"/>
  <c r="S395" i="6" s="1"/>
  <c r="P396" i="6"/>
  <c r="Q396" i="6" s="1"/>
  <c r="R396" i="6"/>
  <c r="S396" i="6" s="1"/>
  <c r="P397" i="6"/>
  <c r="Q397" i="6" s="1"/>
  <c r="R397" i="6"/>
  <c r="S397" i="6" s="1"/>
  <c r="P398" i="6"/>
  <c r="Q398" i="6" s="1"/>
  <c r="AZ398" i="6" s="1"/>
  <c r="R398" i="6"/>
  <c r="S398" i="6" s="1"/>
  <c r="P399" i="6"/>
  <c r="Q399" i="6" s="1"/>
  <c r="R399" i="6"/>
  <c r="S399" i="6" s="1"/>
  <c r="P400" i="6"/>
  <c r="Q400" i="6" s="1"/>
  <c r="R400" i="6"/>
  <c r="S400" i="6" s="1"/>
  <c r="P401" i="6"/>
  <c r="Q401" i="6" s="1"/>
  <c r="R401" i="6"/>
  <c r="S401" i="6" s="1"/>
  <c r="P402" i="6"/>
  <c r="Q402" i="6" s="1"/>
  <c r="R402" i="6"/>
  <c r="S402" i="6" s="1"/>
  <c r="P403" i="6"/>
  <c r="Q403" i="6" s="1"/>
  <c r="R403" i="6"/>
  <c r="S403" i="6" s="1"/>
  <c r="BA403" i="6" s="1"/>
  <c r="P404" i="6"/>
  <c r="Q404" i="6"/>
  <c r="R404" i="6"/>
  <c r="S404" i="6" s="1"/>
  <c r="P405" i="6"/>
  <c r="Q405" i="6" s="1"/>
  <c r="R405" i="6"/>
  <c r="S405" i="6" s="1"/>
  <c r="P406" i="6"/>
  <c r="Q406" i="6" s="1"/>
  <c r="R406" i="6"/>
  <c r="S406" i="6" s="1"/>
  <c r="P407" i="6"/>
  <c r="Q407" i="6" s="1"/>
  <c r="R407" i="6"/>
  <c r="S407" i="6" s="1"/>
  <c r="P408" i="6"/>
  <c r="Q408" i="6" s="1"/>
  <c r="R408" i="6"/>
  <c r="S408" i="6" s="1"/>
  <c r="P409" i="6"/>
  <c r="Q409" i="6" s="1"/>
  <c r="R409" i="6"/>
  <c r="S409" i="6" s="1"/>
  <c r="P410" i="6"/>
  <c r="Q410" i="6" s="1"/>
  <c r="R410" i="6"/>
  <c r="S410" i="6" s="1"/>
  <c r="P411" i="6"/>
  <c r="Q411" i="6" s="1"/>
  <c r="R411" i="6"/>
  <c r="S411" i="6" s="1"/>
  <c r="P412" i="6"/>
  <c r="Q412" i="6" s="1"/>
  <c r="R412" i="6"/>
  <c r="S412" i="6" s="1"/>
  <c r="P413" i="6"/>
  <c r="Q413" i="6" s="1"/>
  <c r="R413" i="6"/>
  <c r="S413" i="6" s="1"/>
  <c r="P414" i="6"/>
  <c r="Q414" i="6"/>
  <c r="R414" i="6"/>
  <c r="S414" i="6" s="1"/>
  <c r="P415" i="6"/>
  <c r="Q415" i="6" s="1"/>
  <c r="R415" i="6"/>
  <c r="S415" i="6" s="1"/>
  <c r="P416" i="6"/>
  <c r="Q416" i="6" s="1"/>
  <c r="AZ416" i="6" s="1"/>
  <c r="R416" i="6"/>
  <c r="S416" i="6" s="1"/>
  <c r="P417" i="6"/>
  <c r="Q417" i="6" s="1"/>
  <c r="R417" i="6"/>
  <c r="S417" i="6" s="1"/>
  <c r="P418" i="6"/>
  <c r="Q418" i="6" s="1"/>
  <c r="R418" i="6"/>
  <c r="S418" i="6" s="1"/>
  <c r="P419" i="6"/>
  <c r="Q419" i="6" s="1"/>
  <c r="R419" i="6"/>
  <c r="S419" i="6" s="1"/>
  <c r="P420" i="6"/>
  <c r="Q420" i="6" s="1"/>
  <c r="R420" i="6"/>
  <c r="S420" i="6" s="1"/>
  <c r="P421" i="6"/>
  <c r="Q421" i="6" s="1"/>
  <c r="R421" i="6"/>
  <c r="S421" i="6" s="1"/>
  <c r="P422" i="6"/>
  <c r="Q422" i="6" s="1"/>
  <c r="R422" i="6"/>
  <c r="S422" i="6" s="1"/>
  <c r="P423" i="6"/>
  <c r="Q423" i="6" s="1"/>
  <c r="R423" i="6"/>
  <c r="S423" i="6" s="1"/>
  <c r="P424" i="6"/>
  <c r="Q424" i="6"/>
  <c r="AZ424" i="6" s="1"/>
  <c r="R424" i="6"/>
  <c r="S424" i="6" s="1"/>
  <c r="P425" i="6"/>
  <c r="Q425" i="6" s="1"/>
  <c r="R425" i="6"/>
  <c r="S425" i="6" s="1"/>
  <c r="P426" i="6"/>
  <c r="Q426" i="6" s="1"/>
  <c r="R426" i="6"/>
  <c r="S426" i="6" s="1"/>
  <c r="P427" i="6"/>
  <c r="Q427" i="6" s="1"/>
  <c r="R427" i="6"/>
  <c r="S427" i="6" s="1"/>
  <c r="P428" i="6"/>
  <c r="V428" i="6" s="1"/>
  <c r="R428" i="6"/>
  <c r="P429" i="6"/>
  <c r="Q429" i="6" s="1"/>
  <c r="R429" i="6"/>
  <c r="P430" i="6"/>
  <c r="V430" i="6" s="1"/>
  <c r="R430" i="6"/>
  <c r="P431" i="6"/>
  <c r="R431" i="6"/>
  <c r="P432" i="6"/>
  <c r="Q432" i="6" s="1"/>
  <c r="R432" i="6"/>
  <c r="S432" i="6" s="1"/>
  <c r="P433" i="6"/>
  <c r="V433" i="6" s="1"/>
  <c r="R433" i="6"/>
  <c r="S433" i="6" s="1"/>
  <c r="P434" i="6"/>
  <c r="Q434" i="6" s="1"/>
  <c r="R434" i="6"/>
  <c r="S434" i="6" s="1"/>
  <c r="P435" i="6"/>
  <c r="V435" i="6" s="1"/>
  <c r="R435" i="6"/>
  <c r="S435" i="6" s="1"/>
  <c r="P436" i="6"/>
  <c r="V436" i="6" s="1"/>
  <c r="R436" i="6"/>
  <c r="S436" i="6" s="1"/>
  <c r="P437" i="6"/>
  <c r="Q437" i="6" s="1"/>
  <c r="R437" i="6"/>
  <c r="W437" i="6" s="1"/>
  <c r="P438" i="6"/>
  <c r="Q438" i="6" s="1"/>
  <c r="R438" i="6"/>
  <c r="P439" i="6"/>
  <c r="R439" i="6"/>
  <c r="S439" i="6" s="1"/>
  <c r="P440" i="6"/>
  <c r="R440" i="6"/>
  <c r="P441" i="6"/>
  <c r="Q441" i="6" s="1"/>
  <c r="R441" i="6"/>
  <c r="W441" i="6" s="1"/>
  <c r="S441" i="6"/>
  <c r="P442" i="6"/>
  <c r="V442" i="6" s="1"/>
  <c r="R442" i="6"/>
  <c r="P443" i="6"/>
  <c r="V443" i="6" s="1"/>
  <c r="R443" i="6"/>
  <c r="S443" i="6" s="1"/>
  <c r="P444" i="6"/>
  <c r="V444" i="6" s="1"/>
  <c r="Q444" i="6"/>
  <c r="R444" i="6"/>
  <c r="P445" i="6"/>
  <c r="R445" i="6"/>
  <c r="P446" i="6"/>
  <c r="V446" i="6" s="1"/>
  <c r="R446" i="6"/>
  <c r="P447" i="6"/>
  <c r="V447" i="6" s="1"/>
  <c r="R447" i="6"/>
  <c r="W447" i="6" s="1"/>
  <c r="P448" i="6"/>
  <c r="R448" i="6"/>
  <c r="P449" i="6"/>
  <c r="Q449" i="6" s="1"/>
  <c r="R449" i="6"/>
  <c r="P450" i="6"/>
  <c r="R450" i="6"/>
  <c r="P451" i="6"/>
  <c r="Q451" i="6" s="1"/>
  <c r="R451" i="6"/>
  <c r="S451" i="6" s="1"/>
  <c r="P452" i="6"/>
  <c r="V452" i="6" s="1"/>
  <c r="R452" i="6"/>
  <c r="S452" i="6" s="1"/>
  <c r="P453" i="6"/>
  <c r="V453" i="6" s="1"/>
  <c r="R453" i="6"/>
  <c r="P454" i="6"/>
  <c r="Q454" i="6" s="1"/>
  <c r="R454" i="6"/>
  <c r="P455" i="6"/>
  <c r="R455" i="6"/>
  <c r="W455" i="6" s="1"/>
  <c r="P456" i="6"/>
  <c r="V456" i="6" s="1"/>
  <c r="R456" i="6"/>
  <c r="P457" i="6"/>
  <c r="Q457" i="6" s="1"/>
  <c r="R457" i="6"/>
  <c r="W457" i="6" s="1"/>
  <c r="S457" i="6"/>
  <c r="P458" i="6"/>
  <c r="R458" i="6"/>
  <c r="P459" i="6"/>
  <c r="Q459" i="6" s="1"/>
  <c r="R459" i="6"/>
  <c r="S459" i="6" s="1"/>
  <c r="P460" i="6"/>
  <c r="Q460" i="6" s="1"/>
  <c r="R460" i="6"/>
  <c r="S460" i="6" s="1"/>
  <c r="P461" i="6"/>
  <c r="Q461" i="6" s="1"/>
  <c r="R461" i="6"/>
  <c r="S461" i="6" s="1"/>
  <c r="P462" i="6"/>
  <c r="V462" i="6" s="1"/>
  <c r="R462" i="6"/>
  <c r="P463" i="6"/>
  <c r="R463" i="6"/>
  <c r="W463" i="6" s="1"/>
  <c r="P464" i="6"/>
  <c r="V464" i="6" s="1"/>
  <c r="Q464" i="6"/>
  <c r="R464" i="6"/>
  <c r="P465" i="6"/>
  <c r="R465" i="6"/>
  <c r="P466" i="6"/>
  <c r="Q466" i="6" s="1"/>
  <c r="R466" i="6"/>
  <c r="S466" i="6" s="1"/>
  <c r="P467" i="6"/>
  <c r="V467" i="6" s="1"/>
  <c r="Q467" i="6"/>
  <c r="R467" i="6"/>
  <c r="W467" i="6" s="1"/>
  <c r="P468" i="6"/>
  <c r="V468" i="6" s="1"/>
  <c r="R468" i="6"/>
  <c r="P469" i="6"/>
  <c r="V469" i="6" s="1"/>
  <c r="R469" i="6"/>
  <c r="P470" i="6"/>
  <c r="Q470" i="6" s="1"/>
  <c r="R470" i="6"/>
  <c r="S470" i="6" s="1"/>
  <c r="P471" i="6"/>
  <c r="V471" i="6" s="1"/>
  <c r="Q471" i="6"/>
  <c r="AZ471" i="6" s="1"/>
  <c r="R471" i="6"/>
  <c r="W471" i="6" s="1"/>
  <c r="P472" i="6"/>
  <c r="R472" i="6"/>
  <c r="S472" i="6" s="1"/>
  <c r="P473" i="6"/>
  <c r="R473" i="6"/>
  <c r="P474" i="6"/>
  <c r="R474" i="6"/>
  <c r="S474" i="6" s="1"/>
  <c r="P475" i="6"/>
  <c r="Q475" i="6" s="1"/>
  <c r="R475" i="6"/>
  <c r="W475" i="6" s="1"/>
  <c r="P476" i="6"/>
  <c r="V476" i="6" s="1"/>
  <c r="R476" i="6"/>
  <c r="P477" i="6"/>
  <c r="Q477" i="6" s="1"/>
  <c r="R477" i="6"/>
  <c r="P478" i="6"/>
  <c r="V478" i="6" s="1"/>
  <c r="R478" i="6"/>
  <c r="P479" i="6"/>
  <c r="V479" i="6" s="1"/>
  <c r="R479" i="6"/>
  <c r="W479" i="6" s="1"/>
  <c r="P480" i="6"/>
  <c r="V480" i="6" s="1"/>
  <c r="R480" i="6"/>
  <c r="S480" i="6" s="1"/>
  <c r="P481" i="6"/>
  <c r="Q481" i="6" s="1"/>
  <c r="R481" i="6"/>
  <c r="S481" i="6" s="1"/>
  <c r="P482" i="6"/>
  <c r="Q482" i="6" s="1"/>
  <c r="R482" i="6"/>
  <c r="S482" i="6" s="1"/>
  <c r="P483" i="6"/>
  <c r="Q483" i="6" s="1"/>
  <c r="R483" i="6"/>
  <c r="S483" i="6" s="1"/>
  <c r="P484" i="6"/>
  <c r="Q484" i="6" s="1"/>
  <c r="R484" i="6"/>
  <c r="S484" i="6" s="1"/>
  <c r="BA484" i="6" s="1"/>
  <c r="P485" i="6"/>
  <c r="Q485" i="6" s="1"/>
  <c r="R485" i="6"/>
  <c r="S485" i="6" s="1"/>
  <c r="P486" i="6"/>
  <c r="Q486" i="6" s="1"/>
  <c r="R486" i="6"/>
  <c r="S486" i="6" s="1"/>
  <c r="P487" i="6"/>
  <c r="Q487" i="6" s="1"/>
  <c r="AZ487" i="6" s="1"/>
  <c r="R487" i="6"/>
  <c r="S487" i="6" s="1"/>
  <c r="BA487" i="6" s="1"/>
  <c r="P488" i="6"/>
  <c r="Q488" i="6" s="1"/>
  <c r="R488" i="6"/>
  <c r="S488" i="6" s="1"/>
  <c r="BA488" i="6" s="1"/>
  <c r="P489" i="6"/>
  <c r="Q489" i="6" s="1"/>
  <c r="R489" i="6"/>
  <c r="S489" i="6" s="1"/>
  <c r="P490" i="6"/>
  <c r="Q490" i="6" s="1"/>
  <c r="R490" i="6"/>
  <c r="S490" i="6" s="1"/>
  <c r="P491" i="6"/>
  <c r="Q491" i="6"/>
  <c r="AZ491" i="6" s="1"/>
  <c r="R491" i="6"/>
  <c r="S491" i="6" s="1"/>
  <c r="BA491" i="6" s="1"/>
  <c r="P492" i="6"/>
  <c r="Q492" i="6" s="1"/>
  <c r="R492" i="6"/>
  <c r="S492" i="6" s="1"/>
  <c r="P493" i="6"/>
  <c r="Q493" i="6" s="1"/>
  <c r="R493" i="6"/>
  <c r="S493" i="6" s="1"/>
  <c r="P494" i="6"/>
  <c r="Q494" i="6" s="1"/>
  <c r="R494" i="6"/>
  <c r="S494" i="6" s="1"/>
  <c r="P495" i="6"/>
  <c r="Q495" i="6" s="1"/>
  <c r="AZ495" i="6" s="1"/>
  <c r="R495" i="6"/>
  <c r="S495" i="6" s="1"/>
  <c r="P496" i="6"/>
  <c r="Q496" i="6" s="1"/>
  <c r="R496" i="6"/>
  <c r="S496" i="6" s="1"/>
  <c r="P497" i="6"/>
  <c r="Q497" i="6"/>
  <c r="R497" i="6"/>
  <c r="S497" i="6" s="1"/>
  <c r="P498" i="6"/>
  <c r="Q498" i="6" s="1"/>
  <c r="R498" i="6"/>
  <c r="S498" i="6" s="1"/>
  <c r="P499" i="6"/>
  <c r="Q499" i="6" s="1"/>
  <c r="R499" i="6"/>
  <c r="S499" i="6" s="1"/>
  <c r="P500" i="6"/>
  <c r="Q500" i="6" s="1"/>
  <c r="R500" i="6"/>
  <c r="S500" i="6" s="1"/>
  <c r="P501" i="6"/>
  <c r="Q501" i="6" s="1"/>
  <c r="R501" i="6"/>
  <c r="S501" i="6" s="1"/>
  <c r="P502" i="6"/>
  <c r="Q502" i="6" s="1"/>
  <c r="R502" i="6"/>
  <c r="S502" i="6" s="1"/>
  <c r="P503" i="6"/>
  <c r="Q503" i="6" s="1"/>
  <c r="R503" i="6"/>
  <c r="S503" i="6" s="1"/>
  <c r="P504" i="6"/>
  <c r="Q504" i="6" s="1"/>
  <c r="R504" i="6"/>
  <c r="S504" i="6" s="1"/>
  <c r="P505" i="6"/>
  <c r="Q505" i="6" s="1"/>
  <c r="R505" i="6"/>
  <c r="S505" i="6" s="1"/>
  <c r="P506" i="6"/>
  <c r="Q506" i="6" s="1"/>
  <c r="R506" i="6"/>
  <c r="S506" i="6" s="1"/>
  <c r="P507" i="6"/>
  <c r="Q507" i="6" s="1"/>
  <c r="R507" i="6"/>
  <c r="S507" i="6" s="1"/>
  <c r="P508" i="6"/>
  <c r="V508" i="6" s="1"/>
  <c r="R508" i="6"/>
  <c r="S508" i="6" s="1"/>
  <c r="BA508" i="6" s="1"/>
  <c r="P509" i="6"/>
  <c r="Q509" i="6" s="1"/>
  <c r="R509" i="6"/>
  <c r="P510" i="6"/>
  <c r="Q510" i="6" s="1"/>
  <c r="R510" i="6"/>
  <c r="P511" i="6"/>
  <c r="V511" i="6" s="1"/>
  <c r="Q511" i="6"/>
  <c r="R511" i="6"/>
  <c r="W511" i="6" s="1"/>
  <c r="P512" i="6"/>
  <c r="V512" i="6" s="1"/>
  <c r="R512" i="6"/>
  <c r="S512" i="6" s="1"/>
  <c r="P513" i="6"/>
  <c r="V513" i="6" s="1"/>
  <c r="R513" i="6"/>
  <c r="S513" i="6" s="1"/>
  <c r="P514" i="6"/>
  <c r="R514" i="6"/>
  <c r="S514" i="6" s="1"/>
  <c r="P515" i="6"/>
  <c r="V515" i="6" s="1"/>
  <c r="R515" i="6"/>
  <c r="W515" i="6" s="1"/>
  <c r="S515" i="6"/>
  <c r="P516" i="6"/>
  <c r="V516" i="6" s="1"/>
  <c r="R516" i="6"/>
  <c r="P517" i="6"/>
  <c r="Q517" i="6" s="1"/>
  <c r="R517" i="6"/>
  <c r="W517" i="6" s="1"/>
  <c r="P518" i="6"/>
  <c r="Q518" i="6" s="1"/>
  <c r="R518" i="6"/>
  <c r="P519" i="6"/>
  <c r="V519" i="6" s="1"/>
  <c r="R519" i="6"/>
  <c r="W519" i="6" s="1"/>
  <c r="P520" i="6"/>
  <c r="V520" i="6" s="1"/>
  <c r="R520" i="6"/>
  <c r="P521" i="6"/>
  <c r="R521" i="6"/>
  <c r="S521" i="6" s="1"/>
  <c r="P522" i="6"/>
  <c r="Q522" i="6" s="1"/>
  <c r="R522" i="6"/>
  <c r="S522" i="6" s="1"/>
  <c r="P523" i="6"/>
  <c r="V523" i="6" s="1"/>
  <c r="R523" i="6"/>
  <c r="W523" i="6" s="1"/>
  <c r="P524" i="6"/>
  <c r="V524" i="6" s="1"/>
  <c r="Q524" i="6"/>
  <c r="R524" i="6"/>
  <c r="P525" i="6"/>
  <c r="R525" i="6"/>
  <c r="P526" i="6"/>
  <c r="Q526" i="6" s="1"/>
  <c r="R526" i="6"/>
  <c r="S526" i="6" s="1"/>
  <c r="P527" i="6"/>
  <c r="Q527" i="6" s="1"/>
  <c r="R527" i="6"/>
  <c r="W527" i="6" s="1"/>
  <c r="S527" i="6"/>
  <c r="BA527" i="6" s="1"/>
  <c r="P528" i="6"/>
  <c r="V528" i="6" s="1"/>
  <c r="Q528" i="6"/>
  <c r="R528" i="6"/>
  <c r="P529" i="6"/>
  <c r="V529" i="6" s="1"/>
  <c r="R529" i="6"/>
  <c r="P530" i="6"/>
  <c r="R530" i="6"/>
  <c r="P531" i="6"/>
  <c r="V531" i="6" s="1"/>
  <c r="R531" i="6"/>
  <c r="S531" i="6" s="1"/>
  <c r="P532" i="6"/>
  <c r="V532" i="6" s="1"/>
  <c r="R532" i="6"/>
  <c r="P533" i="6"/>
  <c r="Q533" i="6" s="1"/>
  <c r="R533" i="6"/>
  <c r="W533" i="6" s="1"/>
  <c r="P534" i="6"/>
  <c r="R534" i="6"/>
  <c r="P535" i="6"/>
  <c r="V535" i="6" s="1"/>
  <c r="R535" i="6"/>
  <c r="W535" i="6" s="1"/>
  <c r="P536" i="6"/>
  <c r="V536" i="6" s="1"/>
  <c r="R536" i="6"/>
  <c r="S536" i="6" s="1"/>
  <c r="P537" i="6"/>
  <c r="R537" i="6"/>
  <c r="S537" i="6" s="1"/>
  <c r="P538" i="6"/>
  <c r="V538" i="6" s="1"/>
  <c r="R538" i="6"/>
  <c r="P539" i="6"/>
  <c r="V539" i="6" s="1"/>
  <c r="R539" i="6"/>
  <c r="S539" i="6" s="1"/>
  <c r="P540" i="6"/>
  <c r="V540" i="6" s="1"/>
  <c r="Q540" i="6"/>
  <c r="R540" i="6"/>
  <c r="S540" i="6" s="1"/>
  <c r="P541" i="6"/>
  <c r="Q541" i="6" s="1"/>
  <c r="R541" i="6"/>
  <c r="P542" i="6"/>
  <c r="Q542" i="6" s="1"/>
  <c r="R542" i="6"/>
  <c r="P543" i="6"/>
  <c r="V543" i="6" s="1"/>
  <c r="R543" i="6"/>
  <c r="W543" i="6" s="1"/>
  <c r="P544" i="6"/>
  <c r="V544" i="6" s="1"/>
  <c r="R544" i="6"/>
  <c r="S544" i="6" s="1"/>
  <c r="P545" i="6"/>
  <c r="Q545" i="6" s="1"/>
  <c r="R545" i="6"/>
  <c r="S545" i="6" s="1"/>
  <c r="P546" i="6"/>
  <c r="R546" i="6"/>
  <c r="S546" i="6" s="1"/>
  <c r="BA546" i="6" s="1"/>
  <c r="P547" i="6"/>
  <c r="V547" i="6" s="1"/>
  <c r="R547" i="6"/>
  <c r="W547" i="6" s="1"/>
  <c r="P548" i="6"/>
  <c r="V548" i="6" s="1"/>
  <c r="R548" i="6"/>
  <c r="P549" i="6"/>
  <c r="Q549" i="6" s="1"/>
  <c r="R549" i="6"/>
  <c r="S549" i="6" s="1"/>
  <c r="P550" i="6"/>
  <c r="Q550" i="6" s="1"/>
  <c r="R550" i="6"/>
  <c r="P551" i="6"/>
  <c r="V551" i="6" s="1"/>
  <c r="Q551" i="6"/>
  <c r="R551" i="6"/>
  <c r="W551" i="6" s="1"/>
  <c r="P552" i="6"/>
  <c r="R552" i="6"/>
  <c r="P553" i="6"/>
  <c r="R553" i="6"/>
  <c r="S553" i="6" s="1"/>
  <c r="P554" i="6"/>
  <c r="Q554" i="6" s="1"/>
  <c r="R554" i="6"/>
  <c r="S554" i="6" s="1"/>
  <c r="BA554" i="6" s="1"/>
  <c r="P555" i="6"/>
  <c r="V555" i="6" s="1"/>
  <c r="R555" i="6"/>
  <c r="W555" i="6" s="1"/>
  <c r="P556" i="6"/>
  <c r="R556" i="6"/>
  <c r="P557" i="6"/>
  <c r="R557" i="6"/>
  <c r="P558" i="6"/>
  <c r="Q558" i="6" s="1"/>
  <c r="R558" i="6"/>
  <c r="S558" i="6" s="1"/>
  <c r="P559" i="6"/>
  <c r="Q559" i="6" s="1"/>
  <c r="R559" i="6"/>
  <c r="W559" i="6" s="1"/>
  <c r="S559" i="6"/>
  <c r="P560" i="6"/>
  <c r="V560" i="6" s="1"/>
  <c r="R560" i="6"/>
  <c r="P561" i="6"/>
  <c r="V561" i="6" s="1"/>
  <c r="R561" i="6"/>
  <c r="P562" i="6"/>
  <c r="R562" i="6"/>
  <c r="S562" i="6" s="1"/>
  <c r="P563" i="6"/>
  <c r="V563" i="6" s="1"/>
  <c r="Q563" i="6"/>
  <c r="R563" i="6"/>
  <c r="W563" i="6" s="1"/>
  <c r="P564" i="6"/>
  <c r="V564" i="6" s="1"/>
  <c r="R564" i="6"/>
  <c r="P565" i="6"/>
  <c r="Q565" i="6" s="1"/>
  <c r="R565" i="6"/>
  <c r="W565" i="6" s="1"/>
  <c r="S565" i="6"/>
  <c r="P566" i="6"/>
  <c r="R566" i="6"/>
  <c r="P567" i="6"/>
  <c r="V567" i="6" s="1"/>
  <c r="R567" i="6"/>
  <c r="W567" i="6" s="1"/>
  <c r="P568" i="6"/>
  <c r="V568" i="6" s="1"/>
  <c r="Q568" i="6"/>
  <c r="AZ568" i="6" s="1"/>
  <c r="R568" i="6"/>
  <c r="S568" i="6" s="1"/>
  <c r="P569" i="6"/>
  <c r="R569" i="6"/>
  <c r="S569" i="6" s="1"/>
  <c r="BA569" i="6" s="1"/>
  <c r="P570" i="6"/>
  <c r="V570" i="6" s="1"/>
  <c r="R570" i="6"/>
  <c r="P571" i="6"/>
  <c r="V571" i="6" s="1"/>
  <c r="R571" i="6"/>
  <c r="W571" i="6" s="1"/>
  <c r="P572" i="6"/>
  <c r="V572" i="6" s="1"/>
  <c r="R572" i="6"/>
  <c r="S572" i="6" s="1"/>
  <c r="P573" i="6"/>
  <c r="Q573" i="6" s="1"/>
  <c r="R573" i="6"/>
  <c r="P574" i="6"/>
  <c r="Q574" i="6" s="1"/>
  <c r="R574" i="6"/>
  <c r="P575" i="6"/>
  <c r="V575" i="6" s="1"/>
  <c r="R575" i="6"/>
  <c r="W575" i="6" s="1"/>
  <c r="P576" i="6"/>
  <c r="V576" i="6" s="1"/>
  <c r="R576" i="6"/>
  <c r="S576" i="6" s="1"/>
  <c r="P577" i="6"/>
  <c r="Q577" i="6" s="1"/>
  <c r="R577" i="6"/>
  <c r="S577" i="6" s="1"/>
  <c r="P578" i="6"/>
  <c r="R578" i="6"/>
  <c r="S578" i="6" s="1"/>
  <c r="P579" i="6"/>
  <c r="V579" i="6" s="1"/>
  <c r="R579" i="6"/>
  <c r="P580" i="6"/>
  <c r="V580" i="6" s="1"/>
  <c r="R580" i="6"/>
  <c r="P581" i="6"/>
  <c r="Q581" i="6" s="1"/>
  <c r="R581" i="6"/>
  <c r="W581" i="6" s="1"/>
  <c r="P582" i="6"/>
  <c r="Q582" i="6" s="1"/>
  <c r="R582" i="6"/>
  <c r="P583" i="6"/>
  <c r="V583" i="6" s="1"/>
  <c r="Q583" i="6"/>
  <c r="R583" i="6"/>
  <c r="W583" i="6" s="1"/>
  <c r="S583" i="6"/>
  <c r="P584" i="6"/>
  <c r="V584" i="6" s="1"/>
  <c r="R584" i="6"/>
  <c r="P585" i="6"/>
  <c r="R585" i="6"/>
  <c r="S585" i="6" s="1"/>
  <c r="P586" i="6"/>
  <c r="R586" i="6"/>
  <c r="S586" i="6" s="1"/>
  <c r="P587" i="6"/>
  <c r="V587" i="6" s="1"/>
  <c r="R587" i="6"/>
  <c r="S587" i="6" s="1"/>
  <c r="P588" i="6"/>
  <c r="V588" i="6" s="1"/>
  <c r="R588" i="6"/>
  <c r="P589" i="6"/>
  <c r="R589" i="6"/>
  <c r="P590" i="6"/>
  <c r="Q590" i="6" s="1"/>
  <c r="R590" i="6"/>
  <c r="S590" i="6" s="1"/>
  <c r="P591" i="6"/>
  <c r="Q591" i="6" s="1"/>
  <c r="R591" i="6"/>
  <c r="P592" i="6"/>
  <c r="R592" i="6"/>
  <c r="S592" i="6" s="1"/>
  <c r="P593" i="6"/>
  <c r="R593" i="6"/>
  <c r="P594" i="6"/>
  <c r="R594" i="6"/>
  <c r="P595" i="6"/>
  <c r="Q595" i="6" s="1"/>
  <c r="R595" i="6"/>
  <c r="S595" i="6" s="1"/>
  <c r="P596" i="6"/>
  <c r="R596" i="6"/>
  <c r="W596" i="6" s="1"/>
  <c r="P597" i="6"/>
  <c r="Q597" i="6" s="1"/>
  <c r="R597" i="6"/>
  <c r="P598" i="6"/>
  <c r="R598" i="6"/>
  <c r="W598" i="6" s="1"/>
  <c r="P599" i="6"/>
  <c r="Q599" i="6" s="1"/>
  <c r="R599" i="6"/>
  <c r="S599" i="6" s="1"/>
  <c r="P600" i="6"/>
  <c r="R600" i="6"/>
  <c r="W600" i="6" s="1"/>
  <c r="S600" i="6"/>
  <c r="P601" i="6"/>
  <c r="R601" i="6"/>
  <c r="S601" i="6" s="1"/>
  <c r="P602" i="6"/>
  <c r="R602" i="6"/>
  <c r="W602" i="6" s="1"/>
  <c r="P603" i="6"/>
  <c r="R603" i="6"/>
  <c r="S603" i="6" s="1"/>
  <c r="P604" i="6"/>
  <c r="R604" i="6"/>
  <c r="S604" i="6" s="1"/>
  <c r="P605" i="6"/>
  <c r="Q605" i="6" s="1"/>
  <c r="R605" i="6"/>
  <c r="P606" i="6"/>
  <c r="Q606" i="6" s="1"/>
  <c r="R606" i="6"/>
  <c r="P607" i="6"/>
  <c r="R607" i="6"/>
  <c r="P608" i="6"/>
  <c r="R608" i="6"/>
  <c r="S608" i="6" s="1"/>
  <c r="P609" i="6"/>
  <c r="Q609" i="6" s="1"/>
  <c r="R609" i="6"/>
  <c r="S609" i="6" s="1"/>
  <c r="P610" i="6"/>
  <c r="R610" i="6"/>
  <c r="W610" i="6" s="1"/>
  <c r="P611" i="6"/>
  <c r="R611" i="6"/>
  <c r="P612" i="6"/>
  <c r="R612" i="6"/>
  <c r="W612" i="6" s="1"/>
  <c r="P613" i="6"/>
  <c r="Q613" i="6" s="1"/>
  <c r="P614" i="6"/>
  <c r="Q614" i="6" s="1"/>
  <c r="P615" i="6"/>
  <c r="P616" i="6"/>
  <c r="R616" i="6"/>
  <c r="S616" i="6"/>
  <c r="P617" i="6"/>
  <c r="P618" i="6"/>
  <c r="Q618" i="6" s="1"/>
  <c r="P619" i="6"/>
  <c r="P620" i="6"/>
  <c r="P621" i="6"/>
  <c r="P622" i="6"/>
  <c r="Q622" i="6" s="1"/>
  <c r="P623" i="6"/>
  <c r="Q623" i="6" s="1"/>
  <c r="R623" i="6"/>
  <c r="P624" i="6"/>
  <c r="V624" i="6" s="1"/>
  <c r="R624" i="6"/>
  <c r="W624" i="6" s="1"/>
  <c r="P625" i="6"/>
  <c r="R625" i="6"/>
  <c r="W625" i="6" s="1"/>
  <c r="P626" i="6"/>
  <c r="V626" i="6" s="1"/>
  <c r="R626" i="6"/>
  <c r="S626" i="6" s="1"/>
  <c r="P627" i="6"/>
  <c r="Q627" i="6" s="1"/>
  <c r="R627" i="6"/>
  <c r="S627" i="6" s="1"/>
  <c r="P628" i="6"/>
  <c r="R628" i="6"/>
  <c r="W628" i="6" s="1"/>
  <c r="P629" i="6"/>
  <c r="Q629" i="6" s="1"/>
  <c r="R629" i="6"/>
  <c r="W629" i="6" s="1"/>
  <c r="S629" i="6"/>
  <c r="P630" i="6"/>
  <c r="V630" i="6" s="1"/>
  <c r="Q630" i="6"/>
  <c r="R630" i="6"/>
  <c r="W630" i="6" s="1"/>
  <c r="P631" i="6"/>
  <c r="Q631" i="6" s="1"/>
  <c r="R631" i="6"/>
  <c r="W631" i="6" s="1"/>
  <c r="P632" i="6"/>
  <c r="R632" i="6"/>
  <c r="S632" i="6" s="1"/>
  <c r="P633" i="6"/>
  <c r="R633" i="6"/>
  <c r="S633" i="6" s="1"/>
  <c r="P634" i="6"/>
  <c r="V634" i="6" s="1"/>
  <c r="R634" i="6"/>
  <c r="W634" i="6" s="1"/>
  <c r="P635" i="6"/>
  <c r="R635" i="6"/>
  <c r="W635" i="6" s="1"/>
  <c r="P636" i="6"/>
  <c r="V636" i="6" s="1"/>
  <c r="Q636" i="6"/>
  <c r="R636" i="6"/>
  <c r="S636" i="6" s="1"/>
  <c r="P637" i="6"/>
  <c r="Q637" i="6" s="1"/>
  <c r="R637" i="6"/>
  <c r="W637" i="6" s="1"/>
  <c r="S637" i="6"/>
  <c r="P638" i="6"/>
  <c r="Q638" i="6" s="1"/>
  <c r="R638" i="6"/>
  <c r="W638" i="6" s="1"/>
  <c r="P639" i="6"/>
  <c r="R639" i="6"/>
  <c r="P640" i="6"/>
  <c r="V640" i="6" s="1"/>
  <c r="R640" i="6"/>
  <c r="S640" i="6" s="1"/>
  <c r="P641" i="6"/>
  <c r="Q641" i="6" s="1"/>
  <c r="R641" i="6"/>
  <c r="W641" i="6" s="1"/>
  <c r="P642" i="6"/>
  <c r="V642" i="6" s="1"/>
  <c r="R642" i="6"/>
  <c r="S642" i="6" s="1"/>
  <c r="P643" i="6"/>
  <c r="R643" i="6"/>
  <c r="P644" i="6"/>
  <c r="R644" i="6"/>
  <c r="W644" i="6" s="1"/>
  <c r="S644" i="6"/>
  <c r="P645" i="6"/>
  <c r="Q645" i="6" s="1"/>
  <c r="R645" i="6"/>
  <c r="W645" i="6" s="1"/>
  <c r="P646" i="6"/>
  <c r="Q646" i="6" s="1"/>
  <c r="R646" i="6"/>
  <c r="W646" i="6" s="1"/>
  <c r="P647" i="6"/>
  <c r="R647" i="6"/>
  <c r="W647" i="6" s="1"/>
  <c r="P648" i="6"/>
  <c r="R648" i="6"/>
  <c r="P649" i="6"/>
  <c r="R649" i="6"/>
  <c r="S649" i="6" s="1"/>
  <c r="P650" i="6"/>
  <c r="V650" i="6" s="1"/>
  <c r="R650" i="6"/>
  <c r="W650" i="6" s="1"/>
  <c r="S650" i="6"/>
  <c r="P651" i="6"/>
  <c r="R651" i="6"/>
  <c r="W651" i="6" s="1"/>
  <c r="P652" i="6"/>
  <c r="V652" i="6" s="1"/>
  <c r="R652" i="6"/>
  <c r="P653" i="6"/>
  <c r="R653" i="6"/>
  <c r="W653" i="6" s="1"/>
  <c r="P654" i="6"/>
  <c r="Q654" i="6" s="1"/>
  <c r="R654" i="6"/>
  <c r="W654" i="6" s="1"/>
  <c r="P655" i="6"/>
  <c r="Q655" i="6" s="1"/>
  <c r="R655" i="6"/>
  <c r="P656" i="6"/>
  <c r="V656" i="6" s="1"/>
  <c r="R656" i="6"/>
  <c r="W656" i="6" s="1"/>
  <c r="P657" i="6"/>
  <c r="R657" i="6"/>
  <c r="W657" i="6" s="1"/>
  <c r="P658" i="6"/>
  <c r="V658" i="6" s="1"/>
  <c r="R658" i="6"/>
  <c r="S658" i="6" s="1"/>
  <c r="P659" i="6"/>
  <c r="Q659" i="6" s="1"/>
  <c r="R659" i="6"/>
  <c r="S659" i="6" s="1"/>
  <c r="P660" i="6"/>
  <c r="R660" i="6"/>
  <c r="W660" i="6" s="1"/>
  <c r="P661" i="6"/>
  <c r="Q661" i="6" s="1"/>
  <c r="R661" i="6"/>
  <c r="S661" i="6" s="1"/>
  <c r="P662" i="6"/>
  <c r="Q662" i="6" s="1"/>
  <c r="R662" i="6"/>
  <c r="S662" i="6" s="1"/>
  <c r="P663" i="6"/>
  <c r="Q663" i="6" s="1"/>
  <c r="R663" i="6"/>
  <c r="S663" i="6" s="1"/>
  <c r="P664" i="6"/>
  <c r="Q664" i="6" s="1"/>
  <c r="R664" i="6"/>
  <c r="S664" i="6" s="1"/>
  <c r="P665" i="6"/>
  <c r="Q665" i="6" s="1"/>
  <c r="R665" i="6"/>
  <c r="S665" i="6" s="1"/>
  <c r="P666" i="6"/>
  <c r="V666" i="6" s="1"/>
  <c r="R666" i="6"/>
  <c r="W666" i="6" s="1"/>
  <c r="P667" i="6"/>
  <c r="Q667" i="6" s="1"/>
  <c r="R667" i="6"/>
  <c r="S667" i="6"/>
  <c r="P668" i="6"/>
  <c r="V668" i="6" s="1"/>
  <c r="R668" i="6"/>
  <c r="S668" i="6" s="1"/>
  <c r="BA668" i="6" s="1"/>
  <c r="P669" i="6"/>
  <c r="R669" i="6"/>
  <c r="W669" i="6" s="1"/>
  <c r="P670" i="6"/>
  <c r="R670" i="6"/>
  <c r="W670" i="6" s="1"/>
  <c r="P671" i="6"/>
  <c r="R671" i="6"/>
  <c r="S671" i="6" s="1"/>
  <c r="BA671" i="6" s="1"/>
  <c r="P672" i="6"/>
  <c r="V672" i="6" s="1"/>
  <c r="R672" i="6"/>
  <c r="S672" i="6" s="1"/>
  <c r="P673" i="6"/>
  <c r="Q673" i="6" s="1"/>
  <c r="AZ673" i="6" s="1"/>
  <c r="R673" i="6"/>
  <c r="W673" i="6" s="1"/>
  <c r="S673" i="6"/>
  <c r="P674" i="6"/>
  <c r="V674" i="6" s="1"/>
  <c r="R674" i="6"/>
  <c r="P675" i="6"/>
  <c r="R675" i="6"/>
  <c r="P676" i="6"/>
  <c r="R676" i="6"/>
  <c r="W676" i="6" s="1"/>
  <c r="P677" i="6"/>
  <c r="R677" i="6"/>
  <c r="S677" i="6" s="1"/>
  <c r="P678" i="6"/>
  <c r="V678" i="6" s="1"/>
  <c r="R678" i="6"/>
  <c r="S678" i="6" s="1"/>
  <c r="P679" i="6"/>
  <c r="R679" i="6"/>
  <c r="W679" i="6" s="1"/>
  <c r="P680" i="6"/>
  <c r="R680" i="6"/>
  <c r="P681" i="6"/>
  <c r="Q681" i="6" s="1"/>
  <c r="R681" i="6"/>
  <c r="S681" i="6" s="1"/>
  <c r="P682" i="6"/>
  <c r="V682" i="6" s="1"/>
  <c r="R682" i="6"/>
  <c r="W682" i="6" s="1"/>
  <c r="P683" i="6"/>
  <c r="Q683" i="6" s="1"/>
  <c r="R683" i="6"/>
  <c r="W683" i="6" s="1"/>
  <c r="P684" i="6"/>
  <c r="V684" i="6" s="1"/>
  <c r="R684" i="6"/>
  <c r="P685" i="6"/>
  <c r="R685" i="6"/>
  <c r="W685" i="6" s="1"/>
  <c r="P686" i="6"/>
  <c r="Q686" i="6" s="1"/>
  <c r="R686" i="6"/>
  <c r="W686" i="6" s="1"/>
  <c r="Q375" i="6" l="1"/>
  <c r="S358" i="6"/>
  <c r="W360" i="6"/>
  <c r="AZ361" i="6"/>
  <c r="Q379" i="6"/>
  <c r="AZ379" i="6" s="1"/>
  <c r="S359" i="6"/>
  <c r="BA359" i="6" s="1"/>
  <c r="S375" i="6"/>
  <c r="BA375" i="6" s="1"/>
  <c r="S365" i="6"/>
  <c r="BA365" i="6" s="1"/>
  <c r="W366" i="6"/>
  <c r="S366" i="6"/>
  <c r="BA366" i="6" s="1"/>
  <c r="BA316" i="6"/>
  <c r="S278" i="6"/>
  <c r="BA278" i="6" s="1"/>
  <c r="W278" i="6"/>
  <c r="V355" i="6"/>
  <c r="Q355" i="6"/>
  <c r="V327" i="6"/>
  <c r="Q327" i="6"/>
  <c r="AZ327" i="6" s="1"/>
  <c r="Q324" i="6"/>
  <c r="AZ324" i="6" s="1"/>
  <c r="V324" i="6"/>
  <c r="W304" i="6"/>
  <c r="S304" i="6"/>
  <c r="Q294" i="6"/>
  <c r="V294" i="6"/>
  <c r="BA512" i="6"/>
  <c r="V533" i="6"/>
  <c r="W367" i="6"/>
  <c r="S367" i="6"/>
  <c r="BA367" i="6" s="1"/>
  <c r="Q358" i="6"/>
  <c r="AZ358" i="6" s="1"/>
  <c r="V358" i="6"/>
  <c r="AZ605" i="6"/>
  <c r="BA545" i="6"/>
  <c r="AZ429" i="6"/>
  <c r="S370" i="6"/>
  <c r="Q367" i="6"/>
  <c r="V367" i="6"/>
  <c r="W363" i="6"/>
  <c r="S363" i="6"/>
  <c r="BA363" i="6" s="1"/>
  <c r="BA332" i="6"/>
  <c r="V323" i="6"/>
  <c r="Q323" i="6"/>
  <c r="AZ323" i="6" s="1"/>
  <c r="S319" i="6"/>
  <c r="Q314" i="6"/>
  <c r="V279" i="6"/>
  <c r="Q279" i="6"/>
  <c r="V271" i="6"/>
  <c r="W331" i="6"/>
  <c r="S331" i="6"/>
  <c r="BA331" i="6" s="1"/>
  <c r="W372" i="6"/>
  <c r="S372" i="6"/>
  <c r="BA372" i="6" s="1"/>
  <c r="Q347" i="6"/>
  <c r="AZ347" i="6" s="1"/>
  <c r="Q344" i="6"/>
  <c r="V344" i="6"/>
  <c r="W334" i="6"/>
  <c r="S334" i="6"/>
  <c r="S274" i="6"/>
  <c r="W274" i="6"/>
  <c r="Q335" i="6"/>
  <c r="AZ335" i="6" s="1"/>
  <c r="V335" i="6"/>
  <c r="S528" i="6"/>
  <c r="W528" i="6"/>
  <c r="V359" i="6"/>
  <c r="Q359" i="6"/>
  <c r="AZ359" i="6" s="1"/>
  <c r="Q356" i="6"/>
  <c r="AZ356" i="6" s="1"/>
  <c r="V356" i="6"/>
  <c r="V313" i="6"/>
  <c r="Q313" i="6"/>
  <c r="Q274" i="6"/>
  <c r="V274" i="6"/>
  <c r="W335" i="6"/>
  <c r="S335" i="6"/>
  <c r="V556" i="6"/>
  <c r="Q556" i="6"/>
  <c r="AZ556" i="6" s="1"/>
  <c r="W292" i="6"/>
  <c r="S292" i="6"/>
  <c r="BA292" i="6" s="1"/>
  <c r="V326" i="6"/>
  <c r="BA392" i="6"/>
  <c r="BA633" i="6"/>
  <c r="Q580" i="6"/>
  <c r="BA576" i="6"/>
  <c r="Q479" i="6"/>
  <c r="AZ479" i="6" s="1"/>
  <c r="W601" i="6"/>
  <c r="W340" i="6"/>
  <c r="S340" i="6"/>
  <c r="BA340" i="6" s="1"/>
  <c r="Q315" i="6"/>
  <c r="AZ315" i="6" s="1"/>
  <c r="AZ284" i="6"/>
  <c r="BA242" i="6"/>
  <c r="BA492" i="6"/>
  <c r="AZ421" i="6"/>
  <c r="AZ338" i="6"/>
  <c r="AZ320" i="6"/>
  <c r="AZ312" i="6"/>
  <c r="V338" i="6"/>
  <c r="V296" i="6"/>
  <c r="W266" i="6"/>
  <c r="BA239" i="6"/>
  <c r="S283" i="6"/>
  <c r="W283" i="6"/>
  <c r="AZ280" i="6"/>
  <c r="BA260" i="6"/>
  <c r="AZ251" i="6"/>
  <c r="AZ244" i="6"/>
  <c r="V283" i="6"/>
  <c r="BA379" i="6"/>
  <c r="Q368" i="6"/>
  <c r="AZ368" i="6" s="1"/>
  <c r="V368" i="6"/>
  <c r="AZ339" i="6"/>
  <c r="BA276" i="6"/>
  <c r="AZ260" i="6"/>
  <c r="Q306" i="6"/>
  <c r="AZ306" i="6" s="1"/>
  <c r="V306" i="6"/>
  <c r="AZ296" i="6"/>
  <c r="V351" i="6"/>
  <c r="W314" i="6"/>
  <c r="V278" i="6"/>
  <c r="AZ360" i="6"/>
  <c r="AZ262" i="6"/>
  <c r="BA255" i="6"/>
  <c r="BA245" i="6"/>
  <c r="Q350" i="6"/>
  <c r="AZ350" i="6" s="1"/>
  <c r="V350" i="6"/>
  <c r="S270" i="6"/>
  <c r="W270" i="6"/>
  <c r="W305" i="6"/>
  <c r="AZ655" i="6"/>
  <c r="W677" i="6"/>
  <c r="Q378" i="6"/>
  <c r="AZ378" i="6" s="1"/>
  <c r="V378" i="6"/>
  <c r="Q362" i="6"/>
  <c r="V362" i="6"/>
  <c r="Q346" i="6"/>
  <c r="AZ346" i="6" s="1"/>
  <c r="V346" i="6"/>
  <c r="Q330" i="6"/>
  <c r="AZ330" i="6" s="1"/>
  <c r="V330" i="6"/>
  <c r="Q300" i="6"/>
  <c r="AZ300" i="6" s="1"/>
  <c r="V300" i="6"/>
  <c r="Q291" i="6"/>
  <c r="AZ291" i="6" s="1"/>
  <c r="V291" i="6"/>
  <c r="S271" i="6"/>
  <c r="W271" i="6"/>
  <c r="W377" i="6"/>
  <c r="V370" i="6"/>
  <c r="W329" i="6"/>
  <c r="W307" i="6"/>
  <c r="W287" i="6"/>
  <c r="BA369" i="6"/>
  <c r="BA333" i="6"/>
  <c r="Q682" i="6"/>
  <c r="AZ682" i="6" s="1"/>
  <c r="Q672" i="6"/>
  <c r="AZ672" i="6" s="1"/>
  <c r="S654" i="6"/>
  <c r="S647" i="6"/>
  <c r="BA647" i="6" s="1"/>
  <c r="BA627" i="6"/>
  <c r="Q560" i="6"/>
  <c r="Q531" i="6"/>
  <c r="BA483" i="6"/>
  <c r="Q476" i="6"/>
  <c r="AZ476" i="6" s="1"/>
  <c r="Q447" i="6"/>
  <c r="AZ447" i="6" s="1"/>
  <c r="BA432" i="6"/>
  <c r="W668" i="6"/>
  <c r="V574" i="6"/>
  <c r="AZ582" i="6"/>
  <c r="Q373" i="6"/>
  <c r="S368" i="6"/>
  <c r="BA368" i="6" s="1"/>
  <c r="Q364" i="6"/>
  <c r="AZ364" i="6" s="1"/>
  <c r="V364" i="6"/>
  <c r="S361" i="6"/>
  <c r="Q357" i="6"/>
  <c r="AZ357" i="6" s="1"/>
  <c r="S352" i="6"/>
  <c r="BA352" i="6" s="1"/>
  <c r="Q348" i="6"/>
  <c r="AZ348" i="6" s="1"/>
  <c r="V348" i="6"/>
  <c r="S345" i="6"/>
  <c r="Q341" i="6"/>
  <c r="AZ341" i="6" s="1"/>
  <c r="S336" i="6"/>
  <c r="BA336" i="6" s="1"/>
  <c r="Q332" i="6"/>
  <c r="V332" i="6"/>
  <c r="Q325" i="6"/>
  <c r="S320" i="6"/>
  <c r="Q316" i="6"/>
  <c r="AZ316" i="6" s="1"/>
  <c r="V316" i="6"/>
  <c r="S311" i="6"/>
  <c r="BA311" i="6" s="1"/>
  <c r="W311" i="6"/>
  <c r="S308" i="6"/>
  <c r="BA308" i="6" s="1"/>
  <c r="S302" i="6"/>
  <c r="BA302" i="6" s="1"/>
  <c r="W302" i="6"/>
  <c r="S299" i="6"/>
  <c r="S293" i="6"/>
  <c r="W293" i="6"/>
  <c r="S290" i="6"/>
  <c r="BA290" i="6" s="1"/>
  <c r="Q285" i="6"/>
  <c r="AZ285" i="6" s="1"/>
  <c r="S282" i="6"/>
  <c r="W282" i="6"/>
  <c r="S279" i="6"/>
  <c r="BA279" i="6" s="1"/>
  <c r="W279" i="6"/>
  <c r="V376" i="6"/>
  <c r="W369" i="6"/>
  <c r="V360" i="6"/>
  <c r="W348" i="6"/>
  <c r="W328" i="6"/>
  <c r="W316" i="6"/>
  <c r="W306" i="6"/>
  <c r="V287" i="6"/>
  <c r="W275" i="6"/>
  <c r="W265" i="6"/>
  <c r="Q308" i="6"/>
  <c r="AZ308" i="6" s="1"/>
  <c r="V308" i="6"/>
  <c r="Q299" i="6"/>
  <c r="AZ299" i="6" s="1"/>
  <c r="V299" i="6"/>
  <c r="AZ236" i="6"/>
  <c r="AZ636" i="6"/>
  <c r="AZ580" i="6"/>
  <c r="W640" i="6"/>
  <c r="Q322" i="6"/>
  <c r="AZ322" i="6" s="1"/>
  <c r="V322" i="6"/>
  <c r="V273" i="6"/>
  <c r="Q273" i="6"/>
  <c r="V334" i="6"/>
  <c r="AZ664" i="6"/>
  <c r="BA649" i="6"/>
  <c r="S625" i="6"/>
  <c r="BA540" i="6"/>
  <c r="BA496" i="6"/>
  <c r="AZ467" i="6"/>
  <c r="AZ460" i="6"/>
  <c r="V631" i="6"/>
  <c r="V522" i="6"/>
  <c r="V441" i="6"/>
  <c r="S376" i="6"/>
  <c r="BA376" i="6" s="1"/>
  <c r="Q372" i="6"/>
  <c r="AZ372" i="6" s="1"/>
  <c r="V372" i="6"/>
  <c r="Q365" i="6"/>
  <c r="S353" i="6"/>
  <c r="BA353" i="6" s="1"/>
  <c r="Q349" i="6"/>
  <c r="AZ349" i="6" s="1"/>
  <c r="S344" i="6"/>
  <c r="BA344" i="6" s="1"/>
  <c r="Q340" i="6"/>
  <c r="AZ340" i="6" s="1"/>
  <c r="V340" i="6"/>
  <c r="S337" i="6"/>
  <c r="BA337" i="6" s="1"/>
  <c r="Q333" i="6"/>
  <c r="AZ333" i="6" s="1"/>
  <c r="S321" i="6"/>
  <c r="Q317" i="6"/>
  <c r="AZ317" i="6" s="1"/>
  <c r="Q310" i="6"/>
  <c r="AZ310" i="6" s="1"/>
  <c r="V310" i="6"/>
  <c r="Q307" i="6"/>
  <c r="AZ307" i="6" s="1"/>
  <c r="V307" i="6"/>
  <c r="Q301" i="6"/>
  <c r="Q298" i="6"/>
  <c r="AZ298" i="6" s="1"/>
  <c r="V298" i="6"/>
  <c r="S295" i="6"/>
  <c r="BA295" i="6" s="1"/>
  <c r="W295" i="6"/>
  <c r="V281" i="6"/>
  <c r="Q281" i="6"/>
  <c r="AZ281" i="6" s="1"/>
  <c r="S272" i="6"/>
  <c r="BA272" i="6" s="1"/>
  <c r="AZ256" i="6"/>
  <c r="W373" i="6"/>
  <c r="W323" i="6"/>
  <c r="V312" i="6"/>
  <c r="V302" i="6"/>
  <c r="V292" i="6"/>
  <c r="V280" i="6"/>
  <c r="AZ258" i="6"/>
  <c r="AZ549" i="6"/>
  <c r="AZ377" i="6"/>
  <c r="Q336" i="6"/>
  <c r="AZ336" i="6" s="1"/>
  <c r="V336" i="6"/>
  <c r="Q305" i="6"/>
  <c r="AZ305" i="6" s="1"/>
  <c r="V305" i="6"/>
  <c r="W267" i="6"/>
  <c r="S267" i="6"/>
  <c r="BA267" i="6" s="1"/>
  <c r="AZ595" i="6"/>
  <c r="BA500" i="6"/>
  <c r="AZ247" i="6"/>
  <c r="S676" i="6"/>
  <c r="S635" i="6"/>
  <c r="BA635" i="6" s="1"/>
  <c r="BA609" i="6"/>
  <c r="AZ511" i="6"/>
  <c r="BA507" i="6"/>
  <c r="BA503" i="6"/>
  <c r="BA499" i="6"/>
  <c r="BA411" i="6"/>
  <c r="AZ390" i="6"/>
  <c r="S378" i="6"/>
  <c r="BA378" i="6" s="1"/>
  <c r="S371" i="6"/>
  <c r="BA371" i="6" s="1"/>
  <c r="S362" i="6"/>
  <c r="S355" i="6"/>
  <c r="BA355" i="6" s="1"/>
  <c r="S346" i="6"/>
  <c r="S330" i="6"/>
  <c r="BA330" i="6" s="1"/>
  <c r="AZ326" i="6"/>
  <c r="Q319" i="6"/>
  <c r="AZ319" i="6" s="1"/>
  <c r="S312" i="6"/>
  <c r="BA312" i="6" s="1"/>
  <c r="S309" i="6"/>
  <c r="W309" i="6"/>
  <c r="Q304" i="6"/>
  <c r="AZ304" i="6" s="1"/>
  <c r="V304" i="6"/>
  <c r="V295" i="6"/>
  <c r="Q295" i="6"/>
  <c r="Q289" i="6"/>
  <c r="AZ289" i="6" s="1"/>
  <c r="Q286" i="6"/>
  <c r="V286" i="6"/>
  <c r="S280" i="6"/>
  <c r="BA280" i="6" s="1"/>
  <c r="S277" i="6"/>
  <c r="BA277" i="6" s="1"/>
  <c r="Q275" i="6"/>
  <c r="AZ275" i="6" s="1"/>
  <c r="V275" i="6"/>
  <c r="Q269" i="6"/>
  <c r="Q266" i="6"/>
  <c r="V266" i="6"/>
  <c r="V352" i="6"/>
  <c r="W332" i="6"/>
  <c r="Q318" i="6"/>
  <c r="AZ318" i="6" s="1"/>
  <c r="V318" i="6"/>
  <c r="Q282" i="6"/>
  <c r="AZ282" i="6" s="1"/>
  <c r="V282" i="6"/>
  <c r="Q268" i="6"/>
  <c r="AZ268" i="6" s="1"/>
  <c r="V268" i="6"/>
  <c r="BA595" i="6"/>
  <c r="Q290" i="6"/>
  <c r="V290" i="6"/>
  <c r="AZ661" i="6"/>
  <c r="W443" i="6"/>
  <c r="Q354" i="6"/>
  <c r="AZ354" i="6" s="1"/>
  <c r="V354" i="6"/>
  <c r="Q267" i="6"/>
  <c r="AZ267" i="6" s="1"/>
  <c r="V267" i="6"/>
  <c r="V366" i="6"/>
  <c r="BA361" i="6"/>
  <c r="S682" i="6"/>
  <c r="BA682" i="6" s="1"/>
  <c r="S679" i="6"/>
  <c r="BA679" i="6" s="1"/>
  <c r="S669" i="6"/>
  <c r="BA669" i="6" s="1"/>
  <c r="S666" i="6"/>
  <c r="BA666" i="6" s="1"/>
  <c r="AZ645" i="6"/>
  <c r="S641" i="6"/>
  <c r="AZ613" i="6"/>
  <c r="S567" i="6"/>
  <c r="BA567" i="6" s="1"/>
  <c r="Q543" i="6"/>
  <c r="AZ543" i="6" s="1"/>
  <c r="AZ507" i="6"/>
  <c r="AZ503" i="6"/>
  <c r="BA495" i="6"/>
  <c r="S455" i="6"/>
  <c r="BA455" i="6" s="1"/>
  <c r="AZ408" i="6"/>
  <c r="W678" i="6"/>
  <c r="W603" i="6"/>
  <c r="Q369" i="6"/>
  <c r="AZ369" i="6" s="1"/>
  <c r="S364" i="6"/>
  <c r="BA364" i="6" s="1"/>
  <c r="S357" i="6"/>
  <c r="Q353" i="6"/>
  <c r="AZ353" i="6" s="1"/>
  <c r="S341" i="6"/>
  <c r="Q337" i="6"/>
  <c r="Q328" i="6"/>
  <c r="V328" i="6"/>
  <c r="S325" i="6"/>
  <c r="BA325" i="6" s="1"/>
  <c r="Q321" i="6"/>
  <c r="AZ321" i="6" s="1"/>
  <c r="Q309" i="6"/>
  <c r="S303" i="6"/>
  <c r="BA303" i="6" s="1"/>
  <c r="W303" i="6"/>
  <c r="S300" i="6"/>
  <c r="BA300" i="6" s="1"/>
  <c r="W300" i="6"/>
  <c r="S294" i="6"/>
  <c r="BA294" i="6" s="1"/>
  <c r="W294" i="6"/>
  <c r="S291" i="6"/>
  <c r="W291" i="6"/>
  <c r="S285" i="6"/>
  <c r="BA285" i="6" s="1"/>
  <c r="Q272" i="6"/>
  <c r="AZ272" i="6" s="1"/>
  <c r="V272" i="6"/>
  <c r="AZ243" i="6"/>
  <c r="V342" i="6"/>
  <c r="V320" i="6"/>
  <c r="W310" i="6"/>
  <c r="W298" i="6"/>
  <c r="V288" i="6"/>
  <c r="BA386" i="6"/>
  <c r="AZ384" i="6"/>
  <c r="AZ309" i="6"/>
  <c r="BA305" i="6"/>
  <c r="AZ302" i="6"/>
  <c r="BA315" i="6"/>
  <c r="BA309" i="6"/>
  <c r="BA342" i="6"/>
  <c r="BA329" i="6"/>
  <c r="BA323" i="6"/>
  <c r="BA317" i="6"/>
  <c r="BA275" i="6"/>
  <c r="BA269" i="6"/>
  <c r="BA377" i="6"/>
  <c r="BA374" i="6"/>
  <c r="AZ367" i="6"/>
  <c r="BA357" i="6"/>
  <c r="BA354" i="6"/>
  <c r="BA351" i="6"/>
  <c r="BA338" i="6"/>
  <c r="AZ332" i="6"/>
  <c r="AZ276" i="6"/>
  <c r="V284" i="6"/>
  <c r="BA339" i="6"/>
  <c r="BA326" i="6"/>
  <c r="AZ293" i="6"/>
  <c r="W286" i="6"/>
  <c r="AZ382" i="6"/>
  <c r="BA350" i="6"/>
  <c r="BA347" i="6"/>
  <c r="AZ344" i="6"/>
  <c r="BA297" i="6"/>
  <c r="AZ294" i="6"/>
  <c r="BA281" i="6"/>
  <c r="BA381" i="6"/>
  <c r="BA362" i="6"/>
  <c r="BA356" i="6"/>
  <c r="BA249" i="6"/>
  <c r="BA246" i="6"/>
  <c r="AZ237" i="6"/>
  <c r="V276" i="6"/>
  <c r="BA384" i="6"/>
  <c r="AZ365" i="6"/>
  <c r="BA349" i="6"/>
  <c r="AZ337" i="6"/>
  <c r="AZ375" i="6"/>
  <c r="AZ370" i="6"/>
  <c r="AZ362" i="6"/>
  <c r="AZ345" i="6"/>
  <c r="AZ342" i="6"/>
  <c r="AZ313" i="6"/>
  <c r="BA298" i="6"/>
  <c r="AZ279" i="6"/>
  <c r="AZ265" i="6"/>
  <c r="BA261" i="6"/>
  <c r="AZ255" i="6"/>
  <c r="AZ246" i="6"/>
  <c r="AZ240" i="6"/>
  <c r="BA236" i="6"/>
  <c r="BA360" i="6"/>
  <c r="BA343" i="6"/>
  <c r="BA334" i="6"/>
  <c r="AZ328" i="6"/>
  <c r="AZ386" i="6"/>
  <c r="AZ363" i="6"/>
  <c r="BA346" i="6"/>
  <c r="AZ334" i="6"/>
  <c r="AZ303" i="6"/>
  <c r="AZ290" i="6"/>
  <c r="BA274" i="6"/>
  <c r="AZ269" i="6"/>
  <c r="AZ381" i="6"/>
  <c r="AZ355" i="6"/>
  <c r="AZ331" i="6"/>
  <c r="AZ325" i="6"/>
  <c r="BA313" i="6"/>
  <c r="BA237" i="6"/>
  <c r="BA385" i="6"/>
  <c r="AZ376" i="6"/>
  <c r="BA373" i="6"/>
  <c r="AZ352" i="6"/>
  <c r="BA322" i="6"/>
  <c r="BA301" i="6"/>
  <c r="BA287" i="6"/>
  <c r="BA257" i="6"/>
  <c r="AZ254" i="6"/>
  <c r="AZ242" i="6"/>
  <c r="AZ239" i="6"/>
  <c r="BA235" i="6"/>
  <c r="BA382" i="6"/>
  <c r="AZ380" i="6"/>
  <c r="AZ373" i="6"/>
  <c r="BA370" i="6"/>
  <c r="AZ366" i="6"/>
  <c r="BA358" i="6"/>
  <c r="AZ351" i="6"/>
  <c r="BA335" i="6"/>
  <c r="BA327" i="6"/>
  <c r="AZ314" i="6"/>
  <c r="AZ295" i="6"/>
  <c r="BA286" i="6"/>
  <c r="AZ277" i="6"/>
  <c r="AZ274" i="6"/>
  <c r="BA262" i="6"/>
  <c r="AZ257" i="6"/>
  <c r="BA247" i="6"/>
  <c r="BA244" i="6"/>
  <c r="BA241" i="6"/>
  <c r="BA345" i="6"/>
  <c r="BA321" i="6"/>
  <c r="AZ311" i="6"/>
  <c r="BA289" i="6"/>
  <c r="AZ286" i="6"/>
  <c r="BA265" i="6"/>
  <c r="AZ253" i="6"/>
  <c r="AZ250" i="6"/>
  <c r="AZ383" i="6"/>
  <c r="BA380" i="6"/>
  <c r="AZ371" i="6"/>
  <c r="BA341" i="6"/>
  <c r="BA324" i="6"/>
  <c r="BA319" i="6"/>
  <c r="BA314" i="6"/>
  <c r="BA307" i="6"/>
  <c r="BA304" i="6"/>
  <c r="AZ297" i="6"/>
  <c r="BA266" i="6"/>
  <c r="AZ261" i="6"/>
  <c r="BA259" i="6"/>
  <c r="BA248" i="6"/>
  <c r="AZ238" i="6"/>
  <c r="BA296" i="6"/>
  <c r="BA293" i="6"/>
  <c r="AZ278" i="6"/>
  <c r="BA273" i="6"/>
  <c r="AZ271" i="6"/>
  <c r="AZ266" i="6"/>
  <c r="BA253" i="6"/>
  <c r="BA251" i="6"/>
  <c r="AZ248" i="6"/>
  <c r="BA243" i="6"/>
  <c r="BA328" i="6"/>
  <c r="BA318" i="6"/>
  <c r="BA306" i="6"/>
  <c r="AZ301" i="6"/>
  <c r="BA291" i="6"/>
  <c r="BA288" i="6"/>
  <c r="BA270" i="6"/>
  <c r="BA258" i="6"/>
  <c r="BA283" i="6"/>
  <c r="AZ270" i="6"/>
  <c r="AZ263" i="6"/>
  <c r="BA250" i="6"/>
  <c r="BA320" i="6"/>
  <c r="BA310" i="6"/>
  <c r="BA299" i="6"/>
  <c r="AZ287" i="6"/>
  <c r="BA282" i="6"/>
  <c r="AZ273" i="6"/>
  <c r="BA263" i="6"/>
  <c r="BA256" i="6"/>
  <c r="AZ235" i="6"/>
  <c r="BA271" i="6"/>
  <c r="BA264" i="6"/>
  <c r="BA254" i="6"/>
  <c r="AZ577" i="6"/>
  <c r="Q586" i="6"/>
  <c r="AZ586" i="6" s="1"/>
  <c r="V586" i="6"/>
  <c r="W431" i="6"/>
  <c r="S431" i="6"/>
  <c r="BA431" i="6" s="1"/>
  <c r="BA425" i="6"/>
  <c r="W604" i="6"/>
  <c r="V577" i="6"/>
  <c r="S685" i="6"/>
  <c r="BA685" i="6" s="1"/>
  <c r="Q658" i="6"/>
  <c r="AZ658" i="6" s="1"/>
  <c r="Q642" i="6"/>
  <c r="AZ642" i="6" s="1"/>
  <c r="Q624" i="6"/>
  <c r="AZ609" i="6"/>
  <c r="BA601" i="6"/>
  <c r="S594" i="6"/>
  <c r="BA594" i="6" s="1"/>
  <c r="W594" i="6"/>
  <c r="Q571" i="6"/>
  <c r="AZ571" i="6" s="1"/>
  <c r="S543" i="6"/>
  <c r="BA543" i="6" s="1"/>
  <c r="BA537" i="6"/>
  <c r="Q519" i="6"/>
  <c r="AZ519" i="6" s="1"/>
  <c r="Q516" i="6"/>
  <c r="AZ516" i="6" s="1"/>
  <c r="S479" i="6"/>
  <c r="BA479" i="6" s="1"/>
  <c r="S467" i="6"/>
  <c r="BA467" i="6" s="1"/>
  <c r="Q458" i="6"/>
  <c r="V458" i="6"/>
  <c r="V638" i="6"/>
  <c r="W576" i="6"/>
  <c r="W427" i="6"/>
  <c r="S596" i="6"/>
  <c r="BA596" i="6" s="1"/>
  <c r="Q567" i="6"/>
  <c r="Q564" i="6"/>
  <c r="AZ564" i="6" s="1"/>
  <c r="S555" i="6"/>
  <c r="BA555" i="6" s="1"/>
  <c r="BA549" i="6"/>
  <c r="BA539" i="6"/>
  <c r="S523" i="6"/>
  <c r="BA523" i="6" s="1"/>
  <c r="Q512" i="6"/>
  <c r="AZ499" i="6"/>
  <c r="S475" i="6"/>
  <c r="BA475" i="6" s="1"/>
  <c r="BA472" i="6"/>
  <c r="AZ389" i="6"/>
  <c r="W627" i="6"/>
  <c r="V595" i="6"/>
  <c r="V558" i="6"/>
  <c r="V475" i="6"/>
  <c r="S530" i="6"/>
  <c r="BA530" i="6" s="1"/>
  <c r="W530" i="6"/>
  <c r="BA654" i="6"/>
  <c r="BA637" i="6"/>
  <c r="S656" i="6"/>
  <c r="BA656" i="6" s="1"/>
  <c r="S628" i="6"/>
  <c r="BA628" i="6" s="1"/>
  <c r="S610" i="6"/>
  <c r="BA610" i="6" s="1"/>
  <c r="BA592" i="6"/>
  <c r="Q572" i="6"/>
  <c r="AZ572" i="6" s="1"/>
  <c r="Q561" i="6"/>
  <c r="AZ561" i="6" s="1"/>
  <c r="BA558" i="6"/>
  <c r="Q532" i="6"/>
  <c r="AZ532" i="6" s="1"/>
  <c r="Q529" i="6"/>
  <c r="AZ529" i="6" s="1"/>
  <c r="Q520" i="6"/>
  <c r="AZ520" i="6" s="1"/>
  <c r="S517" i="6"/>
  <c r="BA517" i="6" s="1"/>
  <c r="Q515" i="6"/>
  <c r="AZ515" i="6" s="1"/>
  <c r="Q463" i="6"/>
  <c r="AZ463" i="6" s="1"/>
  <c r="V463" i="6"/>
  <c r="Q430" i="6"/>
  <c r="V622" i="6"/>
  <c r="W585" i="6"/>
  <c r="W514" i="6"/>
  <c r="W474" i="6"/>
  <c r="BA434" i="6"/>
  <c r="V597" i="6"/>
  <c r="S686" i="6"/>
  <c r="BA686" i="6" s="1"/>
  <c r="Q674" i="6"/>
  <c r="AZ674" i="6" s="1"/>
  <c r="Q668" i="6"/>
  <c r="AZ668" i="6" s="1"/>
  <c r="Q650" i="6"/>
  <c r="AZ650" i="6" s="1"/>
  <c r="Q647" i="6"/>
  <c r="V647" i="6"/>
  <c r="AZ637" i="6"/>
  <c r="Q634" i="6"/>
  <c r="AZ634" i="6" s="1"/>
  <c r="S630" i="6"/>
  <c r="BA630" i="6" s="1"/>
  <c r="Q615" i="6"/>
  <c r="AZ615" i="6" s="1"/>
  <c r="V615" i="6"/>
  <c r="S602" i="6"/>
  <c r="BA602" i="6" s="1"/>
  <c r="Q584" i="6"/>
  <c r="AZ584" i="6" s="1"/>
  <c r="S581" i="6"/>
  <c r="BA581" i="6" s="1"/>
  <c r="Q575" i="6"/>
  <c r="S563" i="6"/>
  <c r="BA563" i="6" s="1"/>
  <c r="Q555" i="6"/>
  <c r="AZ555" i="6" s="1"/>
  <c r="S551" i="6"/>
  <c r="BA544" i="6"/>
  <c r="Q535" i="6"/>
  <c r="AZ535" i="6" s="1"/>
  <c r="Q523" i="6"/>
  <c r="AZ523" i="6" s="1"/>
  <c r="S511" i="6"/>
  <c r="BA511" i="6" s="1"/>
  <c r="S471" i="6"/>
  <c r="BA471" i="6" s="1"/>
  <c r="Q456" i="6"/>
  <c r="AZ456" i="6" s="1"/>
  <c r="Q453" i="6"/>
  <c r="AZ453" i="6" s="1"/>
  <c r="Q446" i="6"/>
  <c r="AZ446" i="6" s="1"/>
  <c r="Q443" i="6"/>
  <c r="AZ443" i="6" s="1"/>
  <c r="Q433" i="6"/>
  <c r="AZ433" i="6" s="1"/>
  <c r="BA416" i="6"/>
  <c r="V655" i="6"/>
  <c r="V542" i="6"/>
  <c r="V466" i="6"/>
  <c r="W433" i="6"/>
  <c r="W632" i="6"/>
  <c r="BA515" i="6"/>
  <c r="AZ414" i="6"/>
  <c r="W521" i="6"/>
  <c r="Q677" i="6"/>
  <c r="AZ677" i="6" s="1"/>
  <c r="V677" i="6"/>
  <c r="Q656" i="6"/>
  <c r="AZ656" i="6" s="1"/>
  <c r="S624" i="6"/>
  <c r="BA624" i="6" s="1"/>
  <c r="S571" i="6"/>
  <c r="BA571" i="6" s="1"/>
  <c r="S560" i="6"/>
  <c r="BA560" i="6" s="1"/>
  <c r="W560" i="6"/>
  <c r="Q544" i="6"/>
  <c r="AZ544" i="6" s="1"/>
  <c r="Q538" i="6"/>
  <c r="AZ538" i="6" s="1"/>
  <c r="S519" i="6"/>
  <c r="BA519" i="6" s="1"/>
  <c r="BA504" i="6"/>
  <c r="Q480" i="6"/>
  <c r="AZ480" i="6" s="1"/>
  <c r="Q468" i="6"/>
  <c r="AZ468" i="6" s="1"/>
  <c r="S465" i="6"/>
  <c r="BA465" i="6" s="1"/>
  <c r="W465" i="6"/>
  <c r="Q462" i="6"/>
  <c r="AZ462" i="6" s="1"/>
  <c r="AZ449" i="6"/>
  <c r="Q436" i="6"/>
  <c r="AZ436" i="6" s="1"/>
  <c r="W649" i="6"/>
  <c r="V613" i="6"/>
  <c r="W578" i="6"/>
  <c r="W539" i="6"/>
  <c r="V449" i="6"/>
  <c r="AZ392" i="6"/>
  <c r="AZ486" i="6"/>
  <c r="BA414" i="6"/>
  <c r="AZ420" i="6"/>
  <c r="S680" i="6"/>
  <c r="BA680" i="6" s="1"/>
  <c r="W680" i="6"/>
  <c r="Q675" i="6"/>
  <c r="AZ675" i="6" s="1"/>
  <c r="V675" i="6"/>
  <c r="S623" i="6"/>
  <c r="BA623" i="6" s="1"/>
  <c r="W623" i="6"/>
  <c r="Q617" i="6"/>
  <c r="AZ617" i="6" s="1"/>
  <c r="V617" i="6"/>
  <c r="Q607" i="6"/>
  <c r="AZ607" i="6" s="1"/>
  <c r="V607" i="6"/>
  <c r="Q603" i="6"/>
  <c r="AZ603" i="6" s="1"/>
  <c r="V603" i="6"/>
  <c r="Q600" i="6"/>
  <c r="AZ600" i="6" s="1"/>
  <c r="V600" i="6"/>
  <c r="S593" i="6"/>
  <c r="BA593" i="6" s="1"/>
  <c r="W593" i="6"/>
  <c r="S589" i="6"/>
  <c r="BA589" i="6" s="1"/>
  <c r="W589" i="6"/>
  <c r="Q578" i="6"/>
  <c r="AZ578" i="6" s="1"/>
  <c r="V578" i="6"/>
  <c r="S561" i="6"/>
  <c r="BA561" i="6" s="1"/>
  <c r="W561" i="6"/>
  <c r="S552" i="6"/>
  <c r="BA552" i="6" s="1"/>
  <c r="W552" i="6"/>
  <c r="S510" i="6"/>
  <c r="BA510" i="6" s="1"/>
  <c r="W510" i="6"/>
  <c r="S473" i="6"/>
  <c r="BA473" i="6" s="1"/>
  <c r="W473" i="6"/>
  <c r="S464" i="6"/>
  <c r="BA464" i="6" s="1"/>
  <c r="W464" i="6"/>
  <c r="S444" i="6"/>
  <c r="W444" i="6"/>
  <c r="W549" i="6"/>
  <c r="Q680" i="6"/>
  <c r="AZ680" i="6" s="1"/>
  <c r="V680" i="6"/>
  <c r="Q593" i="6"/>
  <c r="AZ593" i="6" s="1"/>
  <c r="V593" i="6"/>
  <c r="S580" i="6"/>
  <c r="BA580" i="6" s="1"/>
  <c r="W580" i="6"/>
  <c r="Q552" i="6"/>
  <c r="AZ552" i="6" s="1"/>
  <c r="V552" i="6"/>
  <c r="S450" i="6"/>
  <c r="BA450" i="6" s="1"/>
  <c r="W450" i="6"/>
  <c r="S655" i="6"/>
  <c r="BA655" i="6" s="1"/>
  <c r="W655" i="6"/>
  <c r="Q610" i="6"/>
  <c r="V610" i="6"/>
  <c r="Q596" i="6"/>
  <c r="AZ596" i="6" s="1"/>
  <c r="V596" i="6"/>
  <c r="AZ583" i="6"/>
  <c r="Q569" i="6"/>
  <c r="AZ569" i="6" s="1"/>
  <c r="V569" i="6"/>
  <c r="S548" i="6"/>
  <c r="BA548" i="6" s="1"/>
  <c r="W548" i="6"/>
  <c r="AZ438" i="6"/>
  <c r="S429" i="6"/>
  <c r="BA429" i="6" s="1"/>
  <c r="W429" i="6"/>
  <c r="Q676" i="6"/>
  <c r="AZ676" i="6" s="1"/>
  <c r="V676" i="6"/>
  <c r="S648" i="6"/>
  <c r="BA648" i="6" s="1"/>
  <c r="W648" i="6"/>
  <c r="Q643" i="6"/>
  <c r="AZ643" i="6" s="1"/>
  <c r="V643" i="6"/>
  <c r="Q635" i="6"/>
  <c r="AZ635" i="6" s="1"/>
  <c r="V635" i="6"/>
  <c r="Q632" i="6"/>
  <c r="AZ632" i="6" s="1"/>
  <c r="V632" i="6"/>
  <c r="S611" i="6"/>
  <c r="BA611" i="6" s="1"/>
  <c r="W611" i="6"/>
  <c r="Q608" i="6"/>
  <c r="AZ608" i="6" s="1"/>
  <c r="V608" i="6"/>
  <c r="Q604" i="6"/>
  <c r="AZ604" i="6" s="1"/>
  <c r="V604" i="6"/>
  <c r="S597" i="6"/>
  <c r="BA597" i="6" s="1"/>
  <c r="W597" i="6"/>
  <c r="S570" i="6"/>
  <c r="BA570" i="6" s="1"/>
  <c r="W570" i="6"/>
  <c r="S550" i="6"/>
  <c r="W550" i="6"/>
  <c r="S541" i="6"/>
  <c r="BA541" i="6" s="1"/>
  <c r="W541" i="6"/>
  <c r="Q448" i="6"/>
  <c r="AZ448" i="6" s="1"/>
  <c r="V448" i="6"/>
  <c r="S445" i="6"/>
  <c r="BA445" i="6" s="1"/>
  <c r="W445" i="6"/>
  <c r="S442" i="6"/>
  <c r="W442" i="6"/>
  <c r="Q431" i="6"/>
  <c r="AZ431" i="6" s="1"/>
  <c r="V431" i="6"/>
  <c r="W681" i="6"/>
  <c r="W672" i="6"/>
  <c r="W659" i="6"/>
  <c r="V623" i="6"/>
  <c r="V606" i="6"/>
  <c r="W587" i="6"/>
  <c r="W569" i="6"/>
  <c r="V477" i="6"/>
  <c r="W435" i="6"/>
  <c r="S683" i="6"/>
  <c r="Q678" i="6"/>
  <c r="AZ678" i="6" s="1"/>
  <c r="S675" i="6"/>
  <c r="BA675" i="6" s="1"/>
  <c r="W675" i="6"/>
  <c r="Q670" i="6"/>
  <c r="AZ670" i="6" s="1"/>
  <c r="V670" i="6"/>
  <c r="S653" i="6"/>
  <c r="BA653" i="6" s="1"/>
  <c r="Q651" i="6"/>
  <c r="AZ651" i="6" s="1"/>
  <c r="V651" i="6"/>
  <c r="Q648" i="6"/>
  <c r="AZ648" i="6" s="1"/>
  <c r="V648" i="6"/>
  <c r="S645" i="6"/>
  <c r="BA645" i="6" s="1"/>
  <c r="Q640" i="6"/>
  <c r="AZ640" i="6" s="1"/>
  <c r="S634" i="6"/>
  <c r="BA634" i="6" s="1"/>
  <c r="S631" i="6"/>
  <c r="BA631" i="6" s="1"/>
  <c r="Q626" i="6"/>
  <c r="AZ626" i="6" s="1"/>
  <c r="Q621" i="6"/>
  <c r="AZ621" i="6" s="1"/>
  <c r="V621" i="6"/>
  <c r="Q611" i="6"/>
  <c r="AZ611" i="6" s="1"/>
  <c r="V611" i="6"/>
  <c r="S607" i="6"/>
  <c r="BA607" i="6" s="1"/>
  <c r="W607" i="6"/>
  <c r="AZ597" i="6"/>
  <c r="Q594" i="6"/>
  <c r="AZ594" i="6" s="1"/>
  <c r="V594" i="6"/>
  <c r="Q587" i="6"/>
  <c r="AZ587" i="6" s="1"/>
  <c r="S575" i="6"/>
  <c r="BA575" i="6" s="1"/>
  <c r="Q570" i="6"/>
  <c r="S564" i="6"/>
  <c r="BA564" i="6" s="1"/>
  <c r="W564" i="6"/>
  <c r="Q562" i="6"/>
  <c r="AZ562" i="6" s="1"/>
  <c r="V562" i="6"/>
  <c r="Q553" i="6"/>
  <c r="V553" i="6"/>
  <c r="Q547" i="6"/>
  <c r="AZ547" i="6" s="1"/>
  <c r="S538" i="6"/>
  <c r="BA538" i="6" s="1"/>
  <c r="W538" i="6"/>
  <c r="S535" i="6"/>
  <c r="BA535" i="6" s="1"/>
  <c r="Q530" i="6"/>
  <c r="AZ530" i="6" s="1"/>
  <c r="V530" i="6"/>
  <c r="Q513" i="6"/>
  <c r="S476" i="6"/>
  <c r="BA476" i="6" s="1"/>
  <c r="W476" i="6"/>
  <c r="Q474" i="6"/>
  <c r="AZ474" i="6" s="1"/>
  <c r="V474" i="6"/>
  <c r="Q465" i="6"/>
  <c r="AZ465" i="6" s="1"/>
  <c r="V465" i="6"/>
  <c r="S462" i="6"/>
  <c r="BA462" i="6" s="1"/>
  <c r="W462" i="6"/>
  <c r="S456" i="6"/>
  <c r="BA456" i="6" s="1"/>
  <c r="W456" i="6"/>
  <c r="S453" i="6"/>
  <c r="BA453" i="6" s="1"/>
  <c r="W453" i="6"/>
  <c r="S447" i="6"/>
  <c r="BA447" i="6" s="1"/>
  <c r="Q445" i="6"/>
  <c r="AZ445" i="6" s="1"/>
  <c r="V445" i="6"/>
  <c r="Q442" i="6"/>
  <c r="AZ442" i="6" s="1"/>
  <c r="S430" i="6"/>
  <c r="BA430" i="6" s="1"/>
  <c r="W430" i="6"/>
  <c r="AZ422" i="6"/>
  <c r="V681" i="6"/>
  <c r="W671" i="6"/>
  <c r="V659" i="6"/>
  <c r="V641" i="6"/>
  <c r="V614" i="6"/>
  <c r="V605" i="6"/>
  <c r="W595" i="6"/>
  <c r="W586" i="6"/>
  <c r="W577" i="6"/>
  <c r="W568" i="6"/>
  <c r="V559" i="6"/>
  <c r="V550" i="6"/>
  <c r="V541" i="6"/>
  <c r="W531" i="6"/>
  <c r="W522" i="6"/>
  <c r="W513" i="6"/>
  <c r="W466" i="6"/>
  <c r="W452" i="6"/>
  <c r="BA402" i="6"/>
  <c r="BA395" i="6"/>
  <c r="S532" i="6"/>
  <c r="BA532" i="6" s="1"/>
  <c r="W532" i="6"/>
  <c r="Q521" i="6"/>
  <c r="AZ521" i="6" s="1"/>
  <c r="V521" i="6"/>
  <c r="Q439" i="6"/>
  <c r="AZ439" i="6" s="1"/>
  <c r="V439" i="6"/>
  <c r="W658" i="6"/>
  <c r="W540" i="6"/>
  <c r="Q620" i="6"/>
  <c r="AZ620" i="6" s="1"/>
  <c r="V620" i="6"/>
  <c r="S606" i="6"/>
  <c r="BA606" i="6" s="1"/>
  <c r="W606" i="6"/>
  <c r="S520" i="6"/>
  <c r="BA520" i="6" s="1"/>
  <c r="W520" i="6"/>
  <c r="Q473" i="6"/>
  <c r="AZ473" i="6" s="1"/>
  <c r="V473" i="6"/>
  <c r="S438" i="6"/>
  <c r="W438" i="6"/>
  <c r="AZ493" i="6"/>
  <c r="Q669" i="6"/>
  <c r="AZ669" i="6" s="1"/>
  <c r="V669" i="6"/>
  <c r="Q639" i="6"/>
  <c r="AZ639" i="6" s="1"/>
  <c r="V639" i="6"/>
  <c r="S566" i="6"/>
  <c r="BA566" i="6" s="1"/>
  <c r="W566" i="6"/>
  <c r="Q450" i="6"/>
  <c r="AZ450" i="6" s="1"/>
  <c r="V450" i="6"/>
  <c r="BA435" i="6"/>
  <c r="V646" i="6"/>
  <c r="W592" i="6"/>
  <c r="W546" i="6"/>
  <c r="Q685" i="6"/>
  <c r="AZ685" i="6" s="1"/>
  <c r="V685" i="6"/>
  <c r="Q666" i="6"/>
  <c r="AZ666" i="6" s="1"/>
  <c r="S660" i="6"/>
  <c r="BA660" i="6" s="1"/>
  <c r="S657" i="6"/>
  <c r="Q652" i="6"/>
  <c r="AZ652" i="6" s="1"/>
  <c r="S646" i="6"/>
  <c r="BA646" i="6" s="1"/>
  <c r="S638" i="6"/>
  <c r="BA638" i="6" s="1"/>
  <c r="Q628" i="6"/>
  <c r="AZ628" i="6" s="1"/>
  <c r="V628" i="6"/>
  <c r="Q625" i="6"/>
  <c r="AZ625" i="6" s="1"/>
  <c r="V625" i="6"/>
  <c r="Q619" i="6"/>
  <c r="AZ619" i="6" s="1"/>
  <c r="V619" i="6"/>
  <c r="Q616" i="6"/>
  <c r="AZ616" i="6" s="1"/>
  <c r="V616" i="6"/>
  <c r="S612" i="6"/>
  <c r="BA612" i="6" s="1"/>
  <c r="S605" i="6"/>
  <c r="W605" i="6"/>
  <c r="Q602" i="6"/>
  <c r="AZ602" i="6" s="1"/>
  <c r="V602" i="6"/>
  <c r="S598" i="6"/>
  <c r="BA598" i="6" s="1"/>
  <c r="Q592" i="6"/>
  <c r="AZ592" i="6" s="1"/>
  <c r="V592" i="6"/>
  <c r="Q588" i="6"/>
  <c r="AZ588" i="6" s="1"/>
  <c r="S574" i="6"/>
  <c r="W574" i="6"/>
  <c r="BA568" i="6"/>
  <c r="Q566" i="6"/>
  <c r="V566" i="6"/>
  <c r="S557" i="6"/>
  <c r="BA557" i="6" s="1"/>
  <c r="W557" i="6"/>
  <c r="Q548" i="6"/>
  <c r="AZ548" i="6" s="1"/>
  <c r="Q537" i="6"/>
  <c r="V537" i="6"/>
  <c r="S534" i="6"/>
  <c r="BA534" i="6" s="1"/>
  <c r="W534" i="6"/>
  <c r="S525" i="6"/>
  <c r="BA525" i="6" s="1"/>
  <c r="W525" i="6"/>
  <c r="BA480" i="6"/>
  <c r="Q478" i="6"/>
  <c r="AZ478" i="6" s="1"/>
  <c r="Q472" i="6"/>
  <c r="V472" i="6"/>
  <c r="Q469" i="6"/>
  <c r="AZ469" i="6" s="1"/>
  <c r="S463" i="6"/>
  <c r="BA463" i="6" s="1"/>
  <c r="AZ461" i="6"/>
  <c r="Q452" i="6"/>
  <c r="AZ452" i="6" s="1"/>
  <c r="S449" i="6"/>
  <c r="W449" i="6"/>
  <c r="S446" i="6"/>
  <c r="BA446" i="6" s="1"/>
  <c r="W446" i="6"/>
  <c r="S437" i="6"/>
  <c r="BA437" i="6" s="1"/>
  <c r="Q435" i="6"/>
  <c r="AZ435" i="6" s="1"/>
  <c r="V667" i="6"/>
  <c r="W636" i="6"/>
  <c r="V627" i="6"/>
  <c r="V618" i="6"/>
  <c r="W609" i="6"/>
  <c r="V591" i="6"/>
  <c r="V582" i="6"/>
  <c r="V573" i="6"/>
  <c r="W554" i="6"/>
  <c r="W545" i="6"/>
  <c r="W536" i="6"/>
  <c r="V527" i="6"/>
  <c r="V518" i="6"/>
  <c r="V509" i="6"/>
  <c r="W480" i="6"/>
  <c r="V438" i="6"/>
  <c r="BA650" i="6"/>
  <c r="AZ599" i="6"/>
  <c r="BA497" i="6"/>
  <c r="S674" i="6"/>
  <c r="BA674" i="6" s="1"/>
  <c r="W674" i="6"/>
  <c r="Q653" i="6"/>
  <c r="AZ653" i="6" s="1"/>
  <c r="V653" i="6"/>
  <c r="Q589" i="6"/>
  <c r="AZ589" i="6" s="1"/>
  <c r="V589" i="6"/>
  <c r="V629" i="6"/>
  <c r="V549" i="6"/>
  <c r="W512" i="6"/>
  <c r="S588" i="6"/>
  <c r="BA588" i="6" s="1"/>
  <c r="W588" i="6"/>
  <c r="S509" i="6"/>
  <c r="BA509" i="6" s="1"/>
  <c r="W509" i="6"/>
  <c r="S478" i="6"/>
  <c r="BA478" i="6" s="1"/>
  <c r="W478" i="6"/>
  <c r="S469" i="6"/>
  <c r="W469" i="6"/>
  <c r="S458" i="6"/>
  <c r="BA458" i="6" s="1"/>
  <c r="W458" i="6"/>
  <c r="V686" i="6"/>
  <c r="V510" i="6"/>
  <c r="AZ512" i="6"/>
  <c r="S684" i="6"/>
  <c r="BA684" i="6" s="1"/>
  <c r="W684" i="6"/>
  <c r="Q644" i="6"/>
  <c r="AZ644" i="6" s="1"/>
  <c r="V644" i="6"/>
  <c r="Q633" i="6"/>
  <c r="AZ633" i="6" s="1"/>
  <c r="V633" i="6"/>
  <c r="S591" i="6"/>
  <c r="BA591" i="6" s="1"/>
  <c r="W591" i="6"/>
  <c r="Q585" i="6"/>
  <c r="AZ585" i="6" s="1"/>
  <c r="V585" i="6"/>
  <c r="S582" i="6"/>
  <c r="BA582" i="6" s="1"/>
  <c r="W582" i="6"/>
  <c r="S579" i="6"/>
  <c r="BA579" i="6" s="1"/>
  <c r="W579" i="6"/>
  <c r="BA565" i="6"/>
  <c r="Q557" i="6"/>
  <c r="AZ557" i="6" s="1"/>
  <c r="V557" i="6"/>
  <c r="S542" i="6"/>
  <c r="W542" i="6"/>
  <c r="BA536" i="6"/>
  <c r="Q534" i="6"/>
  <c r="AZ534" i="6" s="1"/>
  <c r="V534" i="6"/>
  <c r="AZ531" i="6"/>
  <c r="Q525" i="6"/>
  <c r="AZ525" i="6" s="1"/>
  <c r="V525" i="6"/>
  <c r="AZ483" i="6"/>
  <c r="AZ475" i="6"/>
  <c r="BA457" i="6"/>
  <c r="Q455" i="6"/>
  <c r="AZ455" i="6" s="1"/>
  <c r="V455" i="6"/>
  <c r="S440" i="6"/>
  <c r="BA440" i="6" s="1"/>
  <c r="W440" i="6"/>
  <c r="S428" i="6"/>
  <c r="W428" i="6"/>
  <c r="AZ400" i="6"/>
  <c r="V683" i="6"/>
  <c r="V654" i="6"/>
  <c r="V645" i="6"/>
  <c r="W626" i="6"/>
  <c r="V609" i="6"/>
  <c r="W599" i="6"/>
  <c r="W590" i="6"/>
  <c r="W572" i="6"/>
  <c r="V554" i="6"/>
  <c r="V545" i="6"/>
  <c r="W526" i="6"/>
  <c r="W508" i="6"/>
  <c r="W470" i="6"/>
  <c r="V457" i="6"/>
  <c r="V437" i="6"/>
  <c r="AZ614" i="6"/>
  <c r="S529" i="6"/>
  <c r="BA529" i="6" s="1"/>
  <c r="W529" i="6"/>
  <c r="S518" i="6"/>
  <c r="W518" i="6"/>
  <c r="S639" i="6"/>
  <c r="BA639" i="6" s="1"/>
  <c r="W639" i="6"/>
  <c r="S652" i="6"/>
  <c r="BA652" i="6" s="1"/>
  <c r="W652" i="6"/>
  <c r="Q546" i="6"/>
  <c r="AZ546" i="6" s="1"/>
  <c r="V546" i="6"/>
  <c r="V637" i="6"/>
  <c r="V565" i="6"/>
  <c r="W537" i="6"/>
  <c r="W472" i="6"/>
  <c r="Q679" i="6"/>
  <c r="AZ679" i="6" s="1"/>
  <c r="V679" i="6"/>
  <c r="Q671" i="6"/>
  <c r="AZ671" i="6" s="1"/>
  <c r="V671" i="6"/>
  <c r="Q684" i="6"/>
  <c r="AZ684" i="6" s="1"/>
  <c r="S670" i="6"/>
  <c r="BA670" i="6" s="1"/>
  <c r="Q660" i="6"/>
  <c r="AZ660" i="6" s="1"/>
  <c r="V660" i="6"/>
  <c r="Q657" i="6"/>
  <c r="AZ657" i="6" s="1"/>
  <c r="V657" i="6"/>
  <c r="S651" i="6"/>
  <c r="BA651" i="6" s="1"/>
  <c r="Q649" i="6"/>
  <c r="AZ649" i="6" s="1"/>
  <c r="V649" i="6"/>
  <c r="S643" i="6"/>
  <c r="BA643" i="6" s="1"/>
  <c r="W643" i="6"/>
  <c r="Q612" i="6"/>
  <c r="AZ612" i="6" s="1"/>
  <c r="V612" i="6"/>
  <c r="Q601" i="6"/>
  <c r="AZ601" i="6" s="1"/>
  <c r="V601" i="6"/>
  <c r="Q598" i="6"/>
  <c r="AZ598" i="6" s="1"/>
  <c r="V598" i="6"/>
  <c r="AZ591" i="6"/>
  <c r="S584" i="6"/>
  <c r="BA584" i="6" s="1"/>
  <c r="W584" i="6"/>
  <c r="Q579" i="6"/>
  <c r="AZ579" i="6" s="1"/>
  <c r="Q576" i="6"/>
  <c r="AZ576" i="6" s="1"/>
  <c r="S573" i="6"/>
  <c r="BA573" i="6" s="1"/>
  <c r="W573" i="6"/>
  <c r="S556" i="6"/>
  <c r="BA556" i="6" s="1"/>
  <c r="W556" i="6"/>
  <c r="S547" i="6"/>
  <c r="BA547" i="6" s="1"/>
  <c r="Q539" i="6"/>
  <c r="AZ539" i="6" s="1"/>
  <c r="Q536" i="6"/>
  <c r="AZ536" i="6" s="1"/>
  <c r="S533" i="6"/>
  <c r="BA533" i="6" s="1"/>
  <c r="S524" i="6"/>
  <c r="BA524" i="6" s="1"/>
  <c r="W524" i="6"/>
  <c r="S516" i="6"/>
  <c r="BA516" i="6" s="1"/>
  <c r="W516" i="6"/>
  <c r="Q514" i="6"/>
  <c r="AZ514" i="6" s="1"/>
  <c r="V514" i="6"/>
  <c r="Q508" i="6"/>
  <c r="AZ508" i="6" s="1"/>
  <c r="S477" i="6"/>
  <c r="BA477" i="6" s="1"/>
  <c r="W477" i="6"/>
  <c r="S468" i="6"/>
  <c r="BA468" i="6" s="1"/>
  <c r="W468" i="6"/>
  <c r="S454" i="6"/>
  <c r="BA454" i="6" s="1"/>
  <c r="W454" i="6"/>
  <c r="S448" i="6"/>
  <c r="BA448" i="6" s="1"/>
  <c r="W448" i="6"/>
  <c r="Q440" i="6"/>
  <c r="AZ440" i="6" s="1"/>
  <c r="V440" i="6"/>
  <c r="Q428" i="6"/>
  <c r="AZ428" i="6" s="1"/>
  <c r="V673" i="6"/>
  <c r="V661" i="6"/>
  <c r="W642" i="6"/>
  <c r="W633" i="6"/>
  <c r="W608" i="6"/>
  <c r="V599" i="6"/>
  <c r="V590" i="6"/>
  <c r="V581" i="6"/>
  <c r="W562" i="6"/>
  <c r="W553" i="6"/>
  <c r="W544" i="6"/>
  <c r="V526" i="6"/>
  <c r="V517" i="6"/>
  <c r="V470" i="6"/>
  <c r="V454" i="6"/>
  <c r="W436" i="6"/>
  <c r="V429" i="6"/>
  <c r="AZ574" i="6"/>
  <c r="AZ505" i="6"/>
  <c r="BA616" i="6"/>
  <c r="BA553" i="6"/>
  <c r="AZ500" i="6"/>
  <c r="BA393" i="6"/>
  <c r="AZ683" i="6"/>
  <c r="AZ659" i="6"/>
  <c r="AZ631" i="6"/>
  <c r="BA577" i="6"/>
  <c r="AZ560" i="6"/>
  <c r="AZ524" i="6"/>
  <c r="BA409" i="6"/>
  <c r="AZ407" i="6"/>
  <c r="BA661" i="6"/>
  <c r="AZ484" i="6"/>
  <c r="BA481" i="6"/>
  <c r="AZ464" i="6"/>
  <c r="AZ665" i="6"/>
  <c r="BA559" i="6"/>
  <c r="AZ550" i="6"/>
  <c r="AZ542" i="6"/>
  <c r="BA521" i="6"/>
  <c r="AZ498" i="6"/>
  <c r="AZ470" i="6"/>
  <c r="BA399" i="6"/>
  <c r="BA603" i="6"/>
  <c r="AZ541" i="6"/>
  <c r="AZ513" i="6"/>
  <c r="BA485" i="6"/>
  <c r="AZ437" i="6"/>
  <c r="AZ426" i="6"/>
  <c r="BA422" i="6"/>
  <c r="AZ663" i="6"/>
  <c r="AZ570" i="6"/>
  <c r="AZ502" i="6"/>
  <c r="AZ459" i="6"/>
  <c r="BA442" i="6"/>
  <c r="BA390" i="6"/>
  <c r="AZ647" i="6"/>
  <c r="AZ610" i="6"/>
  <c r="BA608" i="6"/>
  <c r="AZ606" i="6"/>
  <c r="AZ590" i="6"/>
  <c r="BA531" i="6"/>
  <c r="BA528" i="6"/>
  <c r="BA522" i="6"/>
  <c r="AZ517" i="6"/>
  <c r="BA501" i="6"/>
  <c r="BA400" i="6"/>
  <c r="BA683" i="6"/>
  <c r="BA657" i="6"/>
  <c r="BA642" i="6"/>
  <c r="AZ623" i="6"/>
  <c r="BA605" i="6"/>
  <c r="BA600" i="6"/>
  <c r="AZ551" i="6"/>
  <c r="AZ528" i="6"/>
  <c r="BA502" i="6"/>
  <c r="AZ497" i="6"/>
  <c r="BA489" i="6"/>
  <c r="AZ458" i="6"/>
  <c r="BA423" i="6"/>
  <c r="AZ403" i="6"/>
  <c r="BA396" i="6"/>
  <c r="AZ393" i="6"/>
  <c r="BA664" i="6"/>
  <c r="BA658" i="6"/>
  <c r="BA586" i="6"/>
  <c r="AZ573" i="6"/>
  <c r="AZ553" i="6"/>
  <c r="AZ537" i="6"/>
  <c r="BA443" i="6"/>
  <c r="BA441" i="6"/>
  <c r="BA433" i="6"/>
  <c r="BA428" i="6"/>
  <c r="BA419" i="6"/>
  <c r="AZ411" i="6"/>
  <c r="AZ405" i="6"/>
  <c r="BA681" i="6"/>
  <c r="AZ630" i="6"/>
  <c r="AZ627" i="6"/>
  <c r="AZ624" i="6"/>
  <c r="BA604" i="6"/>
  <c r="BA599" i="6"/>
  <c r="AZ581" i="6"/>
  <c r="AZ545" i="6"/>
  <c r="AZ526" i="6"/>
  <c r="BA513" i="6"/>
  <c r="AZ509" i="6"/>
  <c r="AZ488" i="6"/>
  <c r="AZ477" i="6"/>
  <c r="BA451" i="6"/>
  <c r="AZ419" i="6"/>
  <c r="BA413" i="6"/>
  <c r="BA404" i="6"/>
  <c r="BA388" i="6"/>
  <c r="BA678" i="6"/>
  <c r="BA676" i="6"/>
  <c r="BA673" i="6"/>
  <c r="BA663" i="6"/>
  <c r="AZ654" i="6"/>
  <c r="AZ638" i="6"/>
  <c r="BA629" i="6"/>
  <c r="BA626" i="6"/>
  <c r="BA585" i="6"/>
  <c r="BA583" i="6"/>
  <c r="BA572" i="6"/>
  <c r="AZ540" i="6"/>
  <c r="AZ518" i="6"/>
  <c r="BA498" i="6"/>
  <c r="BA474" i="6"/>
  <c r="AZ466" i="6"/>
  <c r="AZ441" i="6"/>
  <c r="BA397" i="6"/>
  <c r="BA659" i="6"/>
  <c r="BA640" i="6"/>
  <c r="BA578" i="6"/>
  <c r="AZ566" i="6"/>
  <c r="AZ558" i="6"/>
  <c r="BA550" i="6"/>
  <c r="AZ533" i="6"/>
  <c r="AZ527" i="6"/>
  <c r="AZ522" i="6"/>
  <c r="BA493" i="6"/>
  <c r="AZ489" i="6"/>
  <c r="BA486" i="6"/>
  <c r="AZ481" i="6"/>
  <c r="AZ472" i="6"/>
  <c r="BA469" i="6"/>
  <c r="AZ454" i="6"/>
  <c r="AZ451" i="6"/>
  <c r="AZ417" i="6"/>
  <c r="AZ415" i="6"/>
  <c r="AZ409" i="6"/>
  <c r="BA406" i="6"/>
  <c r="BA391" i="6"/>
  <c r="AZ686" i="6"/>
  <c r="AZ681" i="6"/>
  <c r="BA677" i="6"/>
  <c r="BA672" i="6"/>
  <c r="BA667" i="6"/>
  <c r="BA662" i="6"/>
  <c r="BA644" i="6"/>
  <c r="BA641" i="6"/>
  <c r="AZ622" i="6"/>
  <c r="AZ575" i="6"/>
  <c r="AZ567" i="6"/>
  <c r="AZ565" i="6"/>
  <c r="AZ504" i="6"/>
  <c r="BA494" i="6"/>
  <c r="AZ490" i="6"/>
  <c r="AZ485" i="6"/>
  <c r="BA460" i="6"/>
  <c r="BA426" i="6"/>
  <c r="BA418" i="6"/>
  <c r="AZ413" i="6"/>
  <c r="AZ402" i="6"/>
  <c r="BA387" i="6"/>
  <c r="AZ667" i="6"/>
  <c r="AZ662" i="6"/>
  <c r="AZ646" i="6"/>
  <c r="AZ641" i="6"/>
  <c r="BA636" i="6"/>
  <c r="BA632" i="6"/>
  <c r="BA625" i="6"/>
  <c r="BA574" i="6"/>
  <c r="AZ563" i="6"/>
  <c r="AZ554" i="6"/>
  <c r="BA551" i="6"/>
  <c r="BA514" i="6"/>
  <c r="AZ510" i="6"/>
  <c r="AZ501" i="6"/>
  <c r="BA482" i="6"/>
  <c r="BA444" i="6"/>
  <c r="BA424" i="6"/>
  <c r="BA407" i="6"/>
  <c r="BA398" i="6"/>
  <c r="AZ387" i="6"/>
  <c r="AZ629" i="6"/>
  <c r="BA587" i="6"/>
  <c r="BA562" i="6"/>
  <c r="BA518" i="6"/>
  <c r="BA505" i="6"/>
  <c r="AZ496" i="6"/>
  <c r="AZ492" i="6"/>
  <c r="AZ482" i="6"/>
  <c r="BA470" i="6"/>
  <c r="BA459" i="6"/>
  <c r="BA449" i="6"/>
  <c r="AZ444" i="6"/>
  <c r="AZ410" i="6"/>
  <c r="AZ401" i="6"/>
  <c r="AZ395" i="6"/>
  <c r="BA665" i="6"/>
  <c r="AZ618" i="6"/>
  <c r="BA590" i="6"/>
  <c r="AZ559" i="6"/>
  <c r="BA542" i="6"/>
  <c r="BA526" i="6"/>
  <c r="BA466" i="6"/>
  <c r="BA438" i="6"/>
  <c r="AZ412" i="6"/>
  <c r="AZ396" i="6"/>
  <c r="AZ391" i="6"/>
  <c r="BA506" i="6"/>
  <c r="AZ457" i="6"/>
  <c r="AZ423" i="6"/>
  <c r="AZ404" i="6"/>
  <c r="AZ397" i="6"/>
  <c r="AZ506" i="6"/>
  <c r="AZ494" i="6"/>
  <c r="BA439" i="6"/>
  <c r="BA436" i="6"/>
  <c r="AZ434" i="6"/>
  <c r="AZ430" i="6"/>
  <c r="AZ427" i="6"/>
  <c r="AZ425" i="6"/>
  <c r="BA420" i="6"/>
  <c r="AZ418" i="6"/>
  <c r="BA415" i="6"/>
  <c r="BA394" i="6"/>
  <c r="BA490" i="6"/>
  <c r="BA461" i="6"/>
  <c r="BA452" i="6"/>
  <c r="AZ432" i="6"/>
  <c r="BA417" i="6"/>
  <c r="BA412" i="6"/>
  <c r="BA410" i="6"/>
  <c r="BA408" i="6"/>
  <c r="AZ406" i="6"/>
  <c r="BA401" i="6"/>
  <c r="AZ399" i="6"/>
  <c r="AZ394" i="6"/>
  <c r="BA389" i="6"/>
  <c r="BA427" i="6"/>
  <c r="BA421" i="6"/>
  <c r="BA405" i="6"/>
  <c r="AZ388" i="6"/>
  <c r="AV7" i="6" l="1"/>
  <c r="AW7" i="6" s="1"/>
  <c r="AX7" i="6"/>
  <c r="AY7" i="6" s="1"/>
  <c r="AL7" i="6"/>
  <c r="AM7" i="6"/>
  <c r="AF7" i="6"/>
  <c r="AG7" i="6" s="1"/>
  <c r="AH7" i="6"/>
  <c r="AI7" i="6" s="1"/>
  <c r="P7" i="6"/>
  <c r="R7" i="6"/>
  <c r="S7" i="6" s="1"/>
  <c r="W7" i="6" l="1"/>
  <c r="Q7" i="6"/>
  <c r="AZ7" i="6" s="1"/>
  <c r="V7" i="6"/>
  <c r="BA7" i="6"/>
  <c r="AE622" i="6"/>
  <c r="AC622" i="6"/>
  <c r="AA622" i="6"/>
  <c r="Y622" i="6"/>
  <c r="U622" i="6"/>
  <c r="O622" i="6"/>
  <c r="M622" i="6"/>
  <c r="K622" i="6"/>
  <c r="I622" i="6"/>
  <c r="R622" i="6" s="1"/>
  <c r="S622" i="6" s="1"/>
  <c r="AE621" i="6"/>
  <c r="AC621" i="6"/>
  <c r="AA621" i="6"/>
  <c r="Y621" i="6"/>
  <c r="U621" i="6"/>
  <c r="O621" i="6"/>
  <c r="M621" i="6"/>
  <c r="K621" i="6"/>
  <c r="I621" i="6"/>
  <c r="AE620" i="6"/>
  <c r="AC620" i="6"/>
  <c r="AA620" i="6"/>
  <c r="Y620" i="6"/>
  <c r="AH620" i="6" s="1"/>
  <c r="AI620" i="6" s="1"/>
  <c r="U620" i="6"/>
  <c r="O620" i="6"/>
  <c r="M620" i="6"/>
  <c r="K620" i="6"/>
  <c r="I620" i="6"/>
  <c r="AE619" i="6"/>
  <c r="AC619" i="6"/>
  <c r="AA619" i="6"/>
  <c r="Y619" i="6"/>
  <c r="AH619" i="6" s="1"/>
  <c r="AI619" i="6" s="1"/>
  <c r="U619" i="6"/>
  <c r="O619" i="6"/>
  <c r="M619" i="6"/>
  <c r="K619" i="6"/>
  <c r="I619" i="6"/>
  <c r="AE618" i="6"/>
  <c r="AC618" i="6"/>
  <c r="AA618" i="6"/>
  <c r="Y618" i="6"/>
  <c r="AH618" i="6" s="1"/>
  <c r="AI618" i="6" s="1"/>
  <c r="U618" i="6"/>
  <c r="O618" i="6"/>
  <c r="M618" i="6"/>
  <c r="K618" i="6"/>
  <c r="I618" i="6"/>
  <c r="AE617" i="6"/>
  <c r="AC617" i="6"/>
  <c r="AA617" i="6"/>
  <c r="Y617" i="6"/>
  <c r="AH617" i="6" s="1"/>
  <c r="AI617" i="6" s="1"/>
  <c r="U617" i="6"/>
  <c r="O617" i="6"/>
  <c r="M617" i="6"/>
  <c r="K617" i="6"/>
  <c r="I617" i="6"/>
  <c r="R617" i="6" s="1"/>
  <c r="S617" i="6" s="1"/>
  <c r="W617" i="6" l="1"/>
  <c r="R621" i="6"/>
  <c r="S621" i="6" s="1"/>
  <c r="W619" i="6"/>
  <c r="BA617" i="6"/>
  <c r="R618" i="6"/>
  <c r="S618" i="6" s="1"/>
  <c r="BA618" i="6" s="1"/>
  <c r="AH621" i="6"/>
  <c r="AI621" i="6" s="1"/>
  <c r="W622" i="6"/>
  <c r="R619" i="6"/>
  <c r="S619" i="6" s="1"/>
  <c r="BA619" i="6" s="1"/>
  <c r="AH622" i="6"/>
  <c r="AI622" i="6" s="1"/>
  <c r="BA622" i="6" s="1"/>
  <c r="R620" i="6"/>
  <c r="S620" i="6" s="1"/>
  <c r="BA620" i="6" s="1"/>
  <c r="U614" i="6"/>
  <c r="M615" i="6"/>
  <c r="K613" i="6"/>
  <c r="O615" i="6"/>
  <c r="K615" i="6"/>
  <c r="K614" i="6"/>
  <c r="AE614" i="6"/>
  <c r="AC615" i="6"/>
  <c r="Y613" i="6"/>
  <c r="O613" i="6"/>
  <c r="AE615" i="6"/>
  <c r="Y614" i="6"/>
  <c r="I613" i="6"/>
  <c r="AC614" i="6"/>
  <c r="AA614" i="6"/>
  <c r="I614" i="6"/>
  <c r="M613" i="6"/>
  <c r="AC613" i="6"/>
  <c r="U615" i="6"/>
  <c r="Y615" i="6"/>
  <c r="AE613" i="6"/>
  <c r="I615" i="6"/>
  <c r="AA615" i="6"/>
  <c r="AA613" i="6"/>
  <c r="U613" i="6"/>
  <c r="M614" i="6"/>
  <c r="O614" i="6"/>
  <c r="W618" i="6" l="1"/>
  <c r="AH613" i="6"/>
  <c r="AI613" i="6" s="1"/>
  <c r="R614" i="6"/>
  <c r="S614" i="6" s="1"/>
  <c r="BA614" i="6" s="1"/>
  <c r="R615" i="6"/>
  <c r="S615" i="6" s="1"/>
  <c r="BA621" i="6"/>
  <c r="W621" i="6"/>
  <c r="W620" i="6"/>
  <c r="R613" i="6"/>
  <c r="S613" i="6" s="1"/>
  <c r="AH615" i="6"/>
  <c r="AI615" i="6" s="1"/>
  <c r="AH614" i="6"/>
  <c r="AI614" i="6" s="1"/>
  <c r="R236" i="14"/>
  <c r="W615" i="6" l="1"/>
  <c r="BA613" i="6"/>
  <c r="BA615" i="6"/>
  <c r="W614" i="6"/>
  <c r="W613" i="6"/>
  <c r="M13" i="21"/>
  <c r="I13" i="21"/>
  <c r="M29" i="21"/>
  <c r="E23" i="21"/>
  <c r="AF171" i="9"/>
  <c r="AF170" i="9"/>
  <c r="D239" i="14"/>
  <c r="D230" i="14"/>
  <c r="D225" i="14"/>
  <c r="D234" i="14"/>
  <c r="D237" i="14"/>
  <c r="D224" i="14"/>
  <c r="D233" i="14"/>
  <c r="E23" i="14"/>
  <c r="D222" i="14"/>
  <c r="D236" i="14"/>
  <c r="D231" i="14"/>
  <c r="D238" i="14"/>
  <c r="D229" i="14"/>
  <c r="D232" i="14"/>
  <c r="D228" i="14"/>
  <c r="D235" i="14"/>
  <c r="D227" i="14"/>
  <c r="D226" i="14"/>
  <c r="AJ23" i="14" l="1"/>
  <c r="W207" i="14"/>
  <c r="U207" i="14"/>
  <c r="S207" i="14"/>
  <c r="AE9" i="14" l="1"/>
  <c r="AC9" i="14"/>
  <c r="AA9" i="14"/>
  <c r="Y9" i="14"/>
  <c r="W9" i="14"/>
  <c r="U9" i="14"/>
  <c r="S9" i="14"/>
  <c r="W191" i="14" l="1"/>
  <c r="U191" i="14"/>
  <c r="S191" i="14"/>
  <c r="S161" i="14"/>
  <c r="U161" i="14"/>
  <c r="W161" i="14"/>
  <c r="Y161" i="14"/>
  <c r="AA161" i="14"/>
  <c r="I135" i="21"/>
  <c r="I120" i="21"/>
  <c r="I147" i="21"/>
  <c r="I133" i="21"/>
  <c r="I117" i="21"/>
  <c r="I115" i="21"/>
  <c r="I140" i="21"/>
  <c r="I144" i="21"/>
  <c r="I142" i="21"/>
  <c r="I114" i="21"/>
  <c r="I100" i="21"/>
  <c r="I148" i="21"/>
  <c r="AJ183" i="9"/>
  <c r="I139" i="21"/>
  <c r="I119" i="21"/>
  <c r="I110" i="21"/>
  <c r="I103" i="21"/>
  <c r="I112" i="21"/>
  <c r="I109" i="21"/>
  <c r="I134" i="21"/>
  <c r="I108" i="21"/>
  <c r="AJ182" i="9"/>
  <c r="I118" i="21"/>
  <c r="I150" i="21"/>
  <c r="I104" i="21"/>
  <c r="I149" i="21"/>
  <c r="I102" i="21"/>
  <c r="I145" i="21"/>
  <c r="I130" i="21"/>
  <c r="I132" i="21"/>
  <c r="AJ170" i="9"/>
  <c r="I107" i="21"/>
  <c r="AJ171" i="9"/>
  <c r="I113" i="21"/>
  <c r="I137" i="21"/>
  <c r="I143" i="21"/>
  <c r="I105" i="21"/>
  <c r="I138" i="21"/>
  <c r="V19" i="14"/>
  <c r="V26" i="14"/>
  <c r="V211" i="14"/>
  <c r="V208" i="14"/>
  <c r="X106" i="14"/>
  <c r="V205" i="14"/>
  <c r="V27" i="14"/>
  <c r="Z29" i="14"/>
  <c r="V201" i="14"/>
  <c r="V204" i="14"/>
  <c r="V209" i="14"/>
  <c r="V14" i="14"/>
  <c r="V18" i="14"/>
  <c r="V22" i="14"/>
  <c r="M29" i="14"/>
  <c r="W106" i="14"/>
  <c r="H9" i="14"/>
  <c r="V13" i="14"/>
  <c r="V11" i="14"/>
  <c r="T106" i="14"/>
  <c r="V200" i="14"/>
  <c r="L9" i="14"/>
  <c r="V28" i="14"/>
  <c r="V106" i="14"/>
  <c r="V16" i="14"/>
  <c r="V198" i="14"/>
  <c r="V203" i="14"/>
  <c r="V206" i="14"/>
  <c r="U106" i="14"/>
  <c r="N9" i="14"/>
  <c r="R106" i="14"/>
  <c r="V29" i="14"/>
  <c r="V12" i="14"/>
  <c r="V196" i="14"/>
  <c r="V24" i="14"/>
  <c r="B9" i="14"/>
  <c r="V21" i="14"/>
  <c r="I13" i="14"/>
  <c r="V23" i="14"/>
  <c r="Y106" i="14"/>
  <c r="J9" i="14"/>
  <c r="V210" i="14"/>
  <c r="V199" i="14"/>
  <c r="S224" i="14"/>
  <c r="V17" i="14"/>
  <c r="V194" i="14"/>
  <c r="V195" i="14"/>
  <c r="S106" i="14"/>
  <c r="V193" i="14"/>
  <c r="AB29" i="14"/>
  <c r="F9" i="14"/>
  <c r="D9" i="14"/>
  <c r="AL13" i="14" l="1"/>
  <c r="AN29" i="14"/>
  <c r="F190" i="21"/>
  <c r="AC29" i="14"/>
  <c r="F204" i="21"/>
  <c r="F208" i="21"/>
  <c r="F202" i="21"/>
  <c r="F210" i="21"/>
  <c r="F209" i="21"/>
  <c r="F207" i="21"/>
  <c r="F192" i="21"/>
  <c r="F200" i="21"/>
  <c r="F194" i="21"/>
  <c r="F205" i="21"/>
  <c r="F203" i="21"/>
  <c r="F198" i="21"/>
  <c r="F193" i="21"/>
  <c r="F199" i="21"/>
  <c r="F195" i="21"/>
  <c r="F197" i="21"/>
  <c r="G204" i="14"/>
  <c r="G201" i="14"/>
  <c r="G200" i="14"/>
  <c r="Y115" i="14"/>
  <c r="X133" i="14"/>
  <c r="Y120" i="14"/>
  <c r="X131" i="14"/>
  <c r="X149" i="14"/>
  <c r="G208" i="14"/>
  <c r="X143" i="14"/>
  <c r="X144" i="14"/>
  <c r="G203" i="14"/>
  <c r="X145" i="14"/>
  <c r="G209" i="14"/>
  <c r="X139" i="14"/>
  <c r="X136" i="14"/>
  <c r="X146" i="14"/>
  <c r="Y109" i="14"/>
  <c r="Y103" i="14"/>
  <c r="G194" i="14"/>
  <c r="Y113" i="14"/>
  <c r="X148" i="14"/>
  <c r="Y110" i="14"/>
  <c r="G193" i="14"/>
  <c r="Y119" i="14"/>
  <c r="G198" i="14"/>
  <c r="Y105" i="14"/>
  <c r="Y101" i="14"/>
  <c r="X134" i="14"/>
  <c r="G205" i="14"/>
  <c r="X151" i="14"/>
  <c r="G210" i="14"/>
  <c r="G206" i="14"/>
  <c r="X150" i="14"/>
  <c r="Y118" i="14"/>
  <c r="X138" i="14"/>
  <c r="Y108" i="14"/>
  <c r="G211" i="14"/>
  <c r="Y121" i="14"/>
  <c r="X135" i="14"/>
  <c r="Y104" i="14"/>
  <c r="Y114" i="14"/>
  <c r="G199" i="14"/>
  <c r="X140" i="14"/>
  <c r="G196" i="14"/>
  <c r="Y111" i="14"/>
  <c r="G195" i="14"/>
  <c r="Y116" i="14"/>
  <c r="X141" i="14"/>
  <c r="W201" i="14" l="1"/>
  <c r="W209" i="14"/>
  <c r="W196" i="14"/>
  <c r="W193" i="14"/>
  <c r="W208" i="14"/>
  <c r="W199" i="14"/>
  <c r="W210" i="14"/>
  <c r="W194" i="14"/>
  <c r="W204" i="14"/>
  <c r="W206" i="14"/>
  <c r="W198" i="14"/>
  <c r="W200" i="14"/>
  <c r="W203" i="14"/>
  <c r="W195" i="14"/>
  <c r="W211" i="14"/>
  <c r="W205" i="14"/>
  <c r="W1" i="6" l="1"/>
  <c r="V1" i="6" l="1"/>
  <c r="AO179" i="14" l="1"/>
  <c r="AH179" i="14"/>
  <c r="AD179" i="14"/>
  <c r="AK179" i="14"/>
  <c r="AO180" i="14"/>
  <c r="AH180" i="14"/>
  <c r="AH170" i="9"/>
  <c r="AI182" i="9"/>
  <c r="AH171" i="9"/>
  <c r="AG170" i="9"/>
  <c r="AG171" i="9"/>
  <c r="AI170" i="9"/>
  <c r="AI183" i="9"/>
  <c r="AI171" i="9"/>
  <c r="AK170" i="9" l="1"/>
  <c r="AK171" i="9"/>
  <c r="AN179" i="14"/>
  <c r="AG179" i="14"/>
  <c r="AK182" i="9"/>
  <c r="AL179" i="14"/>
  <c r="AF179" i="14"/>
  <c r="AK183" i="9"/>
  <c r="AE179" i="14"/>
  <c r="AM179" i="14"/>
  <c r="AO161" i="14"/>
  <c r="AX1" i="6" l="1"/>
  <c r="AY1" i="6" s="1"/>
  <c r="AV1" i="6"/>
  <c r="AW1" i="6" s="1"/>
  <c r="AM1" i="6"/>
  <c r="AL1" i="6"/>
  <c r="AH1" i="6"/>
  <c r="AI1" i="6" s="1"/>
  <c r="AF1" i="6"/>
  <c r="AG1" i="6" s="1"/>
  <c r="R1" i="6"/>
  <c r="P1" i="6"/>
  <c r="Q1" i="6" s="1"/>
  <c r="AZ1" i="6" l="1"/>
  <c r="S1" i="6"/>
  <c r="BA1" i="6" s="1"/>
  <c r="AB223" i="14" l="1"/>
  <c r="AL208" i="14" l="1"/>
  <c r="AL199" i="14"/>
  <c r="AL211" i="14"/>
  <c r="AL209" i="14"/>
  <c r="AL193" i="14"/>
  <c r="AL200" i="14"/>
  <c r="AL210" i="14"/>
  <c r="AL205" i="14"/>
  <c r="AL201" i="14"/>
  <c r="AL194" i="14"/>
  <c r="AL203" i="14"/>
  <c r="AL204" i="14"/>
  <c r="AL196" i="14"/>
  <c r="AL195" i="14"/>
  <c r="AL198" i="14"/>
  <c r="AL206" i="14"/>
  <c r="K173" i="21"/>
  <c r="E12" i="21"/>
  <c r="C14" i="21"/>
  <c r="G174" i="21"/>
  <c r="E172" i="21"/>
  <c r="K16" i="21"/>
  <c r="E175" i="21"/>
  <c r="O14" i="21"/>
  <c r="E164" i="21"/>
  <c r="I27" i="21"/>
  <c r="C203" i="21"/>
  <c r="C29" i="21"/>
  <c r="M26" i="21"/>
  <c r="O24" i="21"/>
  <c r="I17" i="21"/>
  <c r="G192" i="21"/>
  <c r="G172" i="21"/>
  <c r="O11" i="21"/>
  <c r="O16" i="21"/>
  <c r="I167" i="21"/>
  <c r="C192" i="21"/>
  <c r="C11" i="21"/>
  <c r="O29" i="21"/>
  <c r="M16" i="21"/>
  <c r="E209" i="21"/>
  <c r="G24" i="21"/>
  <c r="E162" i="21"/>
  <c r="G13" i="21"/>
  <c r="K14" i="21"/>
  <c r="E11" i="21"/>
  <c r="C12" i="21"/>
  <c r="G26" i="21"/>
  <c r="G208" i="21"/>
  <c r="K167" i="21"/>
  <c r="E179" i="21"/>
  <c r="K21" i="21"/>
  <c r="E208" i="21"/>
  <c r="E200" i="21"/>
  <c r="K164" i="21"/>
  <c r="M11" i="21"/>
  <c r="E17" i="21"/>
  <c r="M28" i="21"/>
  <c r="C168" i="21"/>
  <c r="G28" i="21"/>
  <c r="M24" i="21"/>
  <c r="G209" i="21"/>
  <c r="I14" i="21"/>
  <c r="K28" i="21"/>
  <c r="I165" i="21"/>
  <c r="G167" i="21"/>
  <c r="G12" i="21"/>
  <c r="C167" i="21"/>
  <c r="C200" i="21"/>
  <c r="E207" i="21"/>
  <c r="G193" i="21"/>
  <c r="G203" i="21"/>
  <c r="K175" i="21"/>
  <c r="K26" i="21"/>
  <c r="K11" i="21"/>
  <c r="K17" i="21"/>
  <c r="C19" i="21"/>
  <c r="G168" i="21"/>
  <c r="I24" i="21"/>
  <c r="K169" i="21"/>
  <c r="G164" i="21"/>
  <c r="K13" i="21"/>
  <c r="K177" i="21"/>
  <c r="O21" i="21"/>
  <c r="C207" i="21"/>
  <c r="C205" i="21"/>
  <c r="M17" i="21"/>
  <c r="O13" i="21"/>
  <c r="K29" i="21"/>
  <c r="G21" i="21"/>
  <c r="C22" i="21"/>
  <c r="M27" i="21"/>
  <c r="I170" i="21"/>
  <c r="O17" i="21"/>
  <c r="E178" i="21"/>
  <c r="E195" i="21"/>
  <c r="G27" i="21"/>
  <c r="E174" i="21"/>
  <c r="I162" i="21"/>
  <c r="C16" i="21"/>
  <c r="O18" i="21"/>
  <c r="I169" i="21"/>
  <c r="O28" i="21"/>
  <c r="I12" i="21"/>
  <c r="K22" i="21"/>
  <c r="O19" i="21"/>
  <c r="C21" i="21"/>
  <c r="C197" i="21"/>
  <c r="E29" i="21"/>
  <c r="I174" i="21"/>
  <c r="G177" i="21"/>
  <c r="C177" i="21"/>
  <c r="I179" i="21"/>
  <c r="K172" i="21"/>
  <c r="E204" i="21"/>
  <c r="C178" i="21"/>
  <c r="E13" i="21"/>
  <c r="I163" i="21"/>
  <c r="G202" i="21"/>
  <c r="K162" i="21"/>
  <c r="E16" i="21"/>
  <c r="E177" i="21"/>
  <c r="E203" i="21"/>
  <c r="K23" i="21"/>
  <c r="C204" i="21"/>
  <c r="G22" i="21"/>
  <c r="E192" i="21"/>
  <c r="E210" i="21"/>
  <c r="C26" i="21"/>
  <c r="C28" i="21"/>
  <c r="I175" i="21"/>
  <c r="G197" i="21"/>
  <c r="K179" i="21"/>
  <c r="C193" i="21"/>
  <c r="E198" i="21"/>
  <c r="G14" i="21"/>
  <c r="K168" i="21"/>
  <c r="G199" i="21"/>
  <c r="K12" i="21"/>
  <c r="C162" i="21"/>
  <c r="C172" i="21"/>
  <c r="C209" i="21"/>
  <c r="G210" i="21"/>
  <c r="C208" i="21"/>
  <c r="C164" i="21"/>
  <c r="C179" i="21"/>
  <c r="M12" i="21"/>
  <c r="K180" i="21"/>
  <c r="C169" i="21"/>
  <c r="E163" i="21"/>
  <c r="O26" i="21"/>
  <c r="E14" i="21"/>
  <c r="I172" i="21"/>
  <c r="E19" i="21"/>
  <c r="G195" i="21"/>
  <c r="C202" i="21"/>
  <c r="G165" i="21"/>
  <c r="G175" i="21"/>
  <c r="C18" i="21"/>
  <c r="E28" i="21"/>
  <c r="G169" i="21"/>
  <c r="K24" i="21"/>
  <c r="I22" i="21"/>
  <c r="C195" i="21"/>
  <c r="O22" i="21"/>
  <c r="I23" i="21"/>
  <c r="I173" i="21"/>
  <c r="M14" i="21"/>
  <c r="K174" i="21"/>
  <c r="G178" i="21"/>
  <c r="M18" i="21"/>
  <c r="I168" i="21"/>
  <c r="C17" i="21"/>
  <c r="E21" i="21"/>
  <c r="C174" i="21"/>
  <c r="I178" i="21"/>
  <c r="G205" i="21"/>
  <c r="E194" i="21"/>
  <c r="K163" i="21"/>
  <c r="E180" i="21"/>
  <c r="C24" i="21"/>
  <c r="I11" i="21"/>
  <c r="E18" i="21"/>
  <c r="O27" i="21"/>
  <c r="G170" i="21"/>
  <c r="G19" i="21"/>
  <c r="I18" i="21"/>
  <c r="C173" i="21"/>
  <c r="G200" i="21"/>
  <c r="I19" i="21"/>
  <c r="K19" i="21"/>
  <c r="I28" i="21"/>
  <c r="I16" i="21"/>
  <c r="M21" i="21"/>
  <c r="I29" i="21"/>
  <c r="G18" i="21"/>
  <c r="C210" i="21"/>
  <c r="K178" i="21"/>
  <c r="E205" i="21"/>
  <c r="G163" i="21"/>
  <c r="G17" i="21"/>
  <c r="K27" i="21"/>
  <c r="I26" i="21"/>
  <c r="C194" i="21"/>
  <c r="E199" i="21"/>
  <c r="M23" i="21"/>
  <c r="E167" i="21"/>
  <c r="C27" i="21"/>
  <c r="E26" i="21"/>
  <c r="I180" i="21"/>
  <c r="E193" i="21"/>
  <c r="G16" i="21"/>
  <c r="K165" i="21"/>
  <c r="C175" i="21"/>
  <c r="O12" i="21"/>
  <c r="G180" i="21"/>
  <c r="E170" i="21"/>
  <c r="E168" i="21"/>
  <c r="E22" i="21"/>
  <c r="C180" i="21"/>
  <c r="K18" i="21"/>
  <c r="E202" i="21"/>
  <c r="G23" i="21"/>
  <c r="G173" i="21"/>
  <c r="G29" i="21"/>
  <c r="G162" i="21"/>
  <c r="E197" i="21"/>
  <c r="E173" i="21"/>
  <c r="C23" i="21"/>
  <c r="O23" i="21"/>
  <c r="E24" i="21"/>
  <c r="E27" i="21"/>
  <c r="C199" i="21"/>
  <c r="C165" i="21"/>
  <c r="G179" i="21"/>
  <c r="E169" i="21"/>
  <c r="E165" i="21"/>
  <c r="I177" i="21"/>
  <c r="C163" i="21"/>
  <c r="C170" i="21"/>
  <c r="C198" i="21"/>
  <c r="K170" i="21"/>
  <c r="G194" i="21"/>
  <c r="G198" i="21"/>
  <c r="G204" i="21"/>
  <c r="C13" i="21"/>
  <c r="G207" i="21"/>
  <c r="G11" i="21"/>
  <c r="I21" i="21"/>
  <c r="M19" i="21"/>
  <c r="M22" i="21"/>
  <c r="I164" i="21"/>
  <c r="R204" i="14"/>
  <c r="M21" i="14"/>
  <c r="C175" i="14"/>
  <c r="E27" i="14"/>
  <c r="AD24" i="14"/>
  <c r="C196" i="14"/>
  <c r="T201" i="14"/>
  <c r="E176" i="14"/>
  <c r="T21" i="14"/>
  <c r="R173" i="14"/>
  <c r="G175" i="14"/>
  <c r="T18" i="14"/>
  <c r="AB27" i="14"/>
  <c r="E21" i="14"/>
  <c r="C204" i="14"/>
  <c r="G171" i="14"/>
  <c r="T163" i="14"/>
  <c r="G168" i="14"/>
  <c r="I16" i="14"/>
  <c r="AB13" i="14"/>
  <c r="R200" i="14"/>
  <c r="G26" i="14"/>
  <c r="O16" i="14"/>
  <c r="C180" i="14"/>
  <c r="X176" i="14"/>
  <c r="C168" i="14"/>
  <c r="C209" i="14"/>
  <c r="R206" i="14"/>
  <c r="M23" i="14"/>
  <c r="R203" i="14"/>
  <c r="E12" i="14"/>
  <c r="E211" i="14"/>
  <c r="T176" i="14"/>
  <c r="T171" i="14"/>
  <c r="K16" i="14"/>
  <c r="AD16" i="14"/>
  <c r="E204" i="14"/>
  <c r="G28" i="14"/>
  <c r="Z26" i="14"/>
  <c r="Z163" i="14"/>
  <c r="K175" i="14"/>
  <c r="I29" i="14"/>
  <c r="C176" i="14"/>
  <c r="E194" i="14"/>
  <c r="T11" i="14"/>
  <c r="I171" i="14"/>
  <c r="E168" i="14"/>
  <c r="I12" i="14"/>
  <c r="K171" i="14"/>
  <c r="I169" i="14"/>
  <c r="I163" i="14"/>
  <c r="T206" i="14"/>
  <c r="R208" i="14"/>
  <c r="K13" i="14"/>
  <c r="X174" i="14"/>
  <c r="T166" i="14"/>
  <c r="X27" i="14"/>
  <c r="C193" i="14"/>
  <c r="C181" i="14"/>
  <c r="AB11" i="14"/>
  <c r="T26" i="14"/>
  <c r="C169" i="14"/>
  <c r="I19" i="14"/>
  <c r="C194" i="14"/>
  <c r="C203" i="14"/>
  <c r="O26" i="14"/>
  <c r="R17" i="14"/>
  <c r="R23" i="14"/>
  <c r="O17" i="14"/>
  <c r="O12" i="14"/>
  <c r="Z179" i="14"/>
  <c r="AD22" i="14"/>
  <c r="T168" i="14"/>
  <c r="M13" i="14"/>
  <c r="I23" i="14"/>
  <c r="T14" i="14"/>
  <c r="G165" i="14"/>
  <c r="Z174" i="14"/>
  <c r="K23" i="14"/>
  <c r="X17" i="14"/>
  <c r="Z166" i="14"/>
  <c r="M26" i="14"/>
  <c r="R176" i="14"/>
  <c r="C21" i="14"/>
  <c r="E29" i="14"/>
  <c r="R166" i="14"/>
  <c r="C170" i="14"/>
  <c r="K163" i="14"/>
  <c r="AD23" i="14"/>
  <c r="K165" i="14"/>
  <c r="T194" i="14"/>
  <c r="Z23" i="14"/>
  <c r="E200" i="14"/>
  <c r="T178" i="14"/>
  <c r="E28" i="14"/>
  <c r="T199" i="14"/>
  <c r="V164" i="14"/>
  <c r="K176" i="14"/>
  <c r="X23" i="14"/>
  <c r="Z173" i="14"/>
  <c r="T28" i="14"/>
  <c r="Z169" i="14"/>
  <c r="V179" i="14"/>
  <c r="C26" i="14"/>
  <c r="G24" i="14"/>
  <c r="AD29" i="14"/>
  <c r="C195" i="14"/>
  <c r="G14" i="14"/>
  <c r="C201" i="14"/>
  <c r="K18" i="14"/>
  <c r="V169" i="14"/>
  <c r="T170" i="14"/>
  <c r="Z19" i="14"/>
  <c r="R26" i="14"/>
  <c r="X19" i="14"/>
  <c r="AD13" i="14"/>
  <c r="V165" i="14"/>
  <c r="V166" i="14"/>
  <c r="R209" i="14"/>
  <c r="I11" i="14"/>
  <c r="M19" i="14"/>
  <c r="X165" i="14"/>
  <c r="G16" i="14"/>
  <c r="R28" i="14"/>
  <c r="T22" i="14"/>
  <c r="Z178" i="14"/>
  <c r="E171" i="14"/>
  <c r="G170" i="14"/>
  <c r="R165" i="14"/>
  <c r="Z22" i="14"/>
  <c r="M28" i="14"/>
  <c r="K11" i="14"/>
  <c r="I28" i="14"/>
  <c r="O21" i="14"/>
  <c r="G181" i="14"/>
  <c r="X173" i="14"/>
  <c r="G164" i="14"/>
  <c r="G163" i="14"/>
  <c r="E175" i="14"/>
  <c r="X12" i="14"/>
  <c r="R22" i="14"/>
  <c r="AB26" i="14"/>
  <c r="G22" i="14"/>
  <c r="R178" i="14"/>
  <c r="G169" i="14"/>
  <c r="R171" i="14"/>
  <c r="R210" i="14"/>
  <c r="R211" i="14"/>
  <c r="C14" i="14"/>
  <c r="E206" i="14"/>
  <c r="R29" i="14"/>
  <c r="I22" i="14"/>
  <c r="R181" i="14"/>
  <c r="R205" i="14"/>
  <c r="O24" i="14"/>
  <c r="R13" i="14"/>
  <c r="C198" i="14"/>
  <c r="K180" i="14"/>
  <c r="E196" i="14"/>
  <c r="G174" i="14"/>
  <c r="V163" i="14"/>
  <c r="AB23" i="14"/>
  <c r="R169" i="14"/>
  <c r="R21" i="14"/>
  <c r="E193" i="14"/>
  <c r="E209" i="14"/>
  <c r="I176" i="14"/>
  <c r="K17" i="14"/>
  <c r="M27" i="14"/>
  <c r="R24" i="14"/>
  <c r="R179" i="14"/>
  <c r="R199" i="14"/>
  <c r="T193" i="14"/>
  <c r="T12" i="14"/>
  <c r="C22" i="14"/>
  <c r="Z28" i="14"/>
  <c r="I17" i="14"/>
  <c r="T23" i="14"/>
  <c r="G12" i="14"/>
  <c r="C210" i="14"/>
  <c r="G166" i="14"/>
  <c r="C163" i="14"/>
  <c r="O22" i="14"/>
  <c r="M24" i="14"/>
  <c r="R175" i="14"/>
  <c r="K168" i="14"/>
  <c r="AB24" i="14"/>
  <c r="Z175" i="14"/>
  <c r="G23" i="14"/>
  <c r="C19" i="14"/>
  <c r="M22" i="14"/>
  <c r="R198" i="14"/>
  <c r="AD28" i="14"/>
  <c r="K173" i="14"/>
  <c r="AD26" i="14"/>
  <c r="C178" i="14"/>
  <c r="E169" i="14"/>
  <c r="C16" i="14"/>
  <c r="T27" i="14"/>
  <c r="C208" i="14"/>
  <c r="C200" i="14"/>
  <c r="AB21" i="14"/>
  <c r="E164" i="14"/>
  <c r="G11" i="14"/>
  <c r="T180" i="14"/>
  <c r="Z17" i="14"/>
  <c r="X22" i="14"/>
  <c r="T181" i="14"/>
  <c r="C205" i="14"/>
  <c r="X28" i="14"/>
  <c r="X26" i="14"/>
  <c r="K24" i="14"/>
  <c r="T198" i="14"/>
  <c r="V168" i="14"/>
  <c r="E16" i="14"/>
  <c r="T209" i="14"/>
  <c r="G21" i="14"/>
  <c r="AB12" i="14"/>
  <c r="I21" i="14"/>
  <c r="AB16" i="14"/>
  <c r="K166" i="14"/>
  <c r="I178" i="14"/>
  <c r="C166" i="14"/>
  <c r="I18" i="14"/>
  <c r="O13" i="14"/>
  <c r="M12" i="14"/>
  <c r="I168" i="14"/>
  <c r="AB19" i="14"/>
  <c r="E199" i="14"/>
  <c r="AD27" i="14"/>
  <c r="O11" i="14"/>
  <c r="C211" i="14"/>
  <c r="G17" i="14"/>
  <c r="E210" i="14"/>
  <c r="T165" i="14"/>
  <c r="R19" i="14"/>
  <c r="G19" i="14"/>
  <c r="E11" i="14"/>
  <c r="T203" i="14"/>
  <c r="T196" i="14"/>
  <c r="R11" i="14"/>
  <c r="C11" i="14"/>
  <c r="K164" i="14"/>
  <c r="G173" i="14"/>
  <c r="AB18" i="14"/>
  <c r="AB22" i="14"/>
  <c r="E163" i="14"/>
  <c r="G180" i="14"/>
  <c r="M14" i="14"/>
  <c r="K179" i="14"/>
  <c r="O14" i="14"/>
  <c r="Z170" i="14"/>
  <c r="K12" i="14"/>
  <c r="I173" i="14"/>
  <c r="M16" i="14"/>
  <c r="E165" i="14"/>
  <c r="V176" i="14"/>
  <c r="E180" i="14"/>
  <c r="C199" i="14"/>
  <c r="Z164" i="14"/>
  <c r="R164" i="14"/>
  <c r="X21" i="14"/>
  <c r="AD12" i="14"/>
  <c r="Z12" i="14"/>
  <c r="R196" i="14"/>
  <c r="Z165" i="14"/>
  <c r="Z171" i="14"/>
  <c r="T200" i="14"/>
  <c r="C179" i="14"/>
  <c r="E13" i="14"/>
  <c r="C17" i="14"/>
  <c r="R14" i="14"/>
  <c r="K169" i="14"/>
  <c r="E14" i="14"/>
  <c r="AD19" i="14"/>
  <c r="C171" i="14"/>
  <c r="X178" i="14"/>
  <c r="E174" i="14"/>
  <c r="R168" i="14"/>
  <c r="C13" i="14"/>
  <c r="C18" i="14"/>
  <c r="T164" i="14"/>
  <c r="C28" i="14"/>
  <c r="T211" i="14"/>
  <c r="M18" i="14"/>
  <c r="K181" i="14"/>
  <c r="C206" i="14"/>
  <c r="AB14" i="14"/>
  <c r="G179" i="14"/>
  <c r="R27" i="14"/>
  <c r="X175" i="14"/>
  <c r="X169" i="14"/>
  <c r="I174" i="14"/>
  <c r="X24" i="14"/>
  <c r="T174" i="14"/>
  <c r="T16" i="14"/>
  <c r="R194" i="14"/>
  <c r="I180" i="14"/>
  <c r="Z180" i="14"/>
  <c r="X163" i="14"/>
  <c r="AD14" i="14"/>
  <c r="R16" i="14"/>
  <c r="C173" i="14"/>
  <c r="I166" i="14"/>
  <c r="E201" i="14"/>
  <c r="AB17" i="14"/>
  <c r="R174" i="14"/>
  <c r="K22" i="14"/>
  <c r="X16" i="14"/>
  <c r="K28" i="14"/>
  <c r="T179" i="14"/>
  <c r="E208" i="14"/>
  <c r="K178" i="14"/>
  <c r="E195" i="14"/>
  <c r="O28" i="14"/>
  <c r="E203" i="14"/>
  <c r="C23" i="14"/>
  <c r="K174" i="14"/>
  <c r="Z13" i="14"/>
  <c r="O29" i="14"/>
  <c r="E24" i="14"/>
  <c r="M11" i="14"/>
  <c r="I181" i="14"/>
  <c r="E166" i="14"/>
  <c r="X11" i="14"/>
  <c r="T204" i="14"/>
  <c r="G27" i="14"/>
  <c r="AB28" i="14"/>
  <c r="E26" i="14"/>
  <c r="X13" i="14"/>
  <c r="I175" i="14"/>
  <c r="K27" i="14"/>
  <c r="E17" i="14"/>
  <c r="E205" i="14"/>
  <c r="Z168" i="14"/>
  <c r="X180" i="14"/>
  <c r="X14" i="14"/>
  <c r="R201" i="14"/>
  <c r="X29" i="14"/>
  <c r="T29" i="14"/>
  <c r="E178" i="14"/>
  <c r="Z14" i="14"/>
  <c r="AD11" i="14"/>
  <c r="I170" i="14"/>
  <c r="I26" i="14"/>
  <c r="X171" i="14"/>
  <c r="Z181" i="14"/>
  <c r="T17" i="14"/>
  <c r="T175" i="14"/>
  <c r="R18" i="14"/>
  <c r="C165" i="14"/>
  <c r="X164" i="14"/>
  <c r="T208" i="14"/>
  <c r="E18" i="14"/>
  <c r="R193" i="14"/>
  <c r="Z18" i="14"/>
  <c r="T24" i="14"/>
  <c r="E19" i="14"/>
  <c r="I164" i="14"/>
  <c r="X166" i="14"/>
  <c r="T19" i="14"/>
  <c r="E173" i="14"/>
  <c r="I165" i="14"/>
  <c r="E198" i="14"/>
  <c r="O23" i="14"/>
  <c r="T205" i="14"/>
  <c r="X18" i="14"/>
  <c r="R170" i="14"/>
  <c r="V175" i="14"/>
  <c r="X168" i="14"/>
  <c r="G176" i="14"/>
  <c r="I179" i="14"/>
  <c r="C24" i="14"/>
  <c r="T169" i="14"/>
  <c r="Z27" i="14"/>
  <c r="O19" i="14"/>
  <c r="I24" i="14"/>
  <c r="O18" i="14"/>
  <c r="X181" i="14"/>
  <c r="R180" i="14"/>
  <c r="K29" i="14"/>
  <c r="C27" i="14"/>
  <c r="AD17" i="14"/>
  <c r="K26" i="14"/>
  <c r="G178" i="14"/>
  <c r="Z176" i="14"/>
  <c r="AD21" i="14"/>
  <c r="V180" i="14"/>
  <c r="I14" i="14"/>
  <c r="R12" i="14"/>
  <c r="V171" i="14"/>
  <c r="C164" i="14"/>
  <c r="T195" i="14"/>
  <c r="M17" i="14"/>
  <c r="G29" i="14"/>
  <c r="T173" i="14"/>
  <c r="Z21" i="14"/>
  <c r="Z16" i="14"/>
  <c r="C174" i="14"/>
  <c r="K19" i="14"/>
  <c r="E170" i="14"/>
  <c r="Z11" i="14"/>
  <c r="T13" i="14"/>
  <c r="V181" i="14"/>
  <c r="V170" i="14"/>
  <c r="K14" i="14"/>
  <c r="O27" i="14"/>
  <c r="V174" i="14"/>
  <c r="E181" i="14"/>
  <c r="C12" i="14"/>
  <c r="I27" i="14"/>
  <c r="V178" i="14"/>
  <c r="X179" i="14"/>
  <c r="G18" i="14"/>
  <c r="V173" i="14"/>
  <c r="K21" i="14"/>
  <c r="AD18" i="14"/>
  <c r="X170" i="14"/>
  <c r="T210" i="14"/>
  <c r="E179" i="14"/>
  <c r="R195" i="14"/>
  <c r="C29" i="14"/>
  <c r="G13" i="14"/>
  <c r="K170" i="14"/>
  <c r="E22" i="14"/>
  <c r="Z24" i="14"/>
  <c r="R163" i="14"/>
  <c r="AJ22" i="14" l="1"/>
  <c r="AK13" i="14"/>
  <c r="AI29" i="14"/>
  <c r="AM21" i="14"/>
  <c r="AK18" i="14"/>
  <c r="AL27" i="14"/>
  <c r="AI12" i="14"/>
  <c r="AO27" i="14"/>
  <c r="AM14" i="14"/>
  <c r="AM19" i="14"/>
  <c r="AS174" i="14"/>
  <c r="AK29" i="14"/>
  <c r="AN17" i="14"/>
  <c r="AS164" i="14"/>
  <c r="AL14" i="14"/>
  <c r="AM26" i="14"/>
  <c r="AI27" i="14"/>
  <c r="AM29" i="14"/>
  <c r="AO18" i="14"/>
  <c r="AL24" i="14"/>
  <c r="AO19" i="14"/>
  <c r="AI24" i="14"/>
  <c r="AO23" i="14"/>
  <c r="AJ19" i="14"/>
  <c r="AJ18" i="14"/>
  <c r="AS165" i="14"/>
  <c r="AL26" i="14"/>
  <c r="AJ17" i="14"/>
  <c r="AM27" i="14"/>
  <c r="AJ26" i="14"/>
  <c r="AK27" i="14"/>
  <c r="AN11" i="14"/>
  <c r="AJ24" i="14"/>
  <c r="AO29" i="14"/>
  <c r="AI23" i="14"/>
  <c r="AO28" i="14"/>
  <c r="AM28" i="14"/>
  <c r="AM22" i="14"/>
  <c r="AS173" i="14"/>
  <c r="AN18" i="14"/>
  <c r="AI28" i="14"/>
  <c r="AI18" i="14"/>
  <c r="AI13" i="14"/>
  <c r="AS171" i="14"/>
  <c r="AJ14" i="14"/>
  <c r="AI17" i="14"/>
  <c r="AJ13" i="14"/>
  <c r="AS179" i="14"/>
  <c r="AN16" i="14"/>
  <c r="AM12" i="14"/>
  <c r="AO14" i="14"/>
  <c r="AN14" i="14"/>
  <c r="AT163" i="14"/>
  <c r="AI11" i="14"/>
  <c r="AJ11" i="14"/>
  <c r="AK19" i="14"/>
  <c r="AK17" i="14"/>
  <c r="AO11" i="14"/>
  <c r="AN12" i="14"/>
  <c r="AO13" i="14"/>
  <c r="AL18" i="14"/>
  <c r="AS166" i="14"/>
  <c r="AL21" i="14"/>
  <c r="AK21" i="14"/>
  <c r="AJ16" i="14"/>
  <c r="AM24" i="14"/>
  <c r="AK11" i="14"/>
  <c r="AI16" i="14"/>
  <c r="AS178" i="14"/>
  <c r="AN22" i="14"/>
  <c r="AI19" i="14"/>
  <c r="AK23" i="14"/>
  <c r="AN24" i="14"/>
  <c r="AO22" i="14"/>
  <c r="AS163" i="14"/>
  <c r="AK12" i="14"/>
  <c r="AL17" i="14"/>
  <c r="AI22" i="14"/>
  <c r="AN27" i="14"/>
  <c r="AM17" i="14"/>
  <c r="AO24" i="14"/>
  <c r="AL22" i="14"/>
  <c r="AI14" i="14"/>
  <c r="AK22" i="14"/>
  <c r="AO21" i="14"/>
  <c r="AL28" i="14"/>
  <c r="AM11" i="14"/>
  <c r="AN28" i="14"/>
  <c r="AK16" i="14"/>
  <c r="AN19" i="14"/>
  <c r="AL11" i="14"/>
  <c r="AM18" i="14"/>
  <c r="AK14" i="14"/>
  <c r="AK24" i="14"/>
  <c r="AI26" i="14"/>
  <c r="AJ28" i="14"/>
  <c r="AS170" i="14"/>
  <c r="AJ29" i="14"/>
  <c r="AI21" i="14"/>
  <c r="AN26" i="14"/>
  <c r="AM23" i="14"/>
  <c r="AL23" i="14"/>
  <c r="AN13" i="14"/>
  <c r="AO12" i="14"/>
  <c r="AO17" i="14"/>
  <c r="AO26" i="14"/>
  <c r="AL19" i="14"/>
  <c r="AS169" i="14"/>
  <c r="AS181" i="14"/>
  <c r="AM13" i="14"/>
  <c r="AL12" i="14"/>
  <c r="AS176" i="14"/>
  <c r="AL29" i="14"/>
  <c r="AK28" i="14"/>
  <c r="AM16" i="14"/>
  <c r="AJ12" i="14"/>
  <c r="AN23" i="14"/>
  <c r="AS168" i="14"/>
  <c r="AS180" i="14"/>
  <c r="AO16" i="14"/>
  <c r="AK26" i="14"/>
  <c r="AL16" i="14"/>
  <c r="AJ21" i="14"/>
  <c r="AJ27" i="14"/>
  <c r="AS175" i="14"/>
  <c r="AN21" i="14"/>
  <c r="Y178" i="14"/>
  <c r="W180" i="14"/>
  <c r="S206" i="14"/>
  <c r="S168" i="14"/>
  <c r="S210" i="14"/>
  <c r="AA166" i="14"/>
  <c r="S170" i="14"/>
  <c r="S201" i="14"/>
  <c r="U205" i="14"/>
  <c r="Y174" i="14"/>
  <c r="AA173" i="14"/>
  <c r="AA174" i="14"/>
  <c r="AA170" i="14"/>
  <c r="Y163" i="14"/>
  <c r="U200" i="14"/>
  <c r="W174" i="14"/>
  <c r="U176" i="14"/>
  <c r="Y169" i="14"/>
  <c r="AA169" i="14"/>
  <c r="AA168" i="14"/>
  <c r="S196" i="14"/>
  <c r="Y170" i="14"/>
  <c r="U195" i="14"/>
  <c r="U175" i="14"/>
  <c r="S193" i="14"/>
  <c r="U180" i="14"/>
  <c r="Y164" i="14"/>
  <c r="W164" i="14"/>
  <c r="W181" i="14"/>
  <c r="U169" i="14"/>
  <c r="AA179" i="14"/>
  <c r="U181" i="14"/>
  <c r="W165" i="14"/>
  <c r="U211" i="14"/>
  <c r="U174" i="14"/>
  <c r="U208" i="14"/>
  <c r="AA176" i="14"/>
  <c r="W170" i="14"/>
  <c r="U163" i="14"/>
  <c r="AA180" i="14"/>
  <c r="U209" i="14"/>
  <c r="U199" i="14"/>
  <c r="U210" i="14"/>
  <c r="W168" i="14"/>
  <c r="U201" i="14"/>
  <c r="S175" i="14"/>
  <c r="U165" i="14"/>
  <c r="U179" i="14"/>
  <c r="AA163" i="14"/>
  <c r="U178" i="14"/>
  <c r="Y168" i="14"/>
  <c r="U204" i="14"/>
  <c r="U168" i="14"/>
  <c r="U198" i="14"/>
  <c r="W178" i="14"/>
  <c r="S176" i="14"/>
  <c r="S173" i="14"/>
  <c r="S211" i="14"/>
  <c r="W175" i="14"/>
  <c r="S181" i="14"/>
  <c r="S198" i="14"/>
  <c r="S180" i="14"/>
  <c r="Y181" i="14"/>
  <c r="Y180" i="14"/>
  <c r="Y176" i="14"/>
  <c r="Y179" i="14"/>
  <c r="U193" i="14"/>
  <c r="S199" i="14"/>
  <c r="S195" i="14"/>
  <c r="S166" i="14"/>
  <c r="U196" i="14"/>
  <c r="U206" i="14"/>
  <c r="U173" i="14"/>
  <c r="Y166" i="14"/>
  <c r="S200" i="14"/>
  <c r="W179" i="14"/>
  <c r="S178" i="14"/>
  <c r="U164" i="14"/>
  <c r="Y175" i="14"/>
  <c r="W176" i="14"/>
  <c r="U194" i="14"/>
  <c r="W163" i="14"/>
  <c r="S163" i="14"/>
  <c r="U170" i="14"/>
  <c r="AA181" i="14"/>
  <c r="S209" i="14"/>
  <c r="S171" i="14"/>
  <c r="S208" i="14"/>
  <c r="AA164" i="14"/>
  <c r="AA171" i="14"/>
  <c r="S179" i="14"/>
  <c r="S169" i="14"/>
  <c r="W171" i="14"/>
  <c r="W166" i="14"/>
  <c r="Y165" i="14"/>
  <c r="U171" i="14"/>
  <c r="AA175" i="14"/>
  <c r="AA165" i="14"/>
  <c r="Y173" i="14"/>
  <c r="S165" i="14"/>
  <c r="Y171" i="14"/>
  <c r="S205" i="14"/>
  <c r="S203" i="14"/>
  <c r="U166" i="14"/>
  <c r="AA178" i="14"/>
  <c r="S164" i="14"/>
  <c r="S174" i="14"/>
  <c r="W173" i="14"/>
  <c r="W169" i="14"/>
  <c r="S194" i="14"/>
  <c r="S204" i="14"/>
  <c r="U203" i="14"/>
  <c r="AE27" i="14"/>
  <c r="U27" i="14"/>
  <c r="U14" i="14"/>
  <c r="U26" i="14"/>
  <c r="U24" i="14"/>
  <c r="U18" i="14"/>
  <c r="U16" i="14"/>
  <c r="AC13" i="14"/>
  <c r="W12" i="14"/>
  <c r="AC24" i="14"/>
  <c r="S11" i="14"/>
  <c r="S16" i="14"/>
  <c r="U12" i="14"/>
  <c r="W17" i="14"/>
  <c r="S26" i="14"/>
  <c r="AA29" i="14"/>
  <c r="AE21" i="14"/>
  <c r="S17" i="14"/>
  <c r="AE18" i="14"/>
  <c r="W19" i="14"/>
  <c r="AA19" i="14"/>
  <c r="AC22" i="14"/>
  <c r="Y17" i="14"/>
  <c r="AA28" i="14"/>
  <c r="Y28" i="14"/>
  <c r="W23" i="14"/>
  <c r="AA12" i="14"/>
  <c r="AA13" i="14"/>
  <c r="AC27" i="14"/>
  <c r="AE17" i="14"/>
  <c r="AE26" i="14"/>
  <c r="AA23" i="14"/>
  <c r="S14" i="14"/>
  <c r="AA18" i="14"/>
  <c r="AA26" i="14"/>
  <c r="AC19" i="14"/>
  <c r="AC12" i="14"/>
  <c r="S23" i="14"/>
  <c r="W24" i="14"/>
  <c r="Y12" i="14"/>
  <c r="AA17" i="14"/>
  <c r="Y19" i="14"/>
  <c r="W13" i="14"/>
  <c r="Y22" i="14"/>
  <c r="AE12" i="14"/>
  <c r="Y18" i="14"/>
  <c r="S19" i="14"/>
  <c r="AE19" i="14"/>
  <c r="AC21" i="14"/>
  <c r="S27" i="14"/>
  <c r="Y26" i="14"/>
  <c r="W22" i="14"/>
  <c r="U21" i="14"/>
  <c r="U13" i="14"/>
  <c r="W21" i="14"/>
  <c r="U17" i="14"/>
  <c r="S28" i="14"/>
  <c r="AA14" i="14"/>
  <c r="S24" i="14"/>
  <c r="U23" i="14"/>
  <c r="Y27" i="14"/>
  <c r="W29" i="14"/>
  <c r="AE11" i="14"/>
  <c r="U28" i="14"/>
  <c r="U11" i="14"/>
  <c r="W11" i="14"/>
  <c r="AA22" i="14"/>
  <c r="Y23" i="14"/>
  <c r="AC14" i="14"/>
  <c r="AE14" i="14"/>
  <c r="W28" i="14"/>
  <c r="U29" i="14"/>
  <c r="W27" i="14"/>
  <c r="Y11" i="14"/>
  <c r="S12" i="14"/>
  <c r="AC18" i="14"/>
  <c r="AA21" i="14"/>
  <c r="Y24" i="14"/>
  <c r="S29" i="14"/>
  <c r="AC23" i="14"/>
  <c r="Y21" i="14"/>
  <c r="AA24" i="14"/>
  <c r="S13" i="14"/>
  <c r="AE13" i="14"/>
  <c r="AC28" i="14"/>
  <c r="S18" i="14"/>
  <c r="AC16" i="14"/>
  <c r="AA16" i="14"/>
  <c r="AE24" i="14"/>
  <c r="AC17" i="14"/>
  <c r="AC11" i="14"/>
  <c r="S22" i="14"/>
  <c r="Y29" i="14"/>
  <c r="AA27" i="14"/>
  <c r="W18" i="14"/>
  <c r="AE16" i="14"/>
  <c r="W14" i="14"/>
  <c r="Y14" i="14"/>
  <c r="AE23" i="14"/>
  <c r="Y13" i="14"/>
  <c r="AC26" i="14"/>
  <c r="W16" i="14"/>
  <c r="U19" i="14"/>
  <c r="U22" i="14"/>
  <c r="AE28" i="14"/>
  <c r="AE29" i="14"/>
  <c r="W26" i="14"/>
  <c r="AA11" i="14"/>
  <c r="AE22" i="14"/>
  <c r="Y16" i="14"/>
  <c r="S21" i="14"/>
  <c r="W224" i="14"/>
  <c r="AA224" i="14"/>
  <c r="AH161" i="14"/>
  <c r="AL191" i="14"/>
  <c r="D11" i="21"/>
  <c r="G107" i="21"/>
  <c r="D133" i="21"/>
  <c r="E56" i="21"/>
  <c r="G56" i="21"/>
  <c r="H108" i="21"/>
  <c r="N19" i="21"/>
  <c r="G148" i="21"/>
  <c r="B222" i="21"/>
  <c r="C57" i="21"/>
  <c r="C114" i="21"/>
  <c r="F223" i="21"/>
  <c r="G46" i="21"/>
  <c r="H27" i="21"/>
  <c r="F114" i="21"/>
  <c r="L23" i="21"/>
  <c r="H11" i="21"/>
  <c r="F234" i="21"/>
  <c r="G41" i="21"/>
  <c r="C140" i="21"/>
  <c r="E52" i="21"/>
  <c r="B17" i="21"/>
  <c r="B139" i="21"/>
  <c r="H17" i="21"/>
  <c r="E138" i="21"/>
  <c r="E119" i="21"/>
  <c r="C46" i="21"/>
  <c r="C47" i="21"/>
  <c r="G57" i="21"/>
  <c r="H54" i="21"/>
  <c r="B51" i="21"/>
  <c r="B48" i="21"/>
  <c r="E140" i="21"/>
  <c r="H52" i="21"/>
  <c r="H44" i="21"/>
  <c r="B144" i="21"/>
  <c r="B117" i="21"/>
  <c r="J12" i="21"/>
  <c r="F12" i="21"/>
  <c r="G108" i="21"/>
  <c r="E58" i="21"/>
  <c r="F58" i="21"/>
  <c r="C148" i="21"/>
  <c r="F103" i="21"/>
  <c r="L11" i="21"/>
  <c r="B105" i="21"/>
  <c r="H29" i="21"/>
  <c r="B138" i="21"/>
  <c r="E54" i="21"/>
  <c r="G114" i="21"/>
  <c r="B113" i="21"/>
  <c r="E144" i="21"/>
  <c r="F112" i="21"/>
  <c r="C135" i="21"/>
  <c r="H13" i="21"/>
  <c r="H23" i="21"/>
  <c r="J29" i="21"/>
  <c r="B233" i="21"/>
  <c r="G117" i="21"/>
  <c r="C107" i="21"/>
  <c r="B220" i="21"/>
  <c r="F104" i="21"/>
  <c r="G47" i="21"/>
  <c r="F130" i="21"/>
  <c r="F11" i="21"/>
  <c r="C56" i="21"/>
  <c r="B133" i="21"/>
  <c r="B236" i="21"/>
  <c r="D41" i="21"/>
  <c r="B52" i="21"/>
  <c r="H107" i="21"/>
  <c r="G133" i="21"/>
  <c r="D103" i="21"/>
  <c r="C100" i="21"/>
  <c r="L19" i="21"/>
  <c r="D232" i="21"/>
  <c r="C39" i="21"/>
  <c r="E57" i="21"/>
  <c r="F117" i="21"/>
  <c r="B140" i="21"/>
  <c r="J14" i="21"/>
  <c r="F39" i="21"/>
  <c r="H9" i="21"/>
  <c r="E109" i="21"/>
  <c r="G103" i="21"/>
  <c r="F113" i="21"/>
  <c r="F237" i="21"/>
  <c r="B49" i="21"/>
  <c r="H132" i="21"/>
  <c r="D53" i="21"/>
  <c r="D42" i="21"/>
  <c r="H42" i="21"/>
  <c r="B12" i="21"/>
  <c r="F17" i="21"/>
  <c r="D149" i="21"/>
  <c r="D130" i="21"/>
  <c r="D100" i="21"/>
  <c r="E150" i="21"/>
  <c r="D102" i="21"/>
  <c r="H16" i="21"/>
  <c r="H145" i="21"/>
  <c r="C150" i="21"/>
  <c r="F232" i="21"/>
  <c r="F236" i="21"/>
  <c r="F227" i="21"/>
  <c r="B231" i="21"/>
  <c r="J19" i="21"/>
  <c r="N17" i="21"/>
  <c r="B145" i="21"/>
  <c r="D222" i="21"/>
  <c r="F47" i="21"/>
  <c r="D132" i="21"/>
  <c r="D115" i="21"/>
  <c r="E53" i="21"/>
  <c r="H148" i="21"/>
  <c r="B110" i="21"/>
  <c r="G142" i="21"/>
  <c r="E43" i="21"/>
  <c r="F108" i="21"/>
  <c r="H133" i="21"/>
  <c r="D27" i="21"/>
  <c r="B137" i="21"/>
  <c r="F231" i="21"/>
  <c r="D28" i="21"/>
  <c r="G132" i="21"/>
  <c r="B135" i="21"/>
  <c r="B27" i="21"/>
  <c r="H105" i="21"/>
  <c r="B119" i="21"/>
  <c r="D138" i="21"/>
  <c r="D224" i="21"/>
  <c r="C44" i="21"/>
  <c r="D223" i="21"/>
  <c r="J18" i="21"/>
  <c r="H49" i="21"/>
  <c r="E41" i="21"/>
  <c r="F105" i="21"/>
  <c r="N26" i="21"/>
  <c r="D18" i="21"/>
  <c r="E139" i="21"/>
  <c r="D23" i="21"/>
  <c r="E113" i="21"/>
  <c r="E130" i="21"/>
  <c r="G58" i="21"/>
  <c r="D22" i="21"/>
  <c r="F13" i="21"/>
  <c r="F52" i="21"/>
  <c r="H58" i="21"/>
  <c r="H41" i="21"/>
  <c r="G137" i="21"/>
  <c r="L27" i="21"/>
  <c r="G144" i="21"/>
  <c r="B227" i="21"/>
  <c r="D148" i="21"/>
  <c r="G59" i="21"/>
  <c r="D120" i="21"/>
  <c r="J21" i="21"/>
  <c r="N11" i="21"/>
  <c r="F100" i="21"/>
  <c r="F134" i="21"/>
  <c r="D43" i="21"/>
  <c r="F132" i="21"/>
  <c r="E118" i="21"/>
  <c r="J22" i="21"/>
  <c r="C52" i="21"/>
  <c r="E137" i="21"/>
  <c r="F229" i="21"/>
  <c r="D145" i="21"/>
  <c r="H56" i="21"/>
  <c r="B225" i="21"/>
  <c r="G49" i="21"/>
  <c r="G42" i="21"/>
  <c r="C137" i="21"/>
  <c r="B16" i="21"/>
  <c r="N12" i="21"/>
  <c r="D14" i="21"/>
  <c r="F57" i="21"/>
  <c r="G109" i="21"/>
  <c r="H103" i="21"/>
  <c r="H139" i="21"/>
  <c r="H19" i="21"/>
  <c r="F149" i="21"/>
  <c r="B132" i="21"/>
  <c r="D117" i="21"/>
  <c r="E108" i="21"/>
  <c r="E107" i="21"/>
  <c r="D225" i="21"/>
  <c r="H134" i="21"/>
  <c r="G48" i="21"/>
  <c r="F226" i="21"/>
  <c r="F137" i="21"/>
  <c r="L17" i="21"/>
  <c r="J11" i="21"/>
  <c r="F44" i="21"/>
  <c r="G135" i="21"/>
  <c r="G43" i="21"/>
  <c r="E117" i="21"/>
  <c r="H18" i="21"/>
  <c r="L22" i="21"/>
  <c r="F143" i="21"/>
  <c r="B39" i="21"/>
  <c r="B107" i="21"/>
  <c r="D109" i="21"/>
  <c r="H14" i="21"/>
  <c r="F135" i="21"/>
  <c r="E110" i="21"/>
  <c r="G100" i="21"/>
  <c r="E102" i="21"/>
  <c r="B42" i="21"/>
  <c r="F19" i="21"/>
  <c r="H113" i="21"/>
  <c r="F224" i="21"/>
  <c r="C119" i="21"/>
  <c r="B235" i="21"/>
  <c r="H59" i="21"/>
  <c r="B44" i="21"/>
  <c r="F41" i="21"/>
  <c r="F230" i="21"/>
  <c r="F235" i="21"/>
  <c r="F49" i="21"/>
  <c r="D140" i="21"/>
  <c r="F102" i="21"/>
  <c r="H24" i="21"/>
  <c r="D52" i="21"/>
  <c r="F27" i="21"/>
  <c r="L9" i="21"/>
  <c r="B232" i="21"/>
  <c r="H47" i="21"/>
  <c r="B22" i="21"/>
  <c r="D234" i="21"/>
  <c r="C54" i="21"/>
  <c r="E134" i="21"/>
  <c r="F150" i="21"/>
  <c r="G44" i="21"/>
  <c r="E51" i="21"/>
  <c r="E105" i="21"/>
  <c r="J28" i="21"/>
  <c r="H112" i="21"/>
  <c r="B143" i="21"/>
  <c r="C142" i="21"/>
  <c r="G149" i="21"/>
  <c r="D21" i="21"/>
  <c r="D19" i="21"/>
  <c r="D9" i="21"/>
  <c r="B237" i="21"/>
  <c r="B23" i="21"/>
  <c r="F59" i="21"/>
  <c r="D24" i="21"/>
  <c r="F22" i="21"/>
  <c r="N21" i="21"/>
  <c r="E145" i="21"/>
  <c r="B14" i="21"/>
  <c r="F42" i="21"/>
  <c r="C108" i="21"/>
  <c r="B114" i="21"/>
  <c r="B149" i="21"/>
  <c r="F133" i="21"/>
  <c r="F16" i="21"/>
  <c r="C147" i="21"/>
  <c r="C42" i="21"/>
  <c r="H21" i="21"/>
  <c r="J13" i="21"/>
  <c r="E39" i="21"/>
  <c r="B120" i="21"/>
  <c r="B230" i="21"/>
  <c r="D57" i="21"/>
  <c r="F118" i="21"/>
  <c r="D233" i="21"/>
  <c r="F119" i="21"/>
  <c r="E120" i="21"/>
  <c r="H39" i="21"/>
  <c r="D47" i="21"/>
  <c r="H138" i="21"/>
  <c r="H140" i="21"/>
  <c r="N13" i="21"/>
  <c r="H22" i="21"/>
  <c r="L18" i="21"/>
  <c r="N14" i="21"/>
  <c r="B226" i="21"/>
  <c r="B26" i="21"/>
  <c r="C59" i="21"/>
  <c r="G39" i="21"/>
  <c r="F23" i="21"/>
  <c r="C51" i="21"/>
  <c r="F115" i="21"/>
  <c r="B118" i="21"/>
  <c r="D44" i="21"/>
  <c r="F29" i="21"/>
  <c r="N16" i="21"/>
  <c r="G115" i="21"/>
  <c r="C143" i="21"/>
  <c r="F120" i="21"/>
  <c r="F9" i="21"/>
  <c r="B229" i="21"/>
  <c r="E100" i="21"/>
  <c r="D150" i="21"/>
  <c r="G130" i="21"/>
  <c r="H117" i="21"/>
  <c r="H57" i="21"/>
  <c r="B150" i="21"/>
  <c r="D104" i="21"/>
  <c r="D134" i="21"/>
  <c r="B56" i="21"/>
  <c r="D51" i="21"/>
  <c r="G140" i="21"/>
  <c r="B130" i="21"/>
  <c r="G139" i="21"/>
  <c r="D108" i="21"/>
  <c r="B59" i="21"/>
  <c r="D58" i="21"/>
  <c r="H43" i="21"/>
  <c r="G113" i="21"/>
  <c r="L21" i="21"/>
  <c r="C53" i="21"/>
  <c r="C144" i="21"/>
  <c r="H119" i="21"/>
  <c r="G104" i="21"/>
  <c r="F147" i="21"/>
  <c r="B102" i="21"/>
  <c r="B19" i="21"/>
  <c r="F54" i="21"/>
  <c r="G52" i="21"/>
  <c r="H102" i="21"/>
  <c r="D114" i="21"/>
  <c r="B9" i="21"/>
  <c r="N24" i="21"/>
  <c r="H46" i="21"/>
  <c r="G143" i="21"/>
  <c r="B46" i="21"/>
  <c r="D231" i="21"/>
  <c r="D110" i="21"/>
  <c r="G145" i="21"/>
  <c r="C145" i="21"/>
  <c r="C58" i="21"/>
  <c r="G102" i="21"/>
  <c r="H110" i="21"/>
  <c r="H100" i="21"/>
  <c r="B134" i="21"/>
  <c r="C138" i="21"/>
  <c r="H51" i="21"/>
  <c r="L29" i="21"/>
  <c r="L13" i="21"/>
  <c r="D142" i="21"/>
  <c r="L14" i="21"/>
  <c r="B28" i="21"/>
  <c r="E148" i="21"/>
  <c r="D144" i="21"/>
  <c r="H26" i="21"/>
  <c r="D226" i="21"/>
  <c r="B224" i="21"/>
  <c r="E112" i="21"/>
  <c r="D56" i="21"/>
  <c r="F225" i="21"/>
  <c r="F48" i="21"/>
  <c r="B47" i="21"/>
  <c r="B103" i="21"/>
  <c r="G110" i="21"/>
  <c r="H130" i="21"/>
  <c r="F222" i="21"/>
  <c r="D13" i="21"/>
  <c r="F145" i="21"/>
  <c r="N28" i="21"/>
  <c r="F24" i="21"/>
  <c r="E149" i="21"/>
  <c r="B21" i="21"/>
  <c r="D230" i="21"/>
  <c r="D119" i="21"/>
  <c r="G150" i="21"/>
  <c r="H142" i="21"/>
  <c r="F53" i="21"/>
  <c r="E44" i="21"/>
  <c r="D26" i="21"/>
  <c r="F14" i="21"/>
  <c r="D16" i="21"/>
  <c r="B41" i="21"/>
  <c r="L24" i="21"/>
  <c r="D12" i="21"/>
  <c r="H135" i="21"/>
  <c r="D220" i="21"/>
  <c r="L26" i="21"/>
  <c r="B142" i="21"/>
  <c r="C132" i="21"/>
  <c r="D29" i="21"/>
  <c r="F233" i="21"/>
  <c r="D137" i="21"/>
  <c r="D46" i="21"/>
  <c r="J26" i="21"/>
  <c r="C109" i="21"/>
  <c r="E135" i="21"/>
  <c r="F28" i="21"/>
  <c r="C105" i="21"/>
  <c r="H137" i="21"/>
  <c r="B100" i="21"/>
  <c r="F110" i="21"/>
  <c r="F109" i="21"/>
  <c r="F228" i="21"/>
  <c r="B108" i="21"/>
  <c r="E48" i="21"/>
  <c r="B58" i="21"/>
  <c r="C133" i="21"/>
  <c r="F21" i="21"/>
  <c r="D59" i="21"/>
  <c r="E59" i="21"/>
  <c r="H48" i="21"/>
  <c r="D235" i="21"/>
  <c r="B53" i="21"/>
  <c r="H28" i="21"/>
  <c r="F144" i="21"/>
  <c r="J23" i="21"/>
  <c r="N22" i="21"/>
  <c r="B109" i="21"/>
  <c r="D135" i="21"/>
  <c r="H144" i="21"/>
  <c r="D237" i="21"/>
  <c r="C134" i="21"/>
  <c r="C110" i="21"/>
  <c r="D147" i="21"/>
  <c r="D105" i="21"/>
  <c r="D113" i="21"/>
  <c r="E114" i="21"/>
  <c r="D118" i="21"/>
  <c r="C115" i="21"/>
  <c r="D49" i="21"/>
  <c r="G112" i="21"/>
  <c r="C149" i="21"/>
  <c r="D139" i="21"/>
  <c r="E42" i="21"/>
  <c r="C103" i="21"/>
  <c r="B104" i="21"/>
  <c r="E142" i="21"/>
  <c r="G118" i="21"/>
  <c r="C117" i="21"/>
  <c r="H53" i="21"/>
  <c r="E46" i="21"/>
  <c r="H12" i="21"/>
  <c r="C49" i="21"/>
  <c r="H147" i="21"/>
  <c r="B54" i="21"/>
  <c r="B13" i="21"/>
  <c r="C104" i="21"/>
  <c r="G51" i="21"/>
  <c r="D107" i="21"/>
  <c r="G53" i="21"/>
  <c r="N23" i="21"/>
  <c r="G54" i="21"/>
  <c r="C48" i="21"/>
  <c r="N29" i="21"/>
  <c r="B43" i="21"/>
  <c r="J16" i="21"/>
  <c r="J27" i="21"/>
  <c r="L28" i="21"/>
  <c r="F148" i="21"/>
  <c r="C118" i="21"/>
  <c r="E104" i="21"/>
  <c r="H118" i="21"/>
  <c r="E133" i="21"/>
  <c r="G105" i="21"/>
  <c r="F142" i="21"/>
  <c r="D54" i="21"/>
  <c r="H104" i="21"/>
  <c r="F18" i="21"/>
  <c r="D227" i="21"/>
  <c r="L16" i="21"/>
  <c r="F51" i="21"/>
  <c r="E115" i="21"/>
  <c r="D39" i="21"/>
  <c r="D236" i="21"/>
  <c r="F138" i="21"/>
  <c r="G147" i="21"/>
  <c r="C43" i="21"/>
  <c r="D143" i="21"/>
  <c r="B115" i="21"/>
  <c r="D17" i="21"/>
  <c r="B234" i="21"/>
  <c r="E143" i="21"/>
  <c r="E49" i="21"/>
  <c r="E132" i="21"/>
  <c r="B11" i="21"/>
  <c r="J24" i="21"/>
  <c r="B147" i="21"/>
  <c r="C139" i="21"/>
  <c r="F140" i="21"/>
  <c r="G119" i="21"/>
  <c r="C102" i="21"/>
  <c r="D228" i="21"/>
  <c r="B57" i="21"/>
  <c r="H150" i="21"/>
  <c r="N27" i="21"/>
  <c r="B223" i="21"/>
  <c r="N18" i="21"/>
  <c r="H120" i="21"/>
  <c r="H109" i="21"/>
  <c r="E103" i="21"/>
  <c r="F46" i="21"/>
  <c r="C120" i="21"/>
  <c r="G138" i="21"/>
  <c r="E47" i="21"/>
  <c r="H149" i="21"/>
  <c r="G120" i="21"/>
  <c r="C41" i="21"/>
  <c r="F43" i="21"/>
  <c r="J9" i="21"/>
  <c r="F56" i="21"/>
  <c r="B228" i="21"/>
  <c r="D229" i="21"/>
  <c r="C113" i="21"/>
  <c r="B148" i="21"/>
  <c r="G134" i="21"/>
  <c r="N9" i="21"/>
  <c r="D112" i="21"/>
  <c r="H143" i="21"/>
  <c r="C112" i="21"/>
  <c r="B24" i="21"/>
  <c r="B112" i="21"/>
  <c r="C130" i="21"/>
  <c r="E147" i="21"/>
  <c r="B18" i="21"/>
  <c r="H114" i="21"/>
  <c r="D48" i="21"/>
  <c r="F220" i="21"/>
  <c r="F107" i="21"/>
  <c r="L12" i="21"/>
  <c r="J17" i="21"/>
  <c r="F139" i="21"/>
  <c r="B29" i="21"/>
  <c r="F26" i="21"/>
  <c r="H115" i="21"/>
  <c r="U121" i="14"/>
  <c r="I101" i="14"/>
  <c r="F135" i="14"/>
  <c r="H136" i="14"/>
  <c r="R108" i="14"/>
  <c r="D52" i="14"/>
  <c r="I104" i="14"/>
  <c r="F114" i="14"/>
  <c r="T233" i="14"/>
  <c r="R224" i="14"/>
  <c r="B138" i="14"/>
  <c r="T145" i="14"/>
  <c r="B14" i="14"/>
  <c r="F150" i="14"/>
  <c r="F103" i="14"/>
  <c r="B52" i="14"/>
  <c r="G116" i="14"/>
  <c r="L19" i="14"/>
  <c r="S234" i="14"/>
  <c r="R235" i="14"/>
  <c r="B222" i="14"/>
  <c r="G109" i="14"/>
  <c r="R114" i="14"/>
  <c r="H48" i="14"/>
  <c r="D18" i="14"/>
  <c r="W90" i="14"/>
  <c r="F118" i="14"/>
  <c r="D110" i="14"/>
  <c r="B16" i="14"/>
  <c r="B235" i="14"/>
  <c r="R144" i="14"/>
  <c r="S74" i="14"/>
  <c r="L23" i="14"/>
  <c r="I103" i="14"/>
  <c r="H44" i="14"/>
  <c r="F57" i="14"/>
  <c r="F54" i="14"/>
  <c r="W111" i="14"/>
  <c r="G131" i="14"/>
  <c r="G141" i="14"/>
  <c r="G108" i="14"/>
  <c r="W101" i="14"/>
  <c r="F21" i="14"/>
  <c r="H51" i="14"/>
  <c r="D39" i="14"/>
  <c r="N26" i="14"/>
  <c r="B104" i="14"/>
  <c r="Q134" i="14"/>
  <c r="G58" i="14"/>
  <c r="V149" i="14"/>
  <c r="W82" i="14"/>
  <c r="E109" i="14"/>
  <c r="H47" i="14"/>
  <c r="B140" i="14"/>
  <c r="B119" i="14"/>
  <c r="H109" i="14"/>
  <c r="B39" i="14"/>
  <c r="T235" i="14"/>
  <c r="F41" i="14"/>
  <c r="T232" i="14"/>
  <c r="C135" i="14"/>
  <c r="I138" i="14"/>
  <c r="U144" i="14"/>
  <c r="B108" i="14"/>
  <c r="W146" i="14"/>
  <c r="S131" i="14"/>
  <c r="R143" i="14"/>
  <c r="H116" i="14"/>
  <c r="B120" i="14"/>
  <c r="G151" i="14"/>
  <c r="S77" i="14"/>
  <c r="C143" i="14"/>
  <c r="T108" i="14"/>
  <c r="S110" i="14"/>
  <c r="R231" i="14"/>
  <c r="Q84" i="14"/>
  <c r="D29" i="14"/>
  <c r="I116" i="14"/>
  <c r="H27" i="14"/>
  <c r="T115" i="14"/>
  <c r="F106" i="14"/>
  <c r="X110" i="14"/>
  <c r="H149" i="14"/>
  <c r="U105" i="14"/>
  <c r="R238" i="14"/>
  <c r="B46" i="14"/>
  <c r="F139" i="14"/>
  <c r="I109" i="14"/>
  <c r="F121" i="14"/>
  <c r="F56" i="14"/>
  <c r="I120" i="14"/>
  <c r="W143" i="14"/>
  <c r="W75" i="14"/>
  <c r="B236" i="14"/>
  <c r="S103" i="14"/>
  <c r="C103" i="14"/>
  <c r="T138" i="14"/>
  <c r="T78" i="14"/>
  <c r="S80" i="14"/>
  <c r="V140" i="14"/>
  <c r="W145" i="14"/>
  <c r="H138" i="14"/>
  <c r="U150" i="14"/>
  <c r="F231" i="14"/>
  <c r="F43" i="14"/>
  <c r="H46" i="14"/>
  <c r="B111" i="14"/>
  <c r="U146" i="14"/>
  <c r="H52" i="14"/>
  <c r="R120" i="14"/>
  <c r="D138" i="14"/>
  <c r="V101" i="14"/>
  <c r="N18" i="14"/>
  <c r="W134" i="14"/>
  <c r="R104" i="14"/>
  <c r="X120" i="14"/>
  <c r="U75" i="14"/>
  <c r="C46" i="14"/>
  <c r="S141" i="14"/>
  <c r="L28" i="14"/>
  <c r="L21" i="14"/>
  <c r="E101" i="14"/>
  <c r="D54" i="14"/>
  <c r="D23" i="14"/>
  <c r="T103" i="14"/>
  <c r="F145" i="14"/>
  <c r="H135" i="14"/>
  <c r="H141" i="14"/>
  <c r="Q80" i="14"/>
  <c r="D120" i="14"/>
  <c r="T105" i="14"/>
  <c r="R119" i="14"/>
  <c r="B22" i="14"/>
  <c r="N13" i="14"/>
  <c r="D51" i="14"/>
  <c r="G42" i="14"/>
  <c r="R105" i="14"/>
  <c r="R237" i="14"/>
  <c r="R77" i="14"/>
  <c r="U78" i="14"/>
  <c r="T114" i="14"/>
  <c r="X114" i="14"/>
  <c r="F16" i="14"/>
  <c r="G110" i="14"/>
  <c r="D111" i="14"/>
  <c r="G139" i="14"/>
  <c r="T101" i="14"/>
  <c r="R84" i="14"/>
  <c r="Q151" i="14"/>
  <c r="F12" i="14"/>
  <c r="S79" i="14"/>
  <c r="B239" i="14"/>
  <c r="D59" i="14"/>
  <c r="R115" i="14"/>
  <c r="G48" i="14"/>
  <c r="U80" i="14"/>
  <c r="W79" i="14"/>
  <c r="C131" i="14"/>
  <c r="U119" i="14"/>
  <c r="T144" i="14"/>
  <c r="S149" i="14"/>
  <c r="S238" i="14"/>
  <c r="J19" i="14"/>
  <c r="G52" i="14"/>
  <c r="N23" i="14"/>
  <c r="F104" i="14"/>
  <c r="L24" i="14"/>
  <c r="G103" i="14"/>
  <c r="B228" i="14"/>
  <c r="S116" i="14"/>
  <c r="F146" i="14"/>
  <c r="B237" i="14"/>
  <c r="D143" i="14"/>
  <c r="U109" i="14"/>
  <c r="Q78" i="14"/>
  <c r="U141" i="14"/>
  <c r="H143" i="14"/>
  <c r="U148" i="14"/>
  <c r="C150" i="14"/>
  <c r="S143" i="14"/>
  <c r="N27" i="14"/>
  <c r="T236" i="14"/>
  <c r="G49" i="14"/>
  <c r="C110" i="14"/>
  <c r="F133" i="14"/>
  <c r="I136" i="14"/>
  <c r="W77" i="14"/>
  <c r="F238" i="14"/>
  <c r="J22" i="14"/>
  <c r="U87" i="14"/>
  <c r="H113" i="14"/>
  <c r="S105" i="14"/>
  <c r="H114" i="14"/>
  <c r="U114" i="14"/>
  <c r="H26" i="14"/>
  <c r="T89" i="14"/>
  <c r="H14" i="14"/>
  <c r="H13" i="14"/>
  <c r="D58" i="14"/>
  <c r="T143" i="14"/>
  <c r="V72" i="14"/>
  <c r="U73" i="14"/>
  <c r="B234" i="14"/>
  <c r="S236" i="14"/>
  <c r="B101" i="14"/>
  <c r="R121" i="14"/>
  <c r="R139" i="14"/>
  <c r="C115" i="14"/>
  <c r="V113" i="14"/>
  <c r="H43" i="14"/>
  <c r="H57" i="14"/>
  <c r="G119" i="14"/>
  <c r="V121" i="14"/>
  <c r="E149" i="14"/>
  <c r="X103" i="14"/>
  <c r="W109" i="14"/>
  <c r="D144" i="14"/>
  <c r="S104" i="14"/>
  <c r="C144" i="14"/>
  <c r="F59" i="14"/>
  <c r="F27" i="14"/>
  <c r="S89" i="14"/>
  <c r="E148" i="14"/>
  <c r="D148" i="14"/>
  <c r="W151" i="14"/>
  <c r="E42" i="14"/>
  <c r="S115" i="14"/>
  <c r="T134" i="14"/>
  <c r="T90" i="14"/>
  <c r="S145" i="14"/>
  <c r="R103" i="14"/>
  <c r="V116" i="14"/>
  <c r="C106" i="14"/>
  <c r="C140" i="14"/>
  <c r="Q145" i="14"/>
  <c r="D145" i="14"/>
  <c r="T88" i="14"/>
  <c r="F233" i="14"/>
  <c r="B103" i="14"/>
  <c r="S82" i="14"/>
  <c r="W136" i="14"/>
  <c r="E139" i="14"/>
  <c r="B133" i="14"/>
  <c r="G115" i="14"/>
  <c r="I110" i="14"/>
  <c r="R85" i="14"/>
  <c r="L27" i="14"/>
  <c r="U133" i="14"/>
  <c r="C44" i="14"/>
  <c r="D106" i="14"/>
  <c r="F105" i="14"/>
  <c r="B136" i="14"/>
  <c r="U88" i="14"/>
  <c r="X109" i="14"/>
  <c r="R79" i="14"/>
  <c r="I144" i="14"/>
  <c r="W131" i="14"/>
  <c r="G146" i="14"/>
  <c r="U104" i="14"/>
  <c r="S119" i="14"/>
  <c r="T118" i="14"/>
  <c r="U143" i="14"/>
  <c r="Q75" i="14"/>
  <c r="B17" i="14"/>
  <c r="C134" i="14"/>
  <c r="G101" i="14"/>
  <c r="R146" i="14"/>
  <c r="T225" i="14"/>
  <c r="V118" i="14"/>
  <c r="S134" i="14"/>
  <c r="C49" i="14"/>
  <c r="E134" i="14"/>
  <c r="S144" i="14"/>
  <c r="J21" i="14"/>
  <c r="H54" i="14"/>
  <c r="E53" i="14"/>
  <c r="W70" i="14"/>
  <c r="W133" i="14"/>
  <c r="X105" i="14"/>
  <c r="C151" i="14"/>
  <c r="H12" i="14"/>
  <c r="R118" i="14"/>
  <c r="E110" i="14"/>
  <c r="J23" i="14"/>
  <c r="W148" i="14"/>
  <c r="F13" i="14"/>
  <c r="D140" i="14"/>
  <c r="F108" i="14"/>
  <c r="E59" i="14"/>
  <c r="B115" i="14"/>
  <c r="D101" i="14"/>
  <c r="T104" i="14"/>
  <c r="R110" i="14"/>
  <c r="S78" i="14"/>
  <c r="E113" i="14"/>
  <c r="D27" i="14"/>
  <c r="W89" i="14"/>
  <c r="L11" i="14"/>
  <c r="J18" i="14"/>
  <c r="B23" i="14"/>
  <c r="Q87" i="14"/>
  <c r="S135" i="14"/>
  <c r="D53" i="14"/>
  <c r="V88" i="14"/>
  <c r="T238" i="14"/>
  <c r="H19" i="14"/>
  <c r="T227" i="14"/>
  <c r="Q135" i="14"/>
  <c r="E145" i="14"/>
  <c r="I121" i="14"/>
  <c r="U120" i="14"/>
  <c r="B21" i="14"/>
  <c r="C149" i="14"/>
  <c r="H108" i="14"/>
  <c r="J27" i="14"/>
  <c r="I145" i="14"/>
  <c r="S108" i="14"/>
  <c r="U70" i="14"/>
  <c r="T82" i="14"/>
  <c r="B49" i="14"/>
  <c r="U90" i="14"/>
  <c r="T119" i="14"/>
  <c r="F51" i="14"/>
  <c r="D16" i="14"/>
  <c r="F23" i="14"/>
  <c r="D103" i="14"/>
  <c r="B227" i="14"/>
  <c r="D56" i="14"/>
  <c r="V80" i="14"/>
  <c r="V78" i="14"/>
  <c r="F140" i="14"/>
  <c r="Q77" i="14"/>
  <c r="S229" i="14"/>
  <c r="F120" i="14"/>
  <c r="J16" i="14"/>
  <c r="C118" i="14"/>
  <c r="U113" i="14"/>
  <c r="W141" i="14"/>
  <c r="C104" i="14"/>
  <c r="I131" i="14"/>
  <c r="S114" i="14"/>
  <c r="T111" i="14"/>
  <c r="F24" i="14"/>
  <c r="I119" i="14"/>
  <c r="V90" i="14"/>
  <c r="E116" i="14"/>
  <c r="G135" i="14"/>
  <c r="H23" i="14"/>
  <c r="J28" i="14"/>
  <c r="Q148" i="14"/>
  <c r="B148" i="14"/>
  <c r="G57" i="14"/>
  <c r="V111" i="14"/>
  <c r="Q139" i="14"/>
  <c r="V139" i="14"/>
  <c r="V148" i="14"/>
  <c r="F53" i="14"/>
  <c r="V110" i="14"/>
  <c r="U74" i="14"/>
  <c r="F47" i="14"/>
  <c r="U103" i="14"/>
  <c r="R140" i="14"/>
  <c r="V109" i="14"/>
  <c r="F116" i="14"/>
  <c r="I149" i="14"/>
  <c r="V77" i="14"/>
  <c r="C39" i="14"/>
  <c r="E106" i="14"/>
  <c r="T70" i="14"/>
  <c r="B231" i="14"/>
  <c r="H29" i="14"/>
  <c r="T222" i="14"/>
  <c r="S75" i="14"/>
  <c r="H139" i="14"/>
  <c r="R230" i="14"/>
  <c r="Q74" i="14"/>
  <c r="I118" i="14"/>
  <c r="E144" i="14"/>
  <c r="B57" i="14"/>
  <c r="J29" i="14"/>
  <c r="Q143" i="14"/>
  <c r="B24" i="14"/>
  <c r="F119" i="14"/>
  <c r="C47" i="14"/>
  <c r="G53" i="14"/>
  <c r="B141" i="14"/>
  <c r="H133" i="14"/>
  <c r="F44" i="14"/>
  <c r="V87" i="14"/>
  <c r="I140" i="14"/>
  <c r="F52" i="14"/>
  <c r="D141" i="14"/>
  <c r="S235" i="14"/>
  <c r="U89" i="14"/>
  <c r="D21" i="14"/>
  <c r="R111" i="14"/>
  <c r="U131" i="14"/>
  <c r="R113" i="14"/>
  <c r="T146" i="14"/>
  <c r="F230" i="14"/>
  <c r="D48" i="14"/>
  <c r="G133" i="14"/>
  <c r="R149" i="14"/>
  <c r="B13" i="14"/>
  <c r="W74" i="14"/>
  <c r="T121" i="14"/>
  <c r="B58" i="14"/>
  <c r="F46" i="14"/>
  <c r="U151" i="14"/>
  <c r="R229" i="14"/>
  <c r="W87" i="14"/>
  <c r="Q150" i="14"/>
  <c r="R89" i="14"/>
  <c r="D133" i="14"/>
  <c r="B151" i="14"/>
  <c r="V133" i="14"/>
  <c r="T237" i="14"/>
  <c r="W84" i="14"/>
  <c r="B139" i="14"/>
  <c r="E136" i="14"/>
  <c r="B43" i="14"/>
  <c r="B233" i="14"/>
  <c r="W83" i="14"/>
  <c r="E119" i="14"/>
  <c r="C52" i="14"/>
  <c r="B149" i="14"/>
  <c r="B145" i="14"/>
  <c r="H17" i="14"/>
  <c r="F110" i="14"/>
  <c r="S222" i="14"/>
  <c r="V119" i="14"/>
  <c r="H42" i="14"/>
  <c r="T131" i="14"/>
  <c r="D43" i="14"/>
  <c r="B18" i="14"/>
  <c r="S226" i="14"/>
  <c r="D105" i="14"/>
  <c r="X108" i="14"/>
  <c r="Q85" i="14"/>
  <c r="R239" i="14"/>
  <c r="D136" i="14"/>
  <c r="G138" i="14"/>
  <c r="C116" i="14"/>
  <c r="E54" i="14"/>
  <c r="D49" i="14"/>
  <c r="F226" i="14"/>
  <c r="G105" i="14"/>
  <c r="G140" i="14"/>
  <c r="G51" i="14"/>
  <c r="H119" i="14"/>
  <c r="C133" i="14"/>
  <c r="C139" i="14"/>
  <c r="R138" i="14"/>
  <c r="S150" i="14"/>
  <c r="S233" i="14"/>
  <c r="F136" i="14"/>
  <c r="W120" i="14"/>
  <c r="F229" i="14"/>
  <c r="B27" i="14"/>
  <c r="B47" i="14"/>
  <c r="B41" i="14"/>
  <c r="D17" i="14"/>
  <c r="H39" i="14"/>
  <c r="T226" i="14"/>
  <c r="S84" i="14"/>
  <c r="H18" i="14"/>
  <c r="W72" i="14"/>
  <c r="B56" i="14"/>
  <c r="I113" i="14"/>
  <c r="H106" i="14"/>
  <c r="N24" i="14"/>
  <c r="C120" i="14"/>
  <c r="W85" i="14"/>
  <c r="V141" i="14"/>
  <c r="Q70" i="14"/>
  <c r="G39" i="14"/>
  <c r="D109" i="14"/>
  <c r="D24" i="14"/>
  <c r="B26" i="14"/>
  <c r="G121" i="14"/>
  <c r="B110" i="14"/>
  <c r="R234" i="14"/>
  <c r="H59" i="14"/>
  <c r="X113" i="14"/>
  <c r="T228" i="14"/>
  <c r="B59" i="14"/>
  <c r="S231" i="14"/>
  <c r="T116" i="14"/>
  <c r="H131" i="14"/>
  <c r="C148" i="14"/>
  <c r="D13" i="14"/>
  <c r="U115" i="14"/>
  <c r="W80" i="14"/>
  <c r="I114" i="14"/>
  <c r="C53" i="14"/>
  <c r="E41" i="14"/>
  <c r="U145" i="14"/>
  <c r="Q88" i="14"/>
  <c r="E108" i="14"/>
  <c r="F101" i="14"/>
  <c r="H146" i="14"/>
  <c r="R225" i="14"/>
  <c r="Q72" i="14"/>
  <c r="J26" i="14"/>
  <c r="F224" i="14"/>
  <c r="Q90" i="14"/>
  <c r="Q146" i="14"/>
  <c r="C59" i="14"/>
  <c r="S227" i="14"/>
  <c r="T72" i="14"/>
  <c r="T139" i="14"/>
  <c r="I150" i="14"/>
  <c r="R78" i="14"/>
  <c r="D47" i="14"/>
  <c r="R70" i="14"/>
  <c r="E103" i="14"/>
  <c r="I151" i="14"/>
  <c r="I139" i="14"/>
  <c r="H120" i="14"/>
  <c r="E52" i="14"/>
  <c r="E104" i="14"/>
  <c r="F11" i="14"/>
  <c r="G145" i="14"/>
  <c r="H28" i="14"/>
  <c r="T230" i="14"/>
  <c r="F232" i="14"/>
  <c r="U72" i="14"/>
  <c r="N17" i="14"/>
  <c r="R134" i="14"/>
  <c r="B230" i="14"/>
  <c r="N16" i="14"/>
  <c r="X115" i="14"/>
  <c r="E121" i="14"/>
  <c r="S72" i="14"/>
  <c r="D114" i="14"/>
  <c r="L26" i="14"/>
  <c r="D139" i="14"/>
  <c r="F48" i="14"/>
  <c r="C101" i="14"/>
  <c r="V82" i="14"/>
  <c r="H121" i="14"/>
  <c r="H148" i="14"/>
  <c r="V103" i="14"/>
  <c r="D115" i="14"/>
  <c r="U135" i="14"/>
  <c r="X116" i="14"/>
  <c r="F151" i="14"/>
  <c r="F134" i="14"/>
  <c r="T84" i="14"/>
  <c r="J14" i="14"/>
  <c r="C56" i="14"/>
  <c r="H41" i="14"/>
  <c r="B114" i="14"/>
  <c r="R88" i="14"/>
  <c r="R150" i="14"/>
  <c r="E151" i="14"/>
  <c r="F109" i="14"/>
  <c r="R136" i="14"/>
  <c r="T73" i="14"/>
  <c r="L13" i="14"/>
  <c r="V105" i="14"/>
  <c r="L14" i="14"/>
  <c r="V75" i="14"/>
  <c r="B135" i="14"/>
  <c r="H105" i="14"/>
  <c r="G54" i="14"/>
  <c r="E146" i="14"/>
  <c r="R151" i="14"/>
  <c r="D104" i="14"/>
  <c r="S146" i="14"/>
  <c r="E111" i="14"/>
  <c r="I105" i="14"/>
  <c r="N11" i="14"/>
  <c r="B105" i="14"/>
  <c r="D150" i="14"/>
  <c r="B12" i="14"/>
  <c r="G150" i="14"/>
  <c r="H111" i="14"/>
  <c r="H22" i="14"/>
  <c r="I148" i="14"/>
  <c r="F227" i="14"/>
  <c r="C145" i="14"/>
  <c r="B48" i="14"/>
  <c r="S133" i="14"/>
  <c r="D119" i="14"/>
  <c r="B143" i="14"/>
  <c r="R87" i="14"/>
  <c r="F115" i="14"/>
  <c r="U149" i="14"/>
  <c r="V104" i="14"/>
  <c r="C57" i="14"/>
  <c r="W135" i="14"/>
  <c r="R74" i="14"/>
  <c r="S85" i="14"/>
  <c r="H110" i="14"/>
  <c r="F58" i="14"/>
  <c r="U111" i="14"/>
  <c r="H151" i="14"/>
  <c r="E43" i="14"/>
  <c r="I141" i="14"/>
  <c r="R109" i="14"/>
  <c r="C109" i="14"/>
  <c r="B113" i="14"/>
  <c r="V74" i="14"/>
  <c r="H115" i="14"/>
  <c r="T83" i="14"/>
  <c r="F235" i="14"/>
  <c r="E58" i="14"/>
  <c r="E49" i="14"/>
  <c r="C119" i="14"/>
  <c r="R116" i="14"/>
  <c r="Q141" i="14"/>
  <c r="R148" i="14"/>
  <c r="T74" i="14"/>
  <c r="T239" i="14"/>
  <c r="R145" i="14"/>
  <c r="E57" i="14"/>
  <c r="T148" i="14"/>
  <c r="D151" i="14"/>
  <c r="B121" i="14"/>
  <c r="R222" i="14"/>
  <c r="B53" i="14"/>
  <c r="L18" i="14"/>
  <c r="D108" i="14"/>
  <c r="F228" i="14"/>
  <c r="I111" i="14"/>
  <c r="U134" i="14"/>
  <c r="G134" i="14"/>
  <c r="S228" i="14"/>
  <c r="B150" i="14"/>
  <c r="G56" i="14"/>
  <c r="L17" i="14"/>
  <c r="U116" i="14"/>
  <c r="B28" i="14"/>
  <c r="C121" i="14"/>
  <c r="H150" i="14"/>
  <c r="E118" i="14"/>
  <c r="F28" i="14"/>
  <c r="U85" i="14"/>
  <c r="I115" i="14"/>
  <c r="C51" i="14"/>
  <c r="N19" i="14"/>
  <c r="E48" i="14"/>
  <c r="R82" i="14"/>
  <c r="S139" i="14"/>
  <c r="Q136" i="14"/>
  <c r="E46" i="14"/>
  <c r="F29" i="14"/>
  <c r="D121" i="14"/>
  <c r="E39" i="14"/>
  <c r="D26" i="14"/>
  <c r="U108" i="14"/>
  <c r="X121" i="14"/>
  <c r="U79" i="14"/>
  <c r="H104" i="14"/>
  <c r="F143" i="14"/>
  <c r="T150" i="14"/>
  <c r="G143" i="14"/>
  <c r="L29" i="14"/>
  <c r="H58" i="14"/>
  <c r="T87" i="14"/>
  <c r="Q82" i="14"/>
  <c r="S121" i="14"/>
  <c r="E115" i="14"/>
  <c r="G46" i="14"/>
  <c r="T234" i="14"/>
  <c r="B131" i="14"/>
  <c r="B54" i="14"/>
  <c r="W149" i="14"/>
  <c r="U110" i="14"/>
  <c r="D149" i="14"/>
  <c r="R233" i="14"/>
  <c r="J13" i="14"/>
  <c r="W115" i="14"/>
  <c r="B29" i="14"/>
  <c r="H49" i="14"/>
  <c r="V115" i="14"/>
  <c r="T85" i="14"/>
  <c r="C111" i="14"/>
  <c r="F49" i="14"/>
  <c r="U138" i="14"/>
  <c r="F236" i="14"/>
  <c r="V134" i="14"/>
  <c r="T231" i="14"/>
  <c r="R80" i="14"/>
  <c r="D44" i="14"/>
  <c r="H21" i="14"/>
  <c r="C41" i="14"/>
  <c r="S83" i="14"/>
  <c r="T75" i="14"/>
  <c r="S88" i="14"/>
  <c r="R131" i="14"/>
  <c r="E140" i="14"/>
  <c r="E120" i="14"/>
  <c r="B11" i="14"/>
  <c r="I134" i="14"/>
  <c r="U139" i="14"/>
  <c r="W108" i="14"/>
  <c r="U83" i="14"/>
  <c r="T229" i="14"/>
  <c r="C58" i="14"/>
  <c r="D113" i="14"/>
  <c r="C114" i="14"/>
  <c r="B118" i="14"/>
  <c r="V79" i="14"/>
  <c r="T113" i="14"/>
  <c r="F17" i="14"/>
  <c r="D118" i="14"/>
  <c r="R232" i="14"/>
  <c r="S140" i="14"/>
  <c r="V108" i="14"/>
  <c r="V146" i="14"/>
  <c r="J12" i="14"/>
  <c r="N14" i="14"/>
  <c r="S70" i="14"/>
  <c r="G44" i="14"/>
  <c r="D41" i="14"/>
  <c r="L22" i="14"/>
  <c r="R228" i="14"/>
  <c r="H140" i="14"/>
  <c r="F237" i="14"/>
  <c r="D134" i="14"/>
  <c r="H103" i="14"/>
  <c r="I146" i="14"/>
  <c r="B226" i="14"/>
  <c r="G118" i="14"/>
  <c r="W114" i="14"/>
  <c r="F141" i="14"/>
  <c r="S225" i="14"/>
  <c r="T109" i="14"/>
  <c r="D14" i="14"/>
  <c r="V73" i="14"/>
  <c r="G149" i="14"/>
  <c r="W144" i="14"/>
  <c r="V131" i="14"/>
  <c r="W116" i="14"/>
  <c r="V144" i="14"/>
  <c r="C105" i="14"/>
  <c r="I133" i="14"/>
  <c r="R226" i="14"/>
  <c r="S113" i="14"/>
  <c r="Q89" i="14"/>
  <c r="E143" i="14"/>
  <c r="Q140" i="14"/>
  <c r="W138" i="14"/>
  <c r="I143" i="14"/>
  <c r="C48" i="14"/>
  <c r="Q73" i="14"/>
  <c r="G47" i="14"/>
  <c r="S230" i="14"/>
  <c r="D57" i="14"/>
  <c r="V143" i="14"/>
  <c r="F222" i="14"/>
  <c r="V151" i="14"/>
  <c r="C43" i="14"/>
  <c r="F111" i="14"/>
  <c r="T151" i="14"/>
  <c r="X101" i="14"/>
  <c r="G120" i="14"/>
  <c r="U77" i="14"/>
  <c r="F144" i="14"/>
  <c r="Q133" i="14"/>
  <c r="V84" i="14"/>
  <c r="B144" i="14"/>
  <c r="U82" i="14"/>
  <c r="T79" i="14"/>
  <c r="V150" i="14"/>
  <c r="T141" i="14"/>
  <c r="G43" i="14"/>
  <c r="S73" i="14"/>
  <c r="W104" i="14"/>
  <c r="F148" i="14"/>
  <c r="E141" i="14"/>
  <c r="S90" i="14"/>
  <c r="D19" i="14"/>
  <c r="E44" i="14"/>
  <c r="W119" i="14"/>
  <c r="B229" i="14"/>
  <c r="C113" i="14"/>
  <c r="W118" i="14"/>
  <c r="I108" i="14"/>
  <c r="I135" i="14"/>
  <c r="S232" i="14"/>
  <c r="S148" i="14"/>
  <c r="J17" i="14"/>
  <c r="N29" i="14"/>
  <c r="C146" i="14"/>
  <c r="S237" i="14"/>
  <c r="Q144" i="14"/>
  <c r="W73" i="14"/>
  <c r="E51" i="14"/>
  <c r="W140" i="14"/>
  <c r="D12" i="14"/>
  <c r="U101" i="14"/>
  <c r="B44" i="14"/>
  <c r="S111" i="14"/>
  <c r="H53" i="14"/>
  <c r="B224" i="14"/>
  <c r="R83" i="14"/>
  <c r="X104" i="14"/>
  <c r="W105" i="14"/>
  <c r="C141" i="14"/>
  <c r="N21" i="14"/>
  <c r="C136" i="14"/>
  <c r="B225" i="14"/>
  <c r="V85" i="14"/>
  <c r="R72" i="14"/>
  <c r="W139" i="14"/>
  <c r="Q149" i="14"/>
  <c r="F14" i="14"/>
  <c r="F239" i="14"/>
  <c r="W121" i="14"/>
  <c r="I106" i="14"/>
  <c r="D146" i="14"/>
  <c r="R73" i="14"/>
  <c r="F225" i="14"/>
  <c r="F42" i="14"/>
  <c r="G114" i="14"/>
  <c r="S239" i="14"/>
  <c r="V136" i="14"/>
  <c r="R141" i="14"/>
  <c r="F18" i="14"/>
  <c r="Q138" i="14"/>
  <c r="H118" i="14"/>
  <c r="N12" i="14"/>
  <c r="V138" i="14"/>
  <c r="H145" i="14"/>
  <c r="L16" i="14"/>
  <c r="V114" i="14"/>
  <c r="F138" i="14"/>
  <c r="V120" i="14"/>
  <c r="G104" i="14"/>
  <c r="S109" i="14"/>
  <c r="S151" i="14"/>
  <c r="V89" i="14"/>
  <c r="H144" i="14"/>
  <c r="F19" i="14"/>
  <c r="B238" i="14"/>
  <c r="V70" i="14"/>
  <c r="R135" i="14"/>
  <c r="V135" i="14"/>
  <c r="H56" i="14"/>
  <c r="G59" i="14"/>
  <c r="T133" i="14"/>
  <c r="J11" i="14"/>
  <c r="T149" i="14"/>
  <c r="E105" i="14"/>
  <c r="E56" i="14"/>
  <c r="H134" i="14"/>
  <c r="D131" i="14"/>
  <c r="S87" i="14"/>
  <c r="B19" i="14"/>
  <c r="L12" i="14"/>
  <c r="E135" i="14"/>
  <c r="C108" i="14"/>
  <c r="C54" i="14"/>
  <c r="Q79" i="14"/>
  <c r="T80" i="14"/>
  <c r="S136" i="14"/>
  <c r="G111" i="14"/>
  <c r="T224" i="14"/>
  <c r="X111" i="14"/>
  <c r="G106" i="14"/>
  <c r="F149" i="14"/>
  <c r="Q131" i="14"/>
  <c r="W103" i="14"/>
  <c r="X118" i="14"/>
  <c r="W78" i="14"/>
  <c r="R133" i="14"/>
  <c r="U136" i="14"/>
  <c r="B51" i="14"/>
  <c r="G148" i="14"/>
  <c r="G136" i="14"/>
  <c r="D11" i="14"/>
  <c r="R101" i="14"/>
  <c r="F131" i="14"/>
  <c r="B134" i="14"/>
  <c r="N28" i="14"/>
  <c r="W110" i="14"/>
  <c r="T120" i="14"/>
  <c r="G41" i="14"/>
  <c r="V83" i="14"/>
  <c r="H11" i="14"/>
  <c r="E138" i="14"/>
  <c r="G113" i="14"/>
  <c r="E47" i="14"/>
  <c r="W150" i="14"/>
  <c r="H24" i="14"/>
  <c r="V145" i="14"/>
  <c r="S138" i="14"/>
  <c r="F39" i="14"/>
  <c r="E131" i="14"/>
  <c r="U140" i="14"/>
  <c r="J24" i="14"/>
  <c r="E150" i="14"/>
  <c r="D116" i="14"/>
  <c r="F113" i="14"/>
  <c r="C42" i="14"/>
  <c r="T135" i="14"/>
  <c r="D22" i="14"/>
  <c r="B109" i="14"/>
  <c r="R227" i="14"/>
  <c r="D28" i="14"/>
  <c r="F26" i="14"/>
  <c r="D42" i="14"/>
  <c r="S120" i="14"/>
  <c r="D46" i="14"/>
  <c r="T140" i="14"/>
  <c r="G144" i="14"/>
  <c r="C138" i="14"/>
  <c r="H16" i="14"/>
  <c r="D135" i="14"/>
  <c r="B116" i="14"/>
  <c r="S118" i="14"/>
  <c r="E133" i="14"/>
  <c r="X119" i="14"/>
  <c r="F234" i="14"/>
  <c r="B42" i="14"/>
  <c r="Q83" i="14"/>
  <c r="W88" i="14"/>
  <c r="S101" i="14"/>
  <c r="B232" i="14"/>
  <c r="H101" i="14"/>
  <c r="R75" i="14"/>
  <c r="F22" i="14"/>
  <c r="U84" i="14"/>
  <c r="E114" i="14"/>
  <c r="N22" i="14"/>
  <c r="T110" i="14"/>
  <c r="B146" i="14"/>
  <c r="W113" i="14"/>
  <c r="B106" i="14"/>
  <c r="R90" i="14"/>
  <c r="T77" i="14"/>
  <c r="T136" i="14"/>
  <c r="U118" i="14"/>
  <c r="U222" i="14" l="1"/>
  <c r="AP176" i="14"/>
  <c r="D83" i="21"/>
  <c r="B209" i="21"/>
  <c r="H174" i="21"/>
  <c r="AP165" i="14"/>
  <c r="AB238" i="14"/>
  <c r="G87" i="21"/>
  <c r="B193" i="21"/>
  <c r="AM181" i="14"/>
  <c r="B70" i="14"/>
  <c r="X234" i="14"/>
  <c r="H234" i="14"/>
  <c r="G73" i="14"/>
  <c r="AB232" i="14"/>
  <c r="F196" i="14"/>
  <c r="AF196" i="14" s="1"/>
  <c r="B180" i="21"/>
  <c r="AB222" i="14"/>
  <c r="H84" i="21"/>
  <c r="F83" i="21"/>
  <c r="B74" i="21"/>
  <c r="E73" i="21"/>
  <c r="H160" i="21"/>
  <c r="AB233" i="14"/>
  <c r="AB239" i="14"/>
  <c r="J175" i="14"/>
  <c r="AI175" i="14" s="1"/>
  <c r="H227" i="14"/>
  <c r="X227" i="14"/>
  <c r="H175" i="21"/>
  <c r="AJ209" i="14"/>
  <c r="J163" i="21"/>
  <c r="D203" i="21"/>
  <c r="AA235" i="14"/>
  <c r="W235" i="14"/>
  <c r="J180" i="14"/>
  <c r="AI180" i="14" s="1"/>
  <c r="J162" i="21"/>
  <c r="B203" i="21"/>
  <c r="B90" i="14"/>
  <c r="D196" i="14"/>
  <c r="AE196" i="14" s="1"/>
  <c r="AM169" i="14"/>
  <c r="C73" i="21"/>
  <c r="J165" i="21"/>
  <c r="B168" i="14"/>
  <c r="AD168" i="14" s="1"/>
  <c r="C89" i="21"/>
  <c r="AB230" i="14"/>
  <c r="G83" i="14"/>
  <c r="F70" i="21"/>
  <c r="AK176" i="14"/>
  <c r="H163" i="21"/>
  <c r="B80" i="14"/>
  <c r="H84" i="14"/>
  <c r="F174" i="14"/>
  <c r="AF174" i="14" s="1"/>
  <c r="E87" i="21"/>
  <c r="D70" i="14"/>
  <c r="H88" i="14"/>
  <c r="AL169" i="14"/>
  <c r="W239" i="14"/>
  <c r="AA239" i="14"/>
  <c r="B206" i="14"/>
  <c r="AD206" i="14" s="1"/>
  <c r="AK181" i="14"/>
  <c r="C74" i="21"/>
  <c r="H72" i="21"/>
  <c r="AA232" i="14"/>
  <c r="W232" i="14"/>
  <c r="B84" i="14"/>
  <c r="F168" i="21"/>
  <c r="AB231" i="14"/>
  <c r="AN166" i="14"/>
  <c r="D90" i="21"/>
  <c r="B201" i="14"/>
  <c r="AD201" i="14" s="1"/>
  <c r="C78" i="14"/>
  <c r="D88" i="21"/>
  <c r="B79" i="21"/>
  <c r="F70" i="14"/>
  <c r="E70" i="14"/>
  <c r="B192" i="21"/>
  <c r="AJ196" i="14"/>
  <c r="AM166" i="14"/>
  <c r="B198" i="14"/>
  <c r="AD198" i="14" s="1"/>
  <c r="AN168" i="14"/>
  <c r="H171" i="14"/>
  <c r="AG171" i="14" s="1"/>
  <c r="AP168" i="14"/>
  <c r="AM168" i="14"/>
  <c r="E87" i="14"/>
  <c r="AL175" i="14"/>
  <c r="AK166" i="14"/>
  <c r="D83" i="14"/>
  <c r="B161" i="14"/>
  <c r="D163" i="21"/>
  <c r="B167" i="21"/>
  <c r="AN175" i="14"/>
  <c r="V232" i="14"/>
  <c r="Z232" i="14"/>
  <c r="D198" i="14"/>
  <c r="AE198" i="14" s="1"/>
  <c r="H179" i="14"/>
  <c r="F85" i="14"/>
  <c r="F74" i="14"/>
  <c r="U237" i="14"/>
  <c r="H168" i="14"/>
  <c r="AG168" i="14" s="1"/>
  <c r="D90" i="14"/>
  <c r="AM173" i="14"/>
  <c r="AB227" i="14"/>
  <c r="AL168" i="14"/>
  <c r="H164" i="14"/>
  <c r="AG164" i="14" s="1"/>
  <c r="AA236" i="14"/>
  <c r="W236" i="14"/>
  <c r="U236" i="14"/>
  <c r="H73" i="21"/>
  <c r="Z235" i="14"/>
  <c r="V235" i="14"/>
  <c r="AP166" i="14"/>
  <c r="C88" i="14"/>
  <c r="H174" i="14"/>
  <c r="AG174" i="14" s="1"/>
  <c r="E79" i="14"/>
  <c r="U228" i="14"/>
  <c r="D77" i="21"/>
  <c r="AN169" i="14"/>
  <c r="C90" i="14"/>
  <c r="E77" i="14"/>
  <c r="F178" i="14"/>
  <c r="AF178" i="14" s="1"/>
  <c r="X226" i="14"/>
  <c r="H226" i="14"/>
  <c r="H228" i="14"/>
  <c r="X228" i="14"/>
  <c r="F73" i="21"/>
  <c r="C78" i="21"/>
  <c r="AN164" i="14"/>
  <c r="D195" i="14"/>
  <c r="AE195" i="14" s="1"/>
  <c r="F90" i="14"/>
  <c r="D207" i="21"/>
  <c r="J169" i="21"/>
  <c r="X232" i="14"/>
  <c r="H232" i="14"/>
  <c r="B162" i="21"/>
  <c r="F205" i="14"/>
  <c r="AF205" i="14" s="1"/>
  <c r="Z225" i="14"/>
  <c r="V225" i="14"/>
  <c r="E88" i="14"/>
  <c r="E72" i="14"/>
  <c r="AM164" i="14"/>
  <c r="D205" i="14"/>
  <c r="AE205" i="14" s="1"/>
  <c r="C89" i="14"/>
  <c r="AJ195" i="14"/>
  <c r="D170" i="21"/>
  <c r="AJ193" i="14"/>
  <c r="F175" i="21"/>
  <c r="H90" i="21"/>
  <c r="E82" i="14"/>
  <c r="AP164" i="14"/>
  <c r="AK175" i="14"/>
  <c r="H229" i="14"/>
  <c r="X229" i="14"/>
  <c r="AK198" i="14"/>
  <c r="J165" i="14"/>
  <c r="AI165" i="14" s="1"/>
  <c r="F194" i="14"/>
  <c r="AF194" i="14" s="1"/>
  <c r="D194" i="14"/>
  <c r="AE194" i="14" s="1"/>
  <c r="D175" i="14"/>
  <c r="AE175" i="14" s="1"/>
  <c r="F165" i="14"/>
  <c r="AF165" i="14" s="1"/>
  <c r="E80" i="14"/>
  <c r="C73" i="14"/>
  <c r="E85" i="21"/>
  <c r="B174" i="14"/>
  <c r="AD174" i="14" s="1"/>
  <c r="B179" i="14"/>
  <c r="AK209" i="14"/>
  <c r="B204" i="21"/>
  <c r="V230" i="14"/>
  <c r="Z230" i="14"/>
  <c r="J177" i="21"/>
  <c r="B85" i="21"/>
  <c r="D72" i="21"/>
  <c r="U230" i="14"/>
  <c r="J173" i="21"/>
  <c r="AB235" i="14"/>
  <c r="AK163" i="14"/>
  <c r="AN165" i="14"/>
  <c r="G74" i="21"/>
  <c r="J179" i="14"/>
  <c r="AI179" i="14" s="1"/>
  <c r="D179" i="21"/>
  <c r="F80" i="21"/>
  <c r="B178" i="14"/>
  <c r="AD178" i="14" s="1"/>
  <c r="D89" i="21"/>
  <c r="G89" i="14"/>
  <c r="D175" i="21"/>
  <c r="H173" i="21"/>
  <c r="B85" i="14"/>
  <c r="AA228" i="14"/>
  <c r="W228" i="14"/>
  <c r="D173" i="21"/>
  <c r="F199" i="14"/>
  <c r="AF199" i="14" s="1"/>
  <c r="H238" i="14"/>
  <c r="X238" i="14"/>
  <c r="D75" i="14"/>
  <c r="H226" i="21"/>
  <c r="E72" i="21"/>
  <c r="Z228" i="14"/>
  <c r="V228" i="14"/>
  <c r="B191" i="14"/>
  <c r="H233" i="21"/>
  <c r="B88" i="14"/>
  <c r="F179" i="14"/>
  <c r="Z231" i="14"/>
  <c r="V231" i="14"/>
  <c r="X236" i="14"/>
  <c r="H236" i="14"/>
  <c r="F201" i="14"/>
  <c r="AF201" i="14" s="1"/>
  <c r="E84" i="21"/>
  <c r="J174" i="21"/>
  <c r="B175" i="21"/>
  <c r="J171" i="14"/>
  <c r="AI171" i="14" s="1"/>
  <c r="J181" i="14"/>
  <c r="AI181" i="14" s="1"/>
  <c r="E77" i="21"/>
  <c r="X233" i="14"/>
  <c r="H233" i="14"/>
  <c r="B77" i="14"/>
  <c r="B77" i="21"/>
  <c r="V224" i="14"/>
  <c r="Z224" i="14"/>
  <c r="AJ206" i="14"/>
  <c r="AL174" i="14"/>
  <c r="AB228" i="14"/>
  <c r="J172" i="21"/>
  <c r="B72" i="14"/>
  <c r="B74" i="14"/>
  <c r="AP178" i="14"/>
  <c r="AM170" i="14"/>
  <c r="H176" i="14"/>
  <c r="AG176" i="14" s="1"/>
  <c r="D211" i="14"/>
  <c r="AE211" i="14" s="1"/>
  <c r="B210" i="14"/>
  <c r="AD210" i="14" s="1"/>
  <c r="AP171" i="14"/>
  <c r="AA234" i="14"/>
  <c r="W234" i="14"/>
  <c r="F75" i="14"/>
  <c r="F87" i="21"/>
  <c r="F180" i="14"/>
  <c r="AF180" i="14" s="1"/>
  <c r="D79" i="21"/>
  <c r="F191" i="14"/>
  <c r="D202" i="21"/>
  <c r="AP169" i="14"/>
  <c r="B211" i="14"/>
  <c r="AD211" i="14" s="1"/>
  <c r="E90" i="14"/>
  <c r="B195" i="14"/>
  <c r="AD195" i="14" s="1"/>
  <c r="AA238" i="14"/>
  <c r="W238" i="14"/>
  <c r="F77" i="14"/>
  <c r="D78" i="21"/>
  <c r="D195" i="21"/>
  <c r="H80" i="14"/>
  <c r="H180" i="21"/>
  <c r="D70" i="21"/>
  <c r="H168" i="21"/>
  <c r="J179" i="21"/>
  <c r="C87" i="14"/>
  <c r="H85" i="14"/>
  <c r="D174" i="21"/>
  <c r="F210" i="14"/>
  <c r="AF210" i="14" s="1"/>
  <c r="E89" i="21"/>
  <c r="H83" i="21"/>
  <c r="D89" i="14"/>
  <c r="D169" i="21"/>
  <c r="W237" i="14"/>
  <c r="AA237" i="14"/>
  <c r="F195" i="14"/>
  <c r="AF195" i="14" s="1"/>
  <c r="H170" i="21"/>
  <c r="AJ200" i="14"/>
  <c r="B199" i="21"/>
  <c r="AK210" i="14"/>
  <c r="D200" i="14"/>
  <c r="AE200" i="14" s="1"/>
  <c r="G87" i="14"/>
  <c r="F83" i="14"/>
  <c r="U227" i="14"/>
  <c r="H237" i="21"/>
  <c r="H162" i="21"/>
  <c r="B87" i="14"/>
  <c r="H80" i="21"/>
  <c r="X224" i="14"/>
  <c r="H224" i="14"/>
  <c r="G77" i="21"/>
  <c r="H77" i="21"/>
  <c r="H224" i="21"/>
  <c r="V234" i="14"/>
  <c r="Z234" i="14"/>
  <c r="AK211" i="14"/>
  <c r="E80" i="21"/>
  <c r="B89" i="21"/>
  <c r="B170" i="14"/>
  <c r="AD170" i="14" s="1"/>
  <c r="J170" i="21"/>
  <c r="AB234" i="14"/>
  <c r="B160" i="21"/>
  <c r="B75" i="14"/>
  <c r="H166" i="14"/>
  <c r="AG166" i="14" s="1"/>
  <c r="E70" i="21"/>
  <c r="F175" i="14"/>
  <c r="AF175" i="14" s="1"/>
  <c r="G90" i="14"/>
  <c r="C75" i="14"/>
  <c r="F170" i="14"/>
  <c r="AF170" i="14" s="1"/>
  <c r="B75" i="21"/>
  <c r="D172" i="21"/>
  <c r="B195" i="21"/>
  <c r="U225" i="14"/>
  <c r="G78" i="14"/>
  <c r="AN181" i="14"/>
  <c r="H89" i="21"/>
  <c r="J161" i="14"/>
  <c r="D165" i="14"/>
  <c r="AE165" i="14" s="1"/>
  <c r="AB225" i="14"/>
  <c r="B194" i="21"/>
  <c r="AM163" i="14"/>
  <c r="AM176" i="14"/>
  <c r="J166" i="14"/>
  <c r="AI166" i="14" s="1"/>
  <c r="D163" i="14"/>
  <c r="AE163" i="14" s="1"/>
  <c r="H87" i="14"/>
  <c r="D73" i="21"/>
  <c r="F79" i="21"/>
  <c r="D85" i="14"/>
  <c r="H88" i="21"/>
  <c r="D199" i="14"/>
  <c r="AE199" i="14" s="1"/>
  <c r="Z238" i="14"/>
  <c r="V238" i="14"/>
  <c r="E78" i="14"/>
  <c r="D193" i="21"/>
  <c r="H79" i="21"/>
  <c r="B205" i="21"/>
  <c r="H85" i="21"/>
  <c r="B204" i="14"/>
  <c r="AD204" i="14" s="1"/>
  <c r="AA222" i="14"/>
  <c r="W222" i="14"/>
  <c r="J167" i="21"/>
  <c r="C70" i="21"/>
  <c r="AB237" i="14"/>
  <c r="G75" i="14"/>
  <c r="H235" i="21"/>
  <c r="F79" i="14"/>
  <c r="W226" i="14"/>
  <c r="AA226" i="14"/>
  <c r="F82" i="21"/>
  <c r="H179" i="21"/>
  <c r="B70" i="21"/>
  <c r="X225" i="14"/>
  <c r="H225" i="14"/>
  <c r="D164" i="14"/>
  <c r="AE164" i="14" s="1"/>
  <c r="H74" i="14"/>
  <c r="H222" i="14"/>
  <c r="X222" i="14"/>
  <c r="AM171" i="14"/>
  <c r="AK200" i="14"/>
  <c r="D87" i="21"/>
  <c r="C82" i="21"/>
  <c r="AP180" i="14"/>
  <c r="E83" i="21"/>
  <c r="G75" i="21"/>
  <c r="C75" i="21"/>
  <c r="E74" i="14"/>
  <c r="E78" i="21"/>
  <c r="AL176" i="14"/>
  <c r="AJ211" i="14"/>
  <c r="B202" i="21"/>
  <c r="B209" i="14"/>
  <c r="AD209" i="14" s="1"/>
  <c r="V222" i="14"/>
  <c r="Z222" i="14"/>
  <c r="AK199" i="14"/>
  <c r="G79" i="14"/>
  <c r="F78" i="14"/>
  <c r="F164" i="14"/>
  <c r="AF164" i="14" s="1"/>
  <c r="AL181" i="14"/>
  <c r="V233" i="14"/>
  <c r="Z233" i="14"/>
  <c r="D208" i="14"/>
  <c r="AE208" i="14" s="1"/>
  <c r="D78" i="14"/>
  <c r="AJ198" i="14"/>
  <c r="E75" i="14"/>
  <c r="E73" i="14"/>
  <c r="J173" i="14"/>
  <c r="AI173" i="14" s="1"/>
  <c r="G70" i="21"/>
  <c r="D204" i="14"/>
  <c r="AE204" i="14" s="1"/>
  <c r="AM174" i="14"/>
  <c r="AN176" i="14"/>
  <c r="H77" i="14"/>
  <c r="B163" i="21"/>
  <c r="AJ208" i="14"/>
  <c r="H90" i="14"/>
  <c r="H173" i="14"/>
  <c r="AG173" i="14" s="1"/>
  <c r="F181" i="14"/>
  <c r="AF181" i="14" s="1"/>
  <c r="D210" i="21"/>
  <c r="J168" i="21"/>
  <c r="D174" i="14"/>
  <c r="AE174" i="14" s="1"/>
  <c r="D169" i="14"/>
  <c r="AE169" i="14" s="1"/>
  <c r="J164" i="14"/>
  <c r="AI164" i="14" s="1"/>
  <c r="B178" i="21"/>
  <c r="J180" i="21"/>
  <c r="F169" i="14"/>
  <c r="AF169" i="14" s="1"/>
  <c r="H89" i="14"/>
  <c r="D161" i="14"/>
  <c r="F75" i="21"/>
  <c r="D201" i="14"/>
  <c r="AE201" i="14" s="1"/>
  <c r="B171" i="14"/>
  <c r="AD171" i="14" s="1"/>
  <c r="AJ210" i="14"/>
  <c r="B179" i="21"/>
  <c r="B83" i="14"/>
  <c r="B88" i="21"/>
  <c r="AL163" i="14"/>
  <c r="AJ194" i="14"/>
  <c r="F179" i="21"/>
  <c r="B181" i="14"/>
  <c r="AD181" i="14" s="1"/>
  <c r="D205" i="21"/>
  <c r="B72" i="21"/>
  <c r="AL171" i="14"/>
  <c r="H163" i="14"/>
  <c r="AG163" i="14" s="1"/>
  <c r="F203" i="14"/>
  <c r="AF203" i="14" s="1"/>
  <c r="D192" i="21"/>
  <c r="F84" i="21"/>
  <c r="C85" i="14"/>
  <c r="H239" i="14"/>
  <c r="X239" i="14"/>
  <c r="E82" i="21"/>
  <c r="F167" i="21"/>
  <c r="W227" i="14"/>
  <c r="AA227" i="14"/>
  <c r="J160" i="21"/>
  <c r="B163" i="14"/>
  <c r="AD163" i="14" s="1"/>
  <c r="B176" i="14"/>
  <c r="AD176" i="14" s="1"/>
  <c r="H70" i="14"/>
  <c r="AL166" i="14"/>
  <c r="B84" i="21"/>
  <c r="AN173" i="14"/>
  <c r="D208" i="21"/>
  <c r="AN178" i="14"/>
  <c r="B78" i="21"/>
  <c r="Z229" i="14"/>
  <c r="V229" i="14"/>
  <c r="G77" i="14"/>
  <c r="F80" i="14"/>
  <c r="B177" i="21"/>
  <c r="AK170" i="14"/>
  <c r="D84" i="14"/>
  <c r="D181" i="14"/>
  <c r="AE181" i="14" s="1"/>
  <c r="H178" i="14"/>
  <c r="AG178" i="14" s="1"/>
  <c r="B208" i="14"/>
  <c r="AD208" i="14" s="1"/>
  <c r="G82" i="21"/>
  <c r="AJ203" i="14"/>
  <c r="F90" i="21"/>
  <c r="G89" i="21"/>
  <c r="D170" i="14"/>
  <c r="AE170" i="14" s="1"/>
  <c r="D72" i="14"/>
  <c r="AK164" i="14"/>
  <c r="AJ199" i="14"/>
  <c r="E89" i="14"/>
  <c r="J170" i="14"/>
  <c r="AI170" i="14" s="1"/>
  <c r="D176" i="14"/>
  <c r="AE176" i="14" s="1"/>
  <c r="B173" i="14"/>
  <c r="AD173" i="14" s="1"/>
  <c r="C80" i="21"/>
  <c r="D203" i="14"/>
  <c r="AE203" i="14" s="1"/>
  <c r="F208" i="14"/>
  <c r="AF208" i="14" s="1"/>
  <c r="G82" i="14"/>
  <c r="H230" i="14"/>
  <c r="X230" i="14"/>
  <c r="F82" i="14"/>
  <c r="B172" i="21"/>
  <c r="D162" i="21"/>
  <c r="D206" i="14"/>
  <c r="AE206" i="14" s="1"/>
  <c r="F164" i="21"/>
  <c r="AL178" i="14"/>
  <c r="F173" i="21"/>
  <c r="H231" i="14"/>
  <c r="X231" i="14"/>
  <c r="AM165" i="14"/>
  <c r="Z239" i="14"/>
  <c r="V239" i="14"/>
  <c r="B208" i="21"/>
  <c r="H227" i="21"/>
  <c r="G88" i="21"/>
  <c r="D85" i="21"/>
  <c r="H232" i="21"/>
  <c r="G72" i="21"/>
  <c r="AB229" i="14"/>
  <c r="U232" i="14"/>
  <c r="B166" i="14"/>
  <c r="AD166" i="14" s="1"/>
  <c r="W231" i="14"/>
  <c r="AA231" i="14"/>
  <c r="F204" i="14"/>
  <c r="AF204" i="14" s="1"/>
  <c r="U233" i="14"/>
  <c r="D160" i="21"/>
  <c r="AK205" i="14"/>
  <c r="C77" i="21"/>
  <c r="G85" i="21"/>
  <c r="D168" i="14"/>
  <c r="AE168" i="14" s="1"/>
  <c r="G84" i="14"/>
  <c r="C83" i="14"/>
  <c r="H82" i="21"/>
  <c r="U239" i="14"/>
  <c r="H75" i="14"/>
  <c r="B193" i="14"/>
  <c r="AD193" i="14" s="1"/>
  <c r="C85" i="21"/>
  <c r="AK193" i="14"/>
  <c r="C79" i="21"/>
  <c r="B73" i="21"/>
  <c r="G85" i="14"/>
  <c r="D209" i="14"/>
  <c r="AE209" i="14" s="1"/>
  <c r="B79" i="14"/>
  <c r="G83" i="21"/>
  <c r="B164" i="21"/>
  <c r="C83" i="21"/>
  <c r="B173" i="21"/>
  <c r="G73" i="21"/>
  <c r="D200" i="21"/>
  <c r="V226" i="14"/>
  <c r="Z226" i="14"/>
  <c r="D79" i="14"/>
  <c r="D80" i="21"/>
  <c r="D164" i="21"/>
  <c r="H164" i="21"/>
  <c r="F166" i="14"/>
  <c r="AF166" i="14" s="1"/>
  <c r="G70" i="14"/>
  <c r="B165" i="21"/>
  <c r="D179" i="14"/>
  <c r="H78" i="14"/>
  <c r="G72" i="14"/>
  <c r="D178" i="21"/>
  <c r="B80" i="21"/>
  <c r="F89" i="21"/>
  <c r="D209" i="21"/>
  <c r="B200" i="14"/>
  <c r="AD200" i="14" s="1"/>
  <c r="AB226" i="14"/>
  <c r="AA229" i="14"/>
  <c r="W229" i="14"/>
  <c r="G79" i="21"/>
  <c r="AK195" i="14"/>
  <c r="AA230" i="14"/>
  <c r="W230" i="14"/>
  <c r="AK196" i="14"/>
  <c r="E75" i="21"/>
  <c r="F73" i="14"/>
  <c r="F198" i="14"/>
  <c r="AF198" i="14" s="1"/>
  <c r="H165" i="21"/>
  <c r="D80" i="14"/>
  <c r="AB236" i="14"/>
  <c r="D166" i="14"/>
  <c r="AE166" i="14" s="1"/>
  <c r="AP181" i="14"/>
  <c r="AK204" i="14"/>
  <c r="AK171" i="14"/>
  <c r="H169" i="21"/>
  <c r="G74" i="14"/>
  <c r="D198" i="21"/>
  <c r="J168" i="14"/>
  <c r="AI168" i="14" s="1"/>
  <c r="C77" i="14"/>
  <c r="AJ201" i="14"/>
  <c r="C70" i="14"/>
  <c r="H225" i="21"/>
  <c r="E90" i="21"/>
  <c r="H169" i="14"/>
  <c r="AG169" i="14" s="1"/>
  <c r="B168" i="21"/>
  <c r="B78" i="14"/>
  <c r="AP173" i="14"/>
  <c r="G80" i="14"/>
  <c r="H229" i="21"/>
  <c r="H178" i="21"/>
  <c r="C84" i="14"/>
  <c r="H87" i="21"/>
  <c r="B87" i="21"/>
  <c r="F74" i="21"/>
  <c r="H82" i="14"/>
  <c r="F209" i="14"/>
  <c r="AF209" i="14" s="1"/>
  <c r="AM178" i="14"/>
  <c r="AJ204" i="14"/>
  <c r="B197" i="21"/>
  <c r="F177" i="21"/>
  <c r="U238" i="14"/>
  <c r="C74" i="14"/>
  <c r="AN174" i="14"/>
  <c r="H74" i="21"/>
  <c r="AN171" i="14"/>
  <c r="B198" i="21"/>
  <c r="C72" i="21"/>
  <c r="F78" i="21"/>
  <c r="D193" i="14"/>
  <c r="AE193" i="14" s="1"/>
  <c r="F89" i="14"/>
  <c r="B73" i="14"/>
  <c r="H175" i="14"/>
  <c r="AG175" i="14" s="1"/>
  <c r="J175" i="21"/>
  <c r="H177" i="21"/>
  <c r="G80" i="21"/>
  <c r="C80" i="14"/>
  <c r="D74" i="14"/>
  <c r="F84" i="14"/>
  <c r="F161" i="14"/>
  <c r="F180" i="21"/>
  <c r="H161" i="14"/>
  <c r="D82" i="21"/>
  <c r="D84" i="21"/>
  <c r="D77" i="14"/>
  <c r="F193" i="14"/>
  <c r="AF193" i="14" s="1"/>
  <c r="D197" i="21"/>
  <c r="H83" i="14"/>
  <c r="H180" i="14"/>
  <c r="AN163" i="14"/>
  <c r="F172" i="21"/>
  <c r="F168" i="14"/>
  <c r="AF168" i="14" s="1"/>
  <c r="B164" i="14"/>
  <c r="AD164" i="14" s="1"/>
  <c r="AL165" i="14"/>
  <c r="AK206" i="14"/>
  <c r="G90" i="21"/>
  <c r="D75" i="21"/>
  <c r="U229" i="14"/>
  <c r="D194" i="21"/>
  <c r="AJ205" i="14"/>
  <c r="B210" i="21"/>
  <c r="AK173" i="14"/>
  <c r="AN170" i="14"/>
  <c r="AL164" i="14"/>
  <c r="B82" i="21"/>
  <c r="U231" i="14"/>
  <c r="H230" i="21"/>
  <c r="F163" i="21"/>
  <c r="AL173" i="14"/>
  <c r="B174" i="21"/>
  <c r="D191" i="14"/>
  <c r="D87" i="14"/>
  <c r="AP175" i="14"/>
  <c r="Z237" i="14"/>
  <c r="V237" i="14"/>
  <c r="X237" i="14"/>
  <c r="H237" i="14"/>
  <c r="H170" i="14"/>
  <c r="AG170" i="14" s="1"/>
  <c r="D165" i="21"/>
  <c r="F174" i="21"/>
  <c r="B194" i="14"/>
  <c r="AD194" i="14" s="1"/>
  <c r="J174" i="14"/>
  <c r="AI174" i="14" s="1"/>
  <c r="AK208" i="14"/>
  <c r="B169" i="21"/>
  <c r="D74" i="21"/>
  <c r="F85" i="21"/>
  <c r="F165" i="21"/>
  <c r="Z236" i="14"/>
  <c r="V236" i="14"/>
  <c r="C90" i="21"/>
  <c r="D180" i="21"/>
  <c r="W225" i="14"/>
  <c r="AA225" i="14"/>
  <c r="F87" i="14"/>
  <c r="AP174" i="14"/>
  <c r="J169" i="14"/>
  <c r="AI169" i="14" s="1"/>
  <c r="D82" i="14"/>
  <c r="B170" i="21"/>
  <c r="H78" i="21"/>
  <c r="AK169" i="14"/>
  <c r="C84" i="21"/>
  <c r="B89" i="14"/>
  <c r="D177" i="21"/>
  <c r="E79" i="21"/>
  <c r="AK203" i="14"/>
  <c r="AP179" i="14"/>
  <c r="D178" i="14"/>
  <c r="AE178" i="14" s="1"/>
  <c r="H235" i="14"/>
  <c r="X235" i="14"/>
  <c r="H228" i="21"/>
  <c r="J164" i="21"/>
  <c r="C88" i="21"/>
  <c r="H75" i="21"/>
  <c r="H72" i="14"/>
  <c r="B180" i="14"/>
  <c r="H167" i="21"/>
  <c r="B200" i="21"/>
  <c r="F88" i="14"/>
  <c r="AK178" i="14"/>
  <c r="F88" i="21"/>
  <c r="B199" i="14"/>
  <c r="AD199" i="14" s="1"/>
  <c r="D190" i="21"/>
  <c r="D171" i="14"/>
  <c r="AE171" i="14" s="1"/>
  <c r="H220" i="21"/>
  <c r="H165" i="14"/>
  <c r="AG165" i="14" s="1"/>
  <c r="F77" i="21"/>
  <c r="AK201" i="14"/>
  <c r="B203" i="14"/>
  <c r="AD203" i="14" s="1"/>
  <c r="D204" i="21"/>
  <c r="F72" i="21"/>
  <c r="Z227" i="14"/>
  <c r="V227" i="14"/>
  <c r="H222" i="21"/>
  <c r="AM175" i="14"/>
  <c r="D210" i="14"/>
  <c r="AE210" i="14" s="1"/>
  <c r="H79" i="14"/>
  <c r="D180" i="14"/>
  <c r="AE180" i="14" s="1"/>
  <c r="G78" i="21"/>
  <c r="D73" i="14"/>
  <c r="F176" i="14"/>
  <c r="AF176" i="14" s="1"/>
  <c r="AK174" i="14"/>
  <c r="U234" i="14"/>
  <c r="D168" i="21"/>
  <c r="C87" i="21"/>
  <c r="AP163" i="14"/>
  <c r="J178" i="14"/>
  <c r="AI178" i="14" s="1"/>
  <c r="AK165" i="14"/>
  <c r="U226" i="14"/>
  <c r="AP170" i="14"/>
  <c r="E84" i="14"/>
  <c r="J176" i="14"/>
  <c r="AI176" i="14" s="1"/>
  <c r="AL170" i="14"/>
  <c r="F169" i="21"/>
  <c r="G84" i="21"/>
  <c r="B169" i="14"/>
  <c r="AD169" i="14" s="1"/>
  <c r="F178" i="21"/>
  <c r="J163" i="14"/>
  <c r="AI163" i="14" s="1"/>
  <c r="W233" i="14"/>
  <c r="AA233" i="14"/>
  <c r="B82" i="14"/>
  <c r="J178" i="21"/>
  <c r="H70" i="21"/>
  <c r="F72" i="14"/>
  <c r="B190" i="21"/>
  <c r="D167" i="21"/>
  <c r="B196" i="14"/>
  <c r="AD196" i="14" s="1"/>
  <c r="E74" i="21"/>
  <c r="E88" i="21"/>
  <c r="E83" i="14"/>
  <c r="D199" i="21"/>
  <c r="B83" i="21"/>
  <c r="AB224" i="14"/>
  <c r="G88" i="14"/>
  <c r="H236" i="21"/>
  <c r="B205" i="14"/>
  <c r="AD205" i="14" s="1"/>
  <c r="B207" i="21"/>
  <c r="F162" i="21"/>
  <c r="AK168" i="14"/>
  <c r="F173" i="14"/>
  <c r="AF173" i="14" s="1"/>
  <c r="F206" i="14"/>
  <c r="AF206" i="14" s="1"/>
  <c r="E85" i="14"/>
  <c r="B165" i="14"/>
  <c r="AD165" i="14" s="1"/>
  <c r="AK194" i="14"/>
  <c r="F170" i="21"/>
  <c r="H73" i="14"/>
  <c r="C82" i="14"/>
  <c r="H231" i="21"/>
  <c r="U235" i="14"/>
  <c r="F160" i="21"/>
  <c r="D173" i="14"/>
  <c r="AE173" i="14" s="1"/>
  <c r="D88" i="14"/>
  <c r="B90" i="21"/>
  <c r="F211" i="14"/>
  <c r="AF211" i="14" s="1"/>
  <c r="B175" i="14"/>
  <c r="AD175" i="14" s="1"/>
  <c r="U224" i="14"/>
  <c r="F163" i="14"/>
  <c r="AF163" i="14" s="1"/>
  <c r="C72" i="14"/>
  <c r="C79" i="14"/>
  <c r="H223" i="21"/>
  <c r="F171" i="14"/>
  <c r="AF171" i="14" s="1"/>
  <c r="H234" i="21"/>
  <c r="H181" i="14"/>
  <c r="AG181" i="14" s="1"/>
  <c r="H172" i="21"/>
  <c r="F200" i="14"/>
  <c r="AF200" i="14" s="1"/>
  <c r="AL161" i="14" l="1"/>
  <c r="AC231" i="14"/>
  <c r="Y231" i="14"/>
  <c r="AC229" i="14"/>
  <c r="Y229" i="14"/>
  <c r="AF191" i="14"/>
  <c r="AE191" i="14"/>
  <c r="Y230" i="14"/>
  <c r="AC230" i="14"/>
  <c r="Y222" i="14"/>
  <c r="AC222" i="14"/>
  <c r="AE161" i="14"/>
  <c r="Y238" i="14"/>
  <c r="AC238" i="14"/>
  <c r="AK161" i="14"/>
  <c r="AI161" i="14"/>
  <c r="Y237" i="14"/>
  <c r="AC237" i="14"/>
  <c r="AK191" i="14"/>
  <c r="Y233" i="14"/>
  <c r="AC233" i="14"/>
  <c r="AC232" i="14"/>
  <c r="Y232" i="14"/>
  <c r="Y234" i="14"/>
  <c r="AC234" i="14"/>
  <c r="AG161" i="14"/>
  <c r="Y236" i="14"/>
  <c r="AC236" i="14"/>
  <c r="AD191" i="14"/>
  <c r="AD161" i="14"/>
  <c r="Y225" i="14"/>
  <c r="AC225" i="14"/>
  <c r="AM161" i="14"/>
  <c r="AC228" i="14"/>
  <c r="Y228" i="14"/>
  <c r="AC227" i="14"/>
  <c r="Y227" i="14"/>
  <c r="AF161" i="14"/>
  <c r="Y239" i="14"/>
  <c r="AC239" i="14"/>
  <c r="Y224" i="14"/>
  <c r="AC224" i="14"/>
  <c r="AN161" i="14"/>
  <c r="Y226" i="14"/>
  <c r="AC226" i="14"/>
  <c r="AC235" i="14"/>
  <c r="Y235" i="14"/>
  <c r="AP161" i="14"/>
  <c r="AJ191" i="14"/>
</calcChain>
</file>

<file path=xl/comments1.xml><?xml version="1.0" encoding="utf-8"?>
<comments xmlns="http://schemas.openxmlformats.org/spreadsheetml/2006/main">
  <authors>
    <author>jmarks</author>
  </authors>
  <commentList>
    <comment ref="C10" authorId="0">
      <text>
        <r>
          <rPr>
            <b/>
            <sz val="10"/>
            <color indexed="81"/>
            <rFont val="Tahoma"/>
            <family val="2"/>
          </rPr>
          <t>jmarks:</t>
        </r>
        <r>
          <rPr>
            <sz val="10"/>
            <color indexed="81"/>
            <rFont val="Tahoma"/>
            <family val="2"/>
          </rPr>
          <t xml:space="preserve">
Formula for regional figure to use when all states report.</t>
        </r>
      </text>
    </comment>
    <comment ref="E10" authorId="0">
      <text>
        <r>
          <rPr>
            <b/>
            <sz val="10"/>
            <color indexed="81"/>
            <rFont val="Tahoma"/>
            <family val="2"/>
          </rPr>
          <t>jmarks:</t>
        </r>
        <r>
          <rPr>
            <sz val="10"/>
            <color indexed="81"/>
            <rFont val="Tahoma"/>
            <family val="2"/>
          </rPr>
          <t xml:space="preserve">
Formula for regional figure to use when all states report.</t>
        </r>
      </text>
    </comment>
    <comment ref="G10" authorId="0">
      <text>
        <r>
          <rPr>
            <b/>
            <sz val="10"/>
            <color indexed="81"/>
            <rFont val="Tahoma"/>
            <family val="2"/>
          </rPr>
          <t>jmarks:</t>
        </r>
        <r>
          <rPr>
            <sz val="10"/>
            <color indexed="81"/>
            <rFont val="Tahoma"/>
            <family val="2"/>
          </rPr>
          <t xml:space="preserve">
Formula for regional figure to use when all states report.</t>
        </r>
      </text>
    </comment>
    <comment ref="I10" authorId="0">
      <text>
        <r>
          <rPr>
            <b/>
            <sz val="10"/>
            <color indexed="81"/>
            <rFont val="Tahoma"/>
            <family val="2"/>
          </rPr>
          <t>jmarks:</t>
        </r>
        <r>
          <rPr>
            <sz val="10"/>
            <color indexed="81"/>
            <rFont val="Tahoma"/>
            <family val="2"/>
          </rPr>
          <t xml:space="preserve">
Formula for regional figure to use when all states report.</t>
        </r>
      </text>
    </comment>
    <comment ref="K10" authorId="0">
      <text>
        <r>
          <rPr>
            <b/>
            <sz val="10"/>
            <color indexed="81"/>
            <rFont val="Tahoma"/>
            <family val="2"/>
          </rPr>
          <t>jmarks:</t>
        </r>
        <r>
          <rPr>
            <sz val="10"/>
            <color indexed="81"/>
            <rFont val="Tahoma"/>
            <family val="2"/>
          </rPr>
          <t xml:space="preserve">
Formula for regional figure to use when all states report.</t>
        </r>
      </text>
    </comment>
    <comment ref="M10" authorId="0">
      <text>
        <r>
          <rPr>
            <b/>
            <sz val="10"/>
            <color indexed="81"/>
            <rFont val="Tahoma"/>
            <family val="2"/>
          </rPr>
          <t>jmarks:</t>
        </r>
        <r>
          <rPr>
            <sz val="10"/>
            <color indexed="81"/>
            <rFont val="Tahoma"/>
            <family val="2"/>
          </rPr>
          <t xml:space="preserve">
Formula for regional figure to use when all states report.</t>
        </r>
      </text>
    </comment>
    <comment ref="O10" authorId="0">
      <text>
        <r>
          <rPr>
            <b/>
            <sz val="10"/>
            <color indexed="81"/>
            <rFont val="Tahoma"/>
            <family val="2"/>
          </rPr>
          <t>jmarks:</t>
        </r>
        <r>
          <rPr>
            <sz val="10"/>
            <color indexed="81"/>
            <rFont val="Tahoma"/>
            <family val="2"/>
          </rPr>
          <t xml:space="preserve">
Formula for regional figure to use when all states report.</t>
        </r>
      </text>
    </comment>
    <comment ref="A162" authorId="0">
      <text>
        <r>
          <rPr>
            <b/>
            <sz val="10"/>
            <color indexed="81"/>
            <rFont val="Tahoma"/>
            <family val="2"/>
          </rPr>
          <t>jmarks:</t>
        </r>
        <r>
          <rPr>
            <sz val="10"/>
            <color indexed="81"/>
            <rFont val="Tahoma"/>
            <family val="2"/>
          </rPr>
          <t xml:space="preserve">
Formulas for regional figures to use when all states report.</t>
        </r>
      </text>
    </comment>
    <comment ref="AE179" authorId="0">
      <text>
        <r>
          <rPr>
            <b/>
            <sz val="8"/>
            <color indexed="81"/>
            <rFont val="Tahoma"/>
            <family val="2"/>
          </rPr>
          <t>jmarks:</t>
        </r>
        <r>
          <rPr>
            <sz val="8"/>
            <color indexed="81"/>
            <rFont val="Tahoma"/>
            <family val="2"/>
          </rPr>
          <t xml:space="preserve">
differs to match grouping of funding data</t>
        </r>
      </text>
    </comment>
    <comment ref="AF179" authorId="0">
      <text>
        <r>
          <rPr>
            <b/>
            <sz val="8"/>
            <color indexed="81"/>
            <rFont val="Tahoma"/>
            <family val="2"/>
          </rPr>
          <t>jmarks:</t>
        </r>
        <r>
          <rPr>
            <sz val="8"/>
            <color indexed="81"/>
            <rFont val="Tahoma"/>
            <family val="2"/>
          </rPr>
          <t xml:space="preserve">
differs to match grouping of funding data</t>
        </r>
      </text>
    </comment>
    <comment ref="AG179" authorId="0">
      <text>
        <r>
          <rPr>
            <b/>
            <sz val="8"/>
            <color indexed="81"/>
            <rFont val="Tahoma"/>
            <family val="2"/>
          </rPr>
          <t>jmarks:</t>
        </r>
        <r>
          <rPr>
            <sz val="8"/>
            <color indexed="81"/>
            <rFont val="Tahoma"/>
            <family val="2"/>
          </rPr>
          <t xml:space="preserve">
differs to match grouping of funding data</t>
        </r>
      </text>
    </comment>
    <comment ref="AL179" authorId="0">
      <text>
        <r>
          <rPr>
            <b/>
            <sz val="8"/>
            <color indexed="81"/>
            <rFont val="Tahoma"/>
            <family val="2"/>
          </rPr>
          <t>jmarks:</t>
        </r>
        <r>
          <rPr>
            <sz val="8"/>
            <color indexed="81"/>
            <rFont val="Tahoma"/>
            <family val="2"/>
          </rPr>
          <t xml:space="preserve">
differs to match grouping of funding data</t>
        </r>
      </text>
    </comment>
    <comment ref="AM179" authorId="0">
      <text>
        <r>
          <rPr>
            <b/>
            <sz val="8"/>
            <color indexed="81"/>
            <rFont val="Tahoma"/>
            <family val="2"/>
          </rPr>
          <t>jmarks:</t>
        </r>
        <r>
          <rPr>
            <sz val="8"/>
            <color indexed="81"/>
            <rFont val="Tahoma"/>
            <family val="2"/>
          </rPr>
          <t xml:space="preserve">
differs to match grouping of funding data</t>
        </r>
      </text>
    </comment>
    <comment ref="AN179" authorId="0">
      <text>
        <r>
          <rPr>
            <b/>
            <sz val="8"/>
            <color indexed="81"/>
            <rFont val="Tahoma"/>
            <family val="2"/>
          </rPr>
          <t>jmarks:</t>
        </r>
        <r>
          <rPr>
            <sz val="8"/>
            <color indexed="81"/>
            <rFont val="Tahoma"/>
            <family val="2"/>
          </rPr>
          <t xml:space="preserve">
differs to match grouping of funding data</t>
        </r>
      </text>
    </comment>
    <comment ref="AG180" authorId="0">
      <text>
        <r>
          <rPr>
            <b/>
            <sz val="8"/>
            <color indexed="81"/>
            <rFont val="Tahoma"/>
            <family val="2"/>
          </rPr>
          <t>jmarks:</t>
        </r>
        <r>
          <rPr>
            <sz val="8"/>
            <color indexed="81"/>
            <rFont val="Tahoma"/>
            <family val="2"/>
          </rPr>
          <t xml:space="preserve">
Since R.Bland is the only campus for which funding is identified, the R.B. FTE are manually put in this column.</t>
        </r>
      </text>
    </comment>
    <comment ref="AH180" authorId="0">
      <text>
        <r>
          <rPr>
            <b/>
            <sz val="8"/>
            <color indexed="81"/>
            <rFont val="Tahoma"/>
            <family val="2"/>
          </rPr>
          <t>jmarks:</t>
        </r>
        <r>
          <rPr>
            <sz val="8"/>
            <color indexed="81"/>
            <rFont val="Tahoma"/>
            <family val="2"/>
          </rPr>
          <t xml:space="preserve">
differs to match grouping of funding dat</t>
        </r>
      </text>
    </comment>
    <comment ref="AN180" authorId="0">
      <text>
        <r>
          <rPr>
            <b/>
            <sz val="8"/>
            <color indexed="81"/>
            <rFont val="Tahoma"/>
            <family val="2"/>
          </rPr>
          <t>jmarks:</t>
        </r>
        <r>
          <rPr>
            <sz val="8"/>
            <color indexed="81"/>
            <rFont val="Tahoma"/>
            <family val="2"/>
          </rPr>
          <t xml:space="preserve">
Since R.Bland is the only campus for which funding is identified, the R.B. FTE are manually put in this column.</t>
        </r>
      </text>
    </comment>
    <comment ref="A192" authorId="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2.xml><?xml version="1.0" encoding="utf-8"?>
<comments xmlns="http://schemas.openxmlformats.org/spreadsheetml/2006/main">
  <authors>
    <author>jmarks</author>
  </authors>
  <commentList>
    <comment ref="A1" authorId="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C10" authorId="0">
      <text>
        <r>
          <rPr>
            <b/>
            <sz val="10"/>
            <color indexed="81"/>
            <rFont val="Tahoma"/>
            <family val="2"/>
          </rPr>
          <t>jmarks:</t>
        </r>
        <r>
          <rPr>
            <sz val="10"/>
            <color indexed="81"/>
            <rFont val="Tahoma"/>
            <family val="2"/>
          </rPr>
          <t xml:space="preserve">
Formula for regional figure to use when all states report.</t>
        </r>
      </text>
    </comment>
    <comment ref="E10" authorId="0">
      <text>
        <r>
          <rPr>
            <b/>
            <sz val="10"/>
            <color indexed="81"/>
            <rFont val="Tahoma"/>
            <family val="2"/>
          </rPr>
          <t>jmarks:</t>
        </r>
        <r>
          <rPr>
            <sz val="10"/>
            <color indexed="81"/>
            <rFont val="Tahoma"/>
            <family val="2"/>
          </rPr>
          <t xml:space="preserve">
Formula for regional figure to use when all states report.</t>
        </r>
      </text>
    </comment>
    <comment ref="G10" authorId="0">
      <text>
        <r>
          <rPr>
            <b/>
            <sz val="10"/>
            <color indexed="81"/>
            <rFont val="Tahoma"/>
            <family val="2"/>
          </rPr>
          <t>jmarks:</t>
        </r>
        <r>
          <rPr>
            <sz val="10"/>
            <color indexed="81"/>
            <rFont val="Tahoma"/>
            <family val="2"/>
          </rPr>
          <t xml:space="preserve">
Formula for regional figure to use when all states report.</t>
        </r>
      </text>
    </comment>
    <comment ref="I10" authorId="0">
      <text>
        <r>
          <rPr>
            <b/>
            <sz val="10"/>
            <color indexed="81"/>
            <rFont val="Tahoma"/>
            <family val="2"/>
          </rPr>
          <t>jmarks:</t>
        </r>
        <r>
          <rPr>
            <sz val="10"/>
            <color indexed="81"/>
            <rFont val="Tahoma"/>
            <family val="2"/>
          </rPr>
          <t xml:space="preserve">
Formula for regional figure to use when all states report.</t>
        </r>
      </text>
    </comment>
    <comment ref="K10" authorId="0">
      <text>
        <r>
          <rPr>
            <b/>
            <sz val="10"/>
            <color indexed="81"/>
            <rFont val="Tahoma"/>
            <family val="2"/>
          </rPr>
          <t>jmarks:</t>
        </r>
        <r>
          <rPr>
            <sz val="10"/>
            <color indexed="81"/>
            <rFont val="Tahoma"/>
            <family val="2"/>
          </rPr>
          <t xml:space="preserve">
Formula for regional figure to use when all states report.</t>
        </r>
      </text>
    </comment>
    <comment ref="M10" authorId="0">
      <text>
        <r>
          <rPr>
            <b/>
            <sz val="10"/>
            <color indexed="81"/>
            <rFont val="Tahoma"/>
            <family val="2"/>
          </rPr>
          <t>jmarks:</t>
        </r>
        <r>
          <rPr>
            <sz val="10"/>
            <color indexed="81"/>
            <rFont val="Tahoma"/>
            <family val="2"/>
          </rPr>
          <t xml:space="preserve">
Formula for regional figure to use when all states report.</t>
        </r>
      </text>
    </comment>
    <comment ref="O10" authorId="0">
      <text>
        <r>
          <rPr>
            <b/>
            <sz val="10"/>
            <color indexed="81"/>
            <rFont val="Tahoma"/>
            <family val="2"/>
          </rPr>
          <t>jmarks:</t>
        </r>
        <r>
          <rPr>
            <sz val="10"/>
            <color indexed="81"/>
            <rFont val="Tahoma"/>
            <family val="2"/>
          </rPr>
          <t xml:space="preserve">
Formula for regional figure to use when all states report.</t>
        </r>
      </text>
    </comment>
    <comment ref="A161" authorId="0">
      <text>
        <r>
          <rPr>
            <b/>
            <sz val="10"/>
            <color indexed="81"/>
            <rFont val="Tahoma"/>
            <family val="2"/>
          </rPr>
          <t>jmarks:</t>
        </r>
        <r>
          <rPr>
            <sz val="10"/>
            <color indexed="81"/>
            <rFont val="Tahoma"/>
            <family val="2"/>
          </rPr>
          <t xml:space="preserve">
Formulas for regional figures to use when all states report.</t>
        </r>
      </text>
    </comment>
    <comment ref="A191" authorId="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3.xml><?xml version="1.0" encoding="utf-8"?>
<comments xmlns="http://schemas.openxmlformats.org/spreadsheetml/2006/main">
  <authors>
    <author>mloverde</author>
    <author>jmarks</author>
    <author>Alicia A. Diaz</author>
    <author>Lee, Cynthia M.</author>
    <author>mevilsiz</author>
  </authors>
  <commentList>
    <comment ref="Q4" authorId="0">
      <text>
        <r>
          <rPr>
            <b/>
            <sz val="10"/>
            <color indexed="81"/>
            <rFont val="Tahoma"/>
            <family val="2"/>
          </rPr>
          <t>jmarks: Formula must "fit" term code: /30 for semesters; /45 for quarters</t>
        </r>
      </text>
    </comment>
    <comment ref="V4" authorId="1">
      <text>
        <r>
          <rPr>
            <b/>
            <sz val="10"/>
            <color indexed="81"/>
            <rFont val="Tahoma"/>
            <family val="2"/>
          </rPr>
          <t>jmarks:</t>
        </r>
        <r>
          <rPr>
            <sz val="10"/>
            <color indexed="81"/>
            <rFont val="Tahoma"/>
            <family val="2"/>
          </rPr>
          <t xml:space="preserve">
To perform weighted averages, totals can only be included when h.s. student data present.</t>
        </r>
      </text>
    </comment>
    <comment ref="AG4" authorId="0">
      <text>
        <r>
          <rPr>
            <b/>
            <sz val="10"/>
            <color indexed="81"/>
            <rFont val="Tahoma"/>
            <family val="2"/>
          </rPr>
          <t>jmarks: Formula must "fit" term code: /30 for semesters; /45 for quarters</t>
        </r>
      </text>
    </comment>
    <comment ref="AL4" authorId="1">
      <text>
        <r>
          <rPr>
            <b/>
            <sz val="10"/>
            <color indexed="81"/>
            <rFont val="Tahoma"/>
            <family val="2"/>
          </rPr>
          <t>jmarks:</t>
        </r>
        <r>
          <rPr>
            <sz val="10"/>
            <color indexed="81"/>
            <rFont val="Tahoma"/>
            <family val="2"/>
          </rPr>
          <t xml:space="preserve">
To perform weighted averages, totals can only be included when h.s. student data present.</t>
        </r>
      </text>
    </comment>
    <comment ref="AW4" authorId="0">
      <text>
        <r>
          <rPr>
            <b/>
            <sz val="10"/>
            <color indexed="81"/>
            <rFont val="Tahoma"/>
            <family val="2"/>
          </rPr>
          <t>jmarks: Formula must "fit" term code: /30 for semesters; /45 for quarters</t>
        </r>
      </text>
    </comment>
    <comment ref="V6" authorId="1">
      <text>
        <r>
          <rPr>
            <b/>
            <sz val="10"/>
            <color indexed="81"/>
            <rFont val="Tahoma"/>
            <family val="2"/>
          </rPr>
          <t>jmarks:</t>
        </r>
        <r>
          <rPr>
            <sz val="10"/>
            <color indexed="81"/>
            <rFont val="Tahoma"/>
            <family val="2"/>
          </rPr>
          <t xml:space="preserve">
To perform weighted averages, totals can only be included when h.s. student data present.</t>
        </r>
      </text>
    </comment>
    <comment ref="AL6" authorId="1">
      <text>
        <r>
          <rPr>
            <b/>
            <sz val="10"/>
            <color indexed="81"/>
            <rFont val="Tahoma"/>
            <family val="2"/>
          </rPr>
          <t>jmarks:</t>
        </r>
        <r>
          <rPr>
            <sz val="10"/>
            <color indexed="81"/>
            <rFont val="Tahoma"/>
            <family val="2"/>
          </rPr>
          <t xml:space="preserve">
To perform weighted averages, totals can only be included when h.s. student data present.</t>
        </r>
      </text>
    </comment>
    <comment ref="D20" authorId="2">
      <text>
        <r>
          <rPr>
            <b/>
            <sz val="8"/>
            <color indexed="81"/>
            <rFont val="Tahoma"/>
            <family val="2"/>
          </rPr>
          <t>No Freshmen, Upper Level school - will not have data in every section.</t>
        </r>
      </text>
    </comment>
    <comment ref="B157" authorId="3">
      <text>
        <r>
          <rPr>
            <b/>
            <sz val="8"/>
            <color indexed="81"/>
            <rFont val="Tahoma"/>
            <family val="2"/>
          </rPr>
          <t>Lee, Cynthia M.:</t>
        </r>
        <r>
          <rPr>
            <sz val="8"/>
            <color indexed="81"/>
            <rFont val="Tahoma"/>
            <family val="2"/>
          </rPr>
          <t xml:space="preserve">
Central Georgia and Middle Georgia merged starting Fall Semester and became Central Georgia with a new IPEDS# 483045</t>
        </r>
      </text>
    </comment>
    <comment ref="B199" authorId="4">
      <text>
        <r>
          <rPr>
            <b/>
            <sz val="8"/>
            <color indexed="81"/>
            <rFont val="Tahoma"/>
            <family val="2"/>
          </rPr>
          <t>mevilsiz:</t>
        </r>
        <r>
          <rPr>
            <sz val="8"/>
            <color indexed="81"/>
            <rFont val="Tahoma"/>
            <family val="2"/>
          </rPr>
          <t xml:space="preserve">
Formerly Bowling Green Technical College</t>
        </r>
      </text>
    </comment>
    <comment ref="F201" authorId="1">
      <text>
        <r>
          <rPr>
            <b/>
            <sz val="9"/>
            <color indexed="81"/>
            <rFont val="Tahoma"/>
            <family val="2"/>
          </rPr>
          <t>jmarks:</t>
        </r>
        <r>
          <rPr>
            <sz val="9"/>
            <color indexed="81"/>
            <rFont val="Tahoma"/>
            <family val="2"/>
          </rPr>
          <t xml:space="preserve">
But use same formulas as semester for FTE since each term is 8 hours for full-time</t>
        </r>
      </text>
    </comment>
    <comment ref="A295" authorId="1">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List>
</comments>
</file>

<file path=xl/connections.xml><?xml version="1.0" encoding="utf-8"?>
<connections xmlns="http://schemas.openxmlformats.org/spreadsheetml/2006/main">
  <connection id="1" name="CH11ug1" type="6" refreshedVersion="4" background="1" saveData="1">
    <textPr codePage="437" sourceFile="\\THECB-AUVFS41\UserDoc$\MeadDD\My Documents\My SAS Files\SREB\QWK04245\Page4\CH11ug1.txt">
      <textFields>
        <textField/>
      </textFields>
    </textPr>
  </connection>
  <connection id="2" name="CH11ug2" type="6" refreshedVersion="4" background="1" saveData="1">
    <textPr codePage="437" sourceFile="\\THECB-AUVFS41\UserDoc$\MeadDD\My Documents\My SAS Files\SREB\QWK04245\Page4\CH11ug2.txt">
      <textFields>
        <textField/>
      </textFields>
    </textPr>
  </connection>
  <connection id="3" name="CH11ug3" type="6" refreshedVersion="4" background="1" saveData="1">
    <textPr codePage="437" sourceFile="\\THECB-AUVFS41\UserDoc$\MeadDD\My Documents\My SAS Files\SREB\QWK04245\Page4\CH11ug3.txt">
      <textFields>
        <textField/>
      </textFields>
    </textPr>
  </connection>
  <connection id="4" name="CH11ug4" type="6" refreshedVersion="4" background="1" saveData="1">
    <textPr codePage="437" sourceFile="\\THECB-AUVFS41\UserDoc$\MeadDD\My Documents\My SAS Files\SREB\QWK04245\Page4\CH11ug4.txt">
      <textFields>
        <textField/>
      </textFields>
    </textPr>
  </connection>
  <connection id="5" name="CH13ug1" type="6" refreshedVersion="5" background="1" saveData="1">
    <textPr codePage="437" sourceFile="Z:\Mead\SASdocs\SREB\QWK04869\Page4\Paste\CH13ug1.txt">
      <textFields>
        <textField/>
      </textFields>
    </textPr>
  </connection>
  <connection id="6" name="CH13ug2" type="6" refreshedVersion="5" background="1" saveData="1">
    <textPr codePage="437" sourceFile="Z:\Mead\SASdocs\SREB\QWK04869\Page4\Paste\CH13ug2.txt">
      <textFields>
        <textField/>
      </textFields>
    </textPr>
  </connection>
  <connection id="7" name="CH13ug3" type="6" refreshedVersion="5" background="1" saveData="1">
    <textPr codePage="437" sourceFile="Z:\Mead\SASdocs\SREB\QWK04869\Page4\Paste\CH13ug3.txt">
      <textFields>
        <textField/>
      </textFields>
    </textPr>
  </connection>
  <connection id="8" name="CH13ug4" type="6" refreshedVersion="5" background="1" saveData="1">
    <textPr codePage="437" sourceFile="Z:\Mead\SASdocs\SREB\QWK04869\Page4\Paste\CH13ug4.txt">
      <textFields>
        <textField/>
      </textFields>
    </textPr>
  </connection>
  <connection id="9" name="Dual07" type="6" refreshedVersion="3" deleted="1" background="1" saveData="1">
    <textPr codePage="437" sourceFile="\\CBNA42\UserDoc$\meaddd\My Documents\My SAS Files\SREB\QWK03256\Dual07.txt">
      <textFields>
        <textField/>
      </textFields>
    </textPr>
  </connection>
  <connection id="10" name="Dual11" type="6" refreshedVersion="4" background="1" saveData="1">
    <textPr codePage="437" sourceFile="\\THECB-AUVFS41\UserDoc$\MeadDD\My Documents\My SAS Files\SREB\QWK04245\Page4\Dual11.txt">
      <textFields>
        <textField/>
      </textFields>
    </textPr>
  </connection>
  <connection id="11" name="Dual13" type="6" refreshedVersion="5" background="1" saveData="1">
    <textPr codePage="437" sourceFile="Z:\Mead\SASdocs\SREB\QWK04869\Page4\Paste\Dual13.txt">
      <textFields>
        <textField/>
      </textFields>
    </textPr>
  </connection>
  <connection id="12" name="SCH13ug2" type="6" refreshedVersion="5" background="1" saveData="1">
    <textPr codePage="437" sourceFile="Z:\Mead\SASdocs\SREB\QWK04869\Page4\Paste\SCH13ug2.txt">
      <textFields>
        <textField/>
      </textFields>
    </textPr>
  </connection>
  <connection id="13" name="SCH13ug3" type="6" refreshedVersion="5" background="1" saveData="1">
    <textPr codePage="437" sourceFile="Z:\Mead\SASdocs\SREB\QWK04869\Page4\Paste\SCH13ug3.txt">
      <textFields>
        <textField/>
      </textFields>
    </textPr>
  </connection>
  <connection id="14" name="SCH13ug4" type="6" refreshedVersion="5" background="1" saveData="1">
    <textPr codePage="437" sourceFile="Z:\Mead\SASdocs\SREB\QWK04869\Page4\Paste\SCH13ug4.txt">
      <textFields>
        <textField/>
      </textFields>
    </textPr>
  </connection>
</connections>
</file>

<file path=xl/sharedStrings.xml><?xml version="1.0" encoding="utf-8"?>
<sst xmlns="http://schemas.openxmlformats.org/spreadsheetml/2006/main" count="3852" uniqueCount="987">
  <si>
    <t>All Two Year</t>
  </si>
  <si>
    <t>All Technical</t>
  </si>
  <si>
    <t>Old Percent by H.S. Students</t>
  </si>
  <si>
    <t>All Four Year</t>
  </si>
  <si>
    <t>Points change</t>
  </si>
  <si>
    <t>"9" minus "9b"</t>
  </si>
  <si>
    <t>10 minus 10b</t>
  </si>
  <si>
    <t>#Change from prior year</t>
  </si>
  <si>
    <t>Grand Total FTE - Old</t>
  </si>
  <si>
    <t>Total Grand Total FTE - Old</t>
  </si>
  <si>
    <t>Sum of Old-Total UGH</t>
  </si>
  <si>
    <t>Sum of New-Total UGH</t>
  </si>
  <si>
    <t>Total Sum of Old-Total UGH</t>
  </si>
  <si>
    <t>Total Sum of New-Total UGH</t>
  </si>
  <si>
    <t>Sum of Old-Total HSH</t>
  </si>
  <si>
    <t>Sum of New-Total HSH</t>
  </si>
  <si>
    <t>Sum of Old-HS % of Total</t>
  </si>
  <si>
    <t>Sum of New-HS % of Total</t>
  </si>
  <si>
    <t>Total Sum of Old-Total HSH</t>
  </si>
  <si>
    <t>Total Sum of New-Total HSH</t>
  </si>
  <si>
    <t>Total Sum of Old-HS % of Total</t>
  </si>
  <si>
    <t>Total Sum of New-HS % of Total</t>
  </si>
  <si>
    <t>Percent by Students Still in High School</t>
  </si>
  <si>
    <t>Technical Total</t>
  </si>
  <si>
    <t>Technical</t>
  </si>
  <si>
    <t>12</t>
  </si>
  <si>
    <t>Grand
Total FTE</t>
  </si>
  <si>
    <t>Size Unknown</t>
  </si>
  <si>
    <t xml:space="preserve"> </t>
  </si>
  <si>
    <t>Public Four-Year Universities, Two-Year Colleges</t>
  </si>
  <si>
    <t>All</t>
  </si>
  <si>
    <t>TOTAL</t>
  </si>
  <si>
    <t>Full-Year Full-Time-Equivalent Undergraduate Enrollment</t>
  </si>
  <si>
    <t>Full-Year Full-Time-Equivalent Graduate Enrollment</t>
  </si>
  <si>
    <t>Full-Year Full-Time-Equivalent Credit-Hour Enrollment</t>
  </si>
  <si>
    <t>Full-Year Full-Time-Equivalent Contact-Hour Enrollment</t>
  </si>
  <si>
    <t>Total Full-Year Full-Time-Equivalent Enrollment</t>
  </si>
  <si>
    <t>Extra sub-totals to use with funding data.</t>
  </si>
  <si>
    <t>OLD</t>
  </si>
  <si>
    <t>Totals for Per FTE Funding Calculation</t>
  </si>
  <si>
    <t>Prior year for Highlights report</t>
  </si>
  <si>
    <t>sem</t>
  </si>
  <si>
    <t>Category2</t>
  </si>
  <si>
    <t>Old-Total Undg CH</t>
  </si>
  <si>
    <t>Old-Total Undg CH FTE</t>
  </si>
  <si>
    <t>Technical Institutes or Colleges</t>
  </si>
  <si>
    <t>Old-Term Code</t>
  </si>
  <si>
    <t>New-Term Code</t>
  </si>
  <si>
    <t>Old-Total Undg SCH</t>
  </si>
  <si>
    <t>New-Total Undg SCH</t>
  </si>
  <si>
    <t>New-Total Undg CH</t>
  </si>
  <si>
    <t>Old-Total Grad SCH</t>
  </si>
  <si>
    <t>New-Total Grad SCH</t>
  </si>
  <si>
    <t>Old-Total Grad FTE</t>
  </si>
  <si>
    <t>New-Total Grad FTE</t>
  </si>
  <si>
    <t>Old-Total Undg SCH FTE</t>
  </si>
  <si>
    <t>New-Total Undg SCH FTE</t>
  </si>
  <si>
    <t>New-Total Undg CH FTE</t>
  </si>
  <si>
    <t>Data</t>
  </si>
  <si>
    <t>Grand Total</t>
  </si>
  <si>
    <t>Old Grand Total FTE</t>
  </si>
  <si>
    <t>New Grand Total FTE</t>
  </si>
  <si>
    <t>Four-Year</t>
  </si>
  <si>
    <t xml:space="preserve"> Two-Year</t>
  </si>
  <si>
    <t>SREB states</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</si>
  <si>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</si>
  <si>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</si>
  <si>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</si>
  <si>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</si>
  <si>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</si>
  <si>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</si>
  <si>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</si>
  <si>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</si>
  <si>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</si>
  <si>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</si>
  <si>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</si>
  <si>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</si>
  <si>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</si>
  <si>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</si>
  <si>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</si>
  <si>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 xml:space="preserve"> Undergrad Contact Hour FTE - New</t>
  </si>
  <si>
    <t>Total  Undergrad Contact Hour FTE - New</t>
  </si>
  <si>
    <t xml:space="preserve"> Undergrad Contact Hour FTE - Old</t>
  </si>
  <si>
    <t>Total  Undergrad Contact Hour FTE - Old</t>
  </si>
  <si>
    <t>Undergrad Student Credit Hour FTE - New</t>
  </si>
  <si>
    <t>Total Undergrad Student Credit Hour FTE - New</t>
  </si>
  <si>
    <t>Undergrad Student Credit Hour  FTE - Old</t>
  </si>
  <si>
    <t>Total Undergrad Student Credit Hour  FTE - Old</t>
  </si>
  <si>
    <t>Graduate FTE - Old</t>
  </si>
  <si>
    <t>Total Graduate FTE - Old</t>
  </si>
  <si>
    <t>Graduate FTE - New</t>
  </si>
  <si>
    <t>Total Graduate FTE - New</t>
  </si>
  <si>
    <t xml:space="preserve"> % Change Graduate  FTE</t>
  </si>
  <si>
    <t>Total  % Change Graduate  FTE</t>
  </si>
  <si>
    <t>Grand Total FTE - New</t>
  </si>
  <si>
    <t>Total Grand Total FTE - New</t>
  </si>
  <si>
    <t xml:space="preserve"> % Change Grand Total FTE</t>
  </si>
  <si>
    <t>Total  % Change Grand Total FTE</t>
  </si>
  <si>
    <t xml:space="preserve"> % Change Undergrad SCH FTE</t>
  </si>
  <si>
    <t>Total  % Change Undergrad SCH FTE</t>
  </si>
  <si>
    <t xml:space="preserve"> % Change Undergrad CH FTE</t>
  </si>
  <si>
    <t>Total  % Change Undergrad CH FTE</t>
  </si>
  <si>
    <t>Delaware</t>
  </si>
  <si>
    <t>Institution</t>
  </si>
  <si>
    <t>Category</t>
  </si>
  <si>
    <t>State</t>
  </si>
  <si>
    <t>IPEDS ID #</t>
  </si>
  <si>
    <t>Undergraduate Credit Hours</t>
  </si>
  <si>
    <t>Undergraduate Contact Hours</t>
  </si>
  <si>
    <t>Graduate Credit Hours</t>
  </si>
  <si>
    <t>Calculated</t>
  </si>
  <si>
    <t>Winter</t>
  </si>
  <si>
    <t>Spring</t>
  </si>
  <si>
    <t>Summer</t>
  </si>
  <si>
    <t>Fall</t>
  </si>
  <si>
    <t>old-Winter Undg SCH</t>
  </si>
  <si>
    <t>new-Winter Undg SCH</t>
  </si>
  <si>
    <t>old-Spring Undg SCH</t>
  </si>
  <si>
    <t>new-Spring Undg SCH</t>
  </si>
  <si>
    <t>old-Summer Undg SCH</t>
  </si>
  <si>
    <t>new-Summer Undg SCH</t>
  </si>
  <si>
    <t>old-Fall Undg SCH</t>
  </si>
  <si>
    <t>new-Fall Undg SCH</t>
  </si>
  <si>
    <t>old-Winter Undg CH</t>
  </si>
  <si>
    <t>new-Winter Undg CH</t>
  </si>
  <si>
    <t>old-Spring Undg CH</t>
  </si>
  <si>
    <t>new-Spring Undg CH</t>
  </si>
  <si>
    <t>old-Summer Undg CH</t>
  </si>
  <si>
    <t>new-Summer Undg CH</t>
  </si>
  <si>
    <t>old-Fall Undg CH</t>
  </si>
  <si>
    <t>new-Fall Undg CH</t>
  </si>
  <si>
    <t>old-Winter Grad SCH</t>
  </si>
  <si>
    <t>new-Winter Grad SCH</t>
  </si>
  <si>
    <t>old-Spring Grad SCH</t>
  </si>
  <si>
    <t>new-Spring Grad SCH</t>
  </si>
  <si>
    <t>old-Summer Grad SCH</t>
  </si>
  <si>
    <t>new-Summer Grad SCH</t>
  </si>
  <si>
    <t>old-Fall Grad SCH</t>
  </si>
  <si>
    <t>new-Fall Grad SCH</t>
  </si>
  <si>
    <t>FTE</t>
  </si>
  <si>
    <t>With Bachelor's</t>
  </si>
  <si>
    <t>%Change from prior year</t>
  </si>
  <si>
    <t>GA</t>
  </si>
  <si>
    <t>Total</t>
  </si>
  <si>
    <t>NEW</t>
  </si>
  <si>
    <t>10b</t>
  </si>
  <si>
    <t>Old-Total HS SCH</t>
  </si>
  <si>
    <t>New-Total HS SCH</t>
  </si>
  <si>
    <t>Old-Total HS CH</t>
  </si>
  <si>
    <t>New-Total HS CH</t>
  </si>
  <si>
    <t>For use in FB 37 and DE Highlights</t>
  </si>
  <si>
    <r>
      <rPr>
        <b/>
        <sz val="10"/>
        <rFont val="Arial"/>
        <family val="2"/>
      </rPr>
      <t>Old</t>
    </r>
    <r>
      <rPr>
        <sz val="10"/>
        <rFont val="Arial"/>
        <family val="2"/>
      </rPr>
      <t xml:space="preserve"> % by H.S. Students</t>
    </r>
  </si>
  <si>
    <t>Hours taken by students still in high school (dual enrollment, joint enrollment, early college, etc.)</t>
  </si>
  <si>
    <t>For use in DE Highlights and Fact Book</t>
  </si>
  <si>
    <t>Two Year 1</t>
  </si>
  <si>
    <t>Four-Year 1</t>
  </si>
  <si>
    <t>w/ Bachelor's</t>
  </si>
  <si>
    <t>Technical 1</t>
  </si>
  <si>
    <t>Old-Total Undg SCH2</t>
  </si>
  <si>
    <t>New-Total Undg SCH2</t>
  </si>
  <si>
    <t>Old-Total Undg CH2</t>
  </si>
  <si>
    <t>New-Total Undg CH2</t>
  </si>
  <si>
    <t>—</t>
  </si>
  <si>
    <t>Table 80</t>
  </si>
  <si>
    <t>Table 81</t>
  </si>
  <si>
    <t>Table 82</t>
  </si>
  <si>
    <t>Table 83</t>
  </si>
  <si>
    <t>Table 84</t>
  </si>
  <si>
    <t>Table 85</t>
  </si>
  <si>
    <t>Table 86</t>
  </si>
  <si>
    <t>Public Two-Year Colleges and Technical Institutes or Colleges</t>
  </si>
  <si>
    <t>=+GETPIVOTDATA("Sum of New-HS % of Total",'Pivot-HS Student % of Undergrad'!$A$3,"Category",1,"Category2","Four-Year")</t>
  </si>
  <si>
    <t>=+GETPIVOTDATA("Sum of New-HS % of Total",'Pivot-HS Student % of Undergrad'!$A$3,"Category",2,"Category2","Four-Year")</t>
  </si>
  <si>
    <t>=+GETPIVOTDATA("Sum of New-HS % of Total",'Pivot-HS Student % of Undergrad'!$A$3,"Category",3,"Category2","Four-Year")</t>
  </si>
  <si>
    <t>=+GETPIVOTDATA("Sum of New-HS % of Total",'Pivot-HS Student % of Undergrad'!$A$3,"Category",4,"Category2","Four-Year")</t>
  </si>
  <si>
    <t>=+GETPIVOTDATA("Sum of New-HS % of Total",'Pivot-HS Student % of Undergrad'!$A$3,"Category",5,"Category2","Four-Year")</t>
  </si>
  <si>
    <t>=+GETPIVOTDATA("Sum of New-HS % of Total",'Pivot-HS Student % of Undergrad'!$A$3,"Category",6,"Category2","Four-Year")</t>
  </si>
  <si>
    <t>=+GETPIVOTDATA("Sum of New-HS % of Total",'Pivot-HS Student % of Undergrad'!$A$3,"Category2","Group1")</t>
  </si>
  <si>
    <t>=+GETPIVOTDATA("Sum of New-HS % of Total",'Pivot-HS Student % of Undergrad'!$A$3,"Category",7,"Category2","Two-Year")</t>
  </si>
  <si>
    <t>=+GETPIVOTDATA("Sum of New-HS % of Total",'Pivot-HS Student % of Undergrad'!$A$3,"Category",8,"Category2","Two-Year")</t>
  </si>
  <si>
    <t>=+GETPIVOTDATA("Sum of New-HS % of Total",'Pivot-HS Student % of Undergrad'!$A$3,"Category",9,"Category2","Two-Year")</t>
  </si>
  <si>
    <t>=+GETPIVOTDATA("Sum of New-HS % of Total",'Pivot-HS Student % of Undergrad'!$A$3,"Category",10,"Category2","Two-Year")</t>
  </si>
  <si>
    <t>=+GETPIVOTDATA("Sum of New-HS % of Total",'Pivot-HS Student % of Undergrad'!$A$3,"Category2","Group2")</t>
  </si>
  <si>
    <t>=+GETPIVOTDATA("Sum of New-HS % of Total",'Pivot-HS Student % of Undergrad'!$A$3,"Category",12,"Category2","Technical")</t>
  </si>
  <si>
    <t>=+GETPIVOTDATA("Sum of New-HS % of Total",'Pivot-HS Student % of Undergrad'!$A$3,"Category",13,"Category2","Technical")</t>
  </si>
  <si>
    <t>=+GETPIVOTDATA("Sum of New-HS % of Total",'Pivot-HS Student % of Undergrad'!$A$3,"Category2","Group3")</t>
  </si>
  <si>
    <t>=+GETPIVOTDATA("Sum of Old-HS % of Total",'Pivot-HS Student % of Undergrad'!$A$3,"Category",12,"Category2","Technical")</t>
  </si>
  <si>
    <t>=+GETPIVOTDATA("Sum of Old-HS % of Total",'Pivot-HS Student % of Undergrad'!$A$3,"Category",13,"Category2","Technical")</t>
  </si>
  <si>
    <t>=+GETPIVOTDATA("Sum of Old-HS % of Total",'Pivot-HS Student % of Undergrad'!$A$3,"Category2","Group3")</t>
  </si>
  <si>
    <t>IPEDS #</t>
  </si>
  <si>
    <t>Semester or Quarter</t>
  </si>
  <si>
    <t>Total Hours</t>
  </si>
  <si>
    <t>Total Hours for HS % of Total Calculation</t>
  </si>
  <si>
    <t>Note</t>
  </si>
  <si>
    <r>
      <t>……….</t>
    </r>
    <r>
      <rPr>
        <b/>
        <sz val="14"/>
        <color rgb="FFC00000"/>
        <rFont val="Arial"/>
        <family val="2"/>
      </rPr>
      <t>Discontinued but still used for summary info and Fact Book</t>
    </r>
    <r>
      <rPr>
        <b/>
        <sz val="14"/>
        <rFont val="Arial"/>
        <family val="2"/>
      </rPr>
      <t>-----</t>
    </r>
  </si>
  <si>
    <r>
      <t>………. "86B"</t>
    </r>
    <r>
      <rPr>
        <b/>
        <sz val="14"/>
        <color rgb="FFC00000"/>
        <rFont val="Arial"/>
        <family val="2"/>
      </rPr>
      <t>Discontinued but still used for summary info and Fact Book</t>
    </r>
    <r>
      <rPr>
        <b/>
        <sz val="14"/>
        <rFont val="Arial"/>
        <family val="2"/>
      </rPr>
      <t>-------see sections to right---------------&gt;&gt;&gt;&gt;&gt;&gt;&gt;&gt;</t>
    </r>
  </si>
  <si>
    <t>for use in Highlights and Fact Book</t>
  </si>
  <si>
    <t>"8" minus "8b"</t>
  </si>
  <si>
    <t>OLD for funding</t>
  </si>
  <si>
    <t>New for funding</t>
  </si>
  <si>
    <t xml:space="preserve">Part 4: Credit/Contact Hours </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</si>
  <si>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</si>
  <si>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Comments:  Please look for comments and answer questions; add comments as needed</t>
  </si>
  <si>
    <t>Classification Notes</t>
  </si>
  <si>
    <t xml:space="preserve"> HS Percentage-point Change</t>
  </si>
  <si>
    <t>Total  HS Percentage-point Change</t>
  </si>
  <si>
    <t>Do not use regional figures until all states participate in the H.S. hour survey.</t>
  </si>
  <si>
    <t>=+GETPIVOTDATA("Sum of Old-HS % of Total",'Pivot-HS Student % of Undergrad'!$A$3,"Category",7,"Category2","Two-Year")</t>
  </si>
  <si>
    <t>=+GETPIVOTDATA("Sum of Old-HS % of Total",'Pivot-HS Student % of Undergrad'!$A$3,"Category",1,"Category2","Four-Year")</t>
  </si>
  <si>
    <t>=+GETPIVOTDATA("Sum of Old-HS % of Total",'Pivot-HS Student % of Undergrad'!$A$3,"Category",2,"Category2","Four-Year")</t>
  </si>
  <si>
    <t>=+GETPIVOTDATA("Sum of Old-HS % of Total",'Pivot-HS Student % of Undergrad'!$A$3,"Category",3,"Category2","Four-Year")</t>
  </si>
  <si>
    <t>=+GETPIVOTDATA("Sum of Old-HS % of Total",'Pivot-HS Student % of Undergrad'!$A$3,"Category",4,"Category2","Four-Year")</t>
  </si>
  <si>
    <t>=+GETPIVOTDATA("Sum of Old-HS % of Total",'Pivot-HS Student % of Undergrad'!$A$3,"Category",5,"Category2","Four-Year")</t>
  </si>
  <si>
    <t>=+GETPIVOTDATA("Sum of Old-HS % of Total",'Pivot-HS Student % of Undergrad'!$A$3,"Category",6,"Category2","Four-Year")</t>
  </si>
  <si>
    <t>=+GETPIVOTDATA("Sum of Old-HS % of Total",'Pivot-HS Student % of Undergrad'!$A$3,"Category2","Four-Year")</t>
  </si>
  <si>
    <t>=+GETPIVOTDATA("Sum of Old-HS % of Total",'Pivot-HS Student % of Undergrad'!$A$3,"Category",8,"Category2","Two-Year")</t>
  </si>
  <si>
    <t>=+GETPIVOTDATA("Sum of Old-HS % of Total",'Pivot-HS Student % of Undergrad'!$A$3,"Category",9,"Category2","Two-Year")</t>
  </si>
  <si>
    <t>=+GETPIVOTDATA("Sum of Old-HS % of Total",'Pivot-HS Student % of Undergrad'!$A$3,"Category",10,"Category2","Two-Year")</t>
  </si>
  <si>
    <t>=+GETPIVOTDATA("Sum of Old-HS % of Total",'Pivot-HS Student % of Undergrad'!$A$3,"Category2","Two-Year")</t>
  </si>
  <si>
    <t>KY</t>
  </si>
  <si>
    <t>Four-Year Total</t>
  </si>
  <si>
    <t>Two-Year</t>
  </si>
  <si>
    <t>Two-Year Total</t>
  </si>
  <si>
    <t>8</t>
  </si>
  <si>
    <t>9</t>
  </si>
  <si>
    <t>10</t>
  </si>
  <si>
    <t>AL</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</si>
  <si>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</si>
  <si>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</si>
  <si>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</si>
  <si>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</si>
  <si>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</si>
  <si>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</si>
  <si>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</si>
  <si>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</si>
  <si>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</si>
  <si>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</si>
  <si>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</si>
  <si>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</si>
  <si>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</si>
  <si>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</si>
  <si>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Gadsden State Community College</t>
  </si>
  <si>
    <t>Jefferson State Community College</t>
  </si>
  <si>
    <t xml:space="preserve">John C. Calhoun State Community College </t>
  </si>
  <si>
    <t>Wallace Community College - Hanceville</t>
  </si>
  <si>
    <t>Bevill State Community College</t>
  </si>
  <si>
    <t>Bishop State Community College</t>
  </si>
  <si>
    <t>Central Alabama Community College</t>
  </si>
  <si>
    <r>
      <t>Enterprise</t>
    </r>
    <r>
      <rPr>
        <sz val="10"/>
        <rFont val="Arial"/>
        <family val="2"/>
      </rPr>
      <t xml:space="preserve"> State Community College</t>
    </r>
  </si>
  <si>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</si>
  <si>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</si>
  <si>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</si>
  <si>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</si>
  <si>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</si>
  <si>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</si>
  <si>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</si>
  <si>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Alabama Southern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</si>
  <si>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</si>
  <si>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</si>
  <si>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</si>
  <si>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</si>
  <si>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</si>
  <si>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</si>
  <si>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</si>
  <si>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</si>
  <si>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</si>
  <si>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13</t>
  </si>
  <si>
    <t>LA</t>
  </si>
  <si>
    <t>NC</t>
  </si>
  <si>
    <t>7</t>
  </si>
  <si>
    <t>MS</t>
  </si>
  <si>
    <t>WV</t>
  </si>
  <si>
    <t>OK</t>
  </si>
  <si>
    <t>TX</t>
  </si>
  <si>
    <t>08b</t>
  </si>
  <si>
    <t>09b</t>
  </si>
  <si>
    <t>TN</t>
  </si>
  <si>
    <t>AR</t>
  </si>
  <si>
    <t>11</t>
  </si>
  <si>
    <t>11 Total</t>
  </si>
  <si>
    <t>99 Total</t>
  </si>
  <si>
    <t>08b Total</t>
  </si>
  <si>
    <t>09b Total</t>
  </si>
  <si>
    <t>10b Total</t>
  </si>
  <si>
    <t>FL</t>
  </si>
  <si>
    <t>DE</t>
  </si>
  <si>
    <t>MD</t>
  </si>
  <si>
    <t>SC</t>
  </si>
  <si>
    <t>VA</t>
  </si>
  <si>
    <t xml:space="preserve"> and Technical Institutes or Colleges, 2012-13</t>
  </si>
  <si>
    <t>University of Arkansas, Fayetteville</t>
  </si>
  <si>
    <t>Arkansas State University</t>
  </si>
  <si>
    <t>Arkansas Tech University</t>
  </si>
  <si>
    <t>Reclassified: met the criteria for Four-Year 3 in 2010-11, 2011-12 and 2012-13.</t>
  </si>
  <si>
    <t>University of Arkansas at Little Rock</t>
  </si>
  <si>
    <t>Met the criteria for Four-Year 2 in 2012-13.</t>
  </si>
  <si>
    <t xml:space="preserve">University of Central Arkansas </t>
  </si>
  <si>
    <t>Henderson State University</t>
  </si>
  <si>
    <t>Southern Arkansas University</t>
  </si>
  <si>
    <t>University of Arkansas at Monticello</t>
  </si>
  <si>
    <t>University of Arkansas at Fort Smith</t>
  </si>
  <si>
    <t>University of Arkansas at Pine Bluff</t>
  </si>
  <si>
    <t>Met the criteria for Four-Year 5 in 2012-13.</t>
  </si>
  <si>
    <t xml:space="preserve">Northwest Arkansas Community College </t>
  </si>
  <si>
    <t>Pulaski Technical College</t>
  </si>
  <si>
    <t>Arkansas State University-Beebe</t>
  </si>
  <si>
    <t>National Park Community College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</si>
  <si>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</si>
  <si>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</si>
  <si>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</si>
  <si>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</si>
  <si>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</si>
  <si>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</si>
  <si>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</si>
  <si>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 xml:space="preserve">Mid-South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</si>
  <si>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</si>
  <si>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</si>
  <si>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</si>
  <si>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</si>
  <si>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</si>
  <si>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</si>
  <si>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</si>
  <si>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</si>
  <si>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</si>
  <si>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</si>
  <si>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 xml:space="preserve">Florida Agricultural &amp; Mechanical University </t>
  </si>
  <si>
    <t xml:space="preserve">Florida Atlantic University </t>
  </si>
  <si>
    <t>Florida Gulf Coast University</t>
  </si>
  <si>
    <t>Florida International University</t>
  </si>
  <si>
    <t xml:space="preserve">Florida State University </t>
  </si>
  <si>
    <t>New College of Florida</t>
  </si>
  <si>
    <t xml:space="preserve">University of Central Florida </t>
  </si>
  <si>
    <t>University of Florida</t>
  </si>
  <si>
    <t>University of North Florida</t>
  </si>
  <si>
    <t xml:space="preserve">University of South Florida </t>
  </si>
  <si>
    <t>University of West Florida</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</si>
  <si>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</si>
  <si>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</si>
  <si>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</si>
  <si>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</si>
  <si>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</si>
  <si>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</si>
  <si>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</si>
  <si>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</si>
  <si>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</si>
  <si>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</si>
  <si>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</si>
  <si>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Clayton State University</t>
  </si>
  <si>
    <t>Fort Valley State University</t>
  </si>
  <si>
    <t>Georgia Southwestern State University</t>
  </si>
  <si>
    <t>Savannah State University</t>
  </si>
  <si>
    <t>Georgia Gwinnett College</t>
  </si>
  <si>
    <t xml:space="preserve">Dalton State College </t>
  </si>
  <si>
    <t xml:space="preserve">Georgia Perimeter College </t>
  </si>
  <si>
    <t xml:space="preserve">Abraham Baldwin Agricultural College </t>
  </si>
  <si>
    <t xml:space="preserve">College of Coastal Georgia </t>
  </si>
  <si>
    <t>Georgia Highlands College</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</si>
  <si>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</si>
  <si>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</si>
  <si>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</si>
  <si>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</si>
  <si>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</si>
  <si>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</si>
  <si>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</si>
  <si>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</si>
  <si>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Georgia Northwestern Technical College</t>
  </si>
  <si>
    <t>Georgia Piedmont Technical College</t>
  </si>
  <si>
    <t>Gwinnett Technical College</t>
  </si>
  <si>
    <t>Lanier Technical College</t>
  </si>
  <si>
    <t>Moultrie Technical College</t>
  </si>
  <si>
    <t>North Georgia Technical College</t>
  </si>
  <si>
    <t>Oconee Fall Line Technical College</t>
  </si>
  <si>
    <t>Ogeechee Technical College</t>
  </si>
  <si>
    <t>Okefenokee Technical College</t>
  </si>
  <si>
    <t>Savannah Technical College</t>
  </si>
  <si>
    <t>South Georgia Technical College</t>
  </si>
  <si>
    <t>Southeastern Technical College</t>
  </si>
  <si>
    <t>Southern Crescent Technical College</t>
  </si>
  <si>
    <t>Southwest Georgia Technical College</t>
  </si>
  <si>
    <t>West Georgia Technical College</t>
  </si>
  <si>
    <t>Wiregrass Georgia Technical College</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</si>
  <si>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</si>
  <si>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</si>
  <si>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</si>
  <si>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</si>
  <si>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</si>
  <si>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</si>
  <si>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</si>
  <si>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</si>
  <si>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North Carolina State University </t>
  </si>
  <si>
    <t xml:space="preserve">University of North Carolina at Chapel Hill </t>
  </si>
  <si>
    <t>University of North Carolina at Greensboro</t>
  </si>
  <si>
    <t xml:space="preserve">East Carolina University </t>
  </si>
  <si>
    <t>University of North Carolina at Charlotte</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</si>
  <si>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</si>
  <si>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</si>
  <si>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</si>
  <si>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</si>
  <si>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</si>
  <si>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</si>
  <si>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</si>
  <si>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</si>
  <si>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</si>
  <si>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</si>
  <si>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</si>
  <si>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</si>
  <si>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</si>
  <si>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</si>
  <si>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</si>
  <si>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</si>
  <si>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</si>
  <si>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</si>
  <si>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</si>
  <si>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</si>
  <si>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</si>
  <si>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</si>
  <si>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</si>
  <si>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</si>
  <si>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</si>
  <si>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</si>
  <si>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</si>
  <si>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</si>
  <si>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</si>
  <si>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</si>
  <si>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</si>
  <si>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</si>
  <si>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</si>
  <si>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</si>
  <si>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</si>
  <si>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</si>
  <si>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</si>
  <si>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</si>
  <si>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</si>
  <si>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</si>
  <si>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</si>
  <si>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</si>
  <si>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</si>
  <si>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</si>
  <si>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</si>
  <si>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</si>
  <si>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</si>
  <si>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</si>
  <si>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</si>
  <si>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</si>
  <si>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</si>
  <si>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</si>
  <si>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</si>
  <si>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</si>
  <si>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t xml:space="preserve">Tulsa Technology Center-Riverside Campus          </t>
  </si>
  <si>
    <t xml:space="preserve">Wes Watkins Technology Center                     </t>
  </si>
  <si>
    <t xml:space="preserve">Western Technology Center                         </t>
  </si>
  <si>
    <t>University of Memphis</t>
  </si>
  <si>
    <t>University of Tennessee, Knoxville</t>
  </si>
  <si>
    <t xml:space="preserve">Tennessee State University </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</si>
  <si>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</si>
  <si>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</si>
  <si>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</si>
  <si>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</si>
  <si>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</si>
  <si>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</si>
  <si>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</si>
  <si>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</si>
  <si>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</si>
  <si>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</si>
  <si>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</si>
  <si>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</si>
  <si>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</si>
  <si>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</si>
  <si>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</si>
  <si>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</si>
  <si>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</si>
  <si>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</si>
  <si>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</si>
  <si>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219824B</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</si>
  <si>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</si>
  <si>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</si>
  <si>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</si>
  <si>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</si>
  <si>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</si>
  <si>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</si>
  <si>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</si>
  <si>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</si>
  <si>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</si>
  <si>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</si>
  <si>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</si>
  <si>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</si>
  <si>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</si>
  <si>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</si>
  <si>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</si>
  <si>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</si>
  <si>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</si>
  <si>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</si>
  <si>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</si>
  <si>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</si>
  <si>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</si>
  <si>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</si>
  <si>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</si>
  <si>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University-San Marcos</t>
  </si>
  <si>
    <t xml:space="preserve">University of Houston-Clear Lake </t>
  </si>
  <si>
    <t>University of Texas at Brownsville</t>
  </si>
  <si>
    <t>University of Texas at Tyler</t>
  </si>
  <si>
    <t>University of Texas of the Permian Basin</t>
  </si>
  <si>
    <t>University of Texas-Pan American</t>
  </si>
  <si>
    <t>West Texas A&amp;M University</t>
  </si>
  <si>
    <t>Texas A &amp; M University - Central Texas</t>
  </si>
  <si>
    <t>???</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</si>
  <si>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</si>
  <si>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</si>
  <si>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</si>
  <si>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</si>
  <si>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</si>
  <si>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</si>
  <si>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</si>
  <si>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</si>
  <si>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</si>
  <si>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</si>
  <si>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</si>
  <si>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</si>
  <si>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</si>
  <si>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</si>
  <si>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</si>
  <si>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</si>
  <si>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</si>
  <si>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</si>
  <si>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</si>
  <si>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</si>
  <si>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</si>
  <si>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</si>
  <si>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</si>
  <si>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</si>
  <si>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</si>
  <si>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</si>
  <si>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</si>
  <si>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</si>
  <si>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</si>
  <si>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</si>
  <si>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</si>
  <si>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</si>
  <si>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</si>
  <si>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</si>
  <si>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</si>
  <si>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</si>
  <si>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 xml:space="preserve">Texas Southmost College </t>
  </si>
  <si>
    <t>Texas State Technical College-Waco</t>
  </si>
  <si>
    <t>Trinity Valley Community College</t>
  </si>
  <si>
    <t xml:space="preserve">Tyler Junior College </t>
  </si>
  <si>
    <t xml:space="preserve">Alvin Community College </t>
  </si>
  <si>
    <t xml:space="preserve">Angelina College </t>
  </si>
  <si>
    <t>Cedar Valley College  (DCCCD)</t>
  </si>
  <si>
    <t>Cisco Junior College</t>
  </si>
  <si>
    <t>Coastal Bend College</t>
  </si>
  <si>
    <t>College of the Mainland</t>
  </si>
  <si>
    <t xml:space="preserve">Grayson County College </t>
  </si>
  <si>
    <t>Hill College</t>
  </si>
  <si>
    <t>Howard College (HCJCD)</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</si>
  <si>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</si>
  <si>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</si>
  <si>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</si>
  <si>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</si>
  <si>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</si>
  <si>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</si>
  <si>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</si>
  <si>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</si>
  <si>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</si>
  <si>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</si>
  <si>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</si>
  <si>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</si>
  <si>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</si>
  <si>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</si>
  <si>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</si>
  <si>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</si>
  <si>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</si>
  <si>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</si>
  <si>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</si>
  <si>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</si>
  <si>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</si>
  <si>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</si>
  <si>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</si>
  <si>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</si>
  <si>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</si>
  <si>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</si>
  <si>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</si>
  <si>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Dallas County Community College District (DCCD)</t>
  </si>
  <si>
    <t>Howard County Community/Junior College District (HCJCD)</t>
  </si>
  <si>
    <t>University of North Texas at Dallas</t>
  </si>
  <si>
    <t>New fall 2009. No degrees yet granted.</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</si>
  <si>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</si>
  <si>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</si>
  <si>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</si>
  <si>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</si>
  <si>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</si>
  <si>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</si>
  <si>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</si>
  <si>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</si>
  <si>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</si>
  <si>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</si>
  <si>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</si>
  <si>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West Virginia University at Parkersburg</t>
  </si>
  <si>
    <t>New River Community &amp; Technical College</t>
  </si>
  <si>
    <t>Pierpont Community &amp; Technical College</t>
  </si>
  <si>
    <t>West Virginia Northern Community College</t>
  </si>
  <si>
    <t>Blue Ridge Community &amp; Technical College</t>
  </si>
  <si>
    <t>Bridgemont Community &amp; Technical College</t>
  </si>
  <si>
    <t>Eastern West Virginia Community &amp; Technical College</t>
  </si>
  <si>
    <t>Kanawha Valley Community &amp; Technical College</t>
  </si>
  <si>
    <t>Mountwest Community &amp; Technical College</t>
  </si>
  <si>
    <t xml:space="preserve">Southern West Virginia Community &amp; Technical College </t>
  </si>
  <si>
    <t>Met the criteria for Four-Year 3 in 2013-14</t>
  </si>
  <si>
    <t>Met the criteria for Two-Year 2 in 2013-14.</t>
  </si>
  <si>
    <t>Met the criteria for Two-Year 2 in 2012-13 and 2013-14.</t>
  </si>
  <si>
    <t>Met the criteria for Two-Year 3 in 2012-13 and 2013-14.</t>
  </si>
  <si>
    <t>Met the criteria for Four-Year 1 in 2012-13 and 2013-14.</t>
  </si>
  <si>
    <t>Reclassified: met the criteria for Four-Year 3 in 2011-12, 2012-13, and 2013-14.</t>
  </si>
  <si>
    <t>Met the criteria for Four-Year 4 in 2013-14.</t>
  </si>
  <si>
    <t xml:space="preserve">Met the criteria for Two-Year 3 in 2013-14. </t>
  </si>
  <si>
    <t>Met the criteria for Technical College or Institute 2 in 2013-14.</t>
  </si>
  <si>
    <t>Met the criteria for Four-Year 5 in 2013-14.</t>
  </si>
  <si>
    <t>Met the criteria for Technical Institute or College 1 in 2013-14.</t>
  </si>
  <si>
    <t>Met the criteria for Four-Year 2 in 2013-14.</t>
  </si>
  <si>
    <t>Met the criteria for Four-Year 1 in 2013-14.</t>
  </si>
  <si>
    <t>Met the criteria for Four-Year 6 in 2013-14.</t>
  </si>
  <si>
    <t>Asheville-Buncombe Technical Community College</t>
  </si>
  <si>
    <t>Cape Fear Community College</t>
  </si>
  <si>
    <t xml:space="preserve">Central Piedmont Community College </t>
  </si>
  <si>
    <t>Fayetteville Technical Community College</t>
  </si>
  <si>
    <t>Forsyth Technical Community College</t>
  </si>
  <si>
    <t xml:space="preserve">Gaston College </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</si>
  <si>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</si>
  <si>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</si>
  <si>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</si>
  <si>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</si>
  <si>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</si>
  <si>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</si>
  <si>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</si>
  <si>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</si>
  <si>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</si>
  <si>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</si>
  <si>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</si>
  <si>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</si>
  <si>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</si>
  <si>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</si>
  <si>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Haywood Community College</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</si>
  <si>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</si>
  <si>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</si>
  <si>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</si>
  <si>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</si>
  <si>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</si>
  <si>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</si>
  <si>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</si>
  <si>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</si>
  <si>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</si>
  <si>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</si>
  <si>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</si>
  <si>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</si>
  <si>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</si>
  <si>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</si>
  <si>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</si>
  <si>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</si>
  <si>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</si>
  <si>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</si>
  <si>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</si>
  <si>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</si>
  <si>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</si>
  <si>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</si>
  <si>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</si>
  <si>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</si>
  <si>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</si>
  <si>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</si>
  <si>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</si>
  <si>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</si>
  <si>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</si>
  <si>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</si>
  <si>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</si>
  <si>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</si>
  <si>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</si>
  <si>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</si>
  <si>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</si>
  <si>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</si>
  <si>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</si>
  <si>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Reclassified: met the criteria for Two-Year 2 in 2011-12, 2012-13, and 2013-14.</t>
  </si>
  <si>
    <t>Reclassified: met the criteria for Two-Year 3 in 2011-12, 2012-13, and 2013-14.</t>
  </si>
  <si>
    <t>University of Kentucky</t>
  </si>
  <si>
    <t>University of Louisville</t>
  </si>
  <si>
    <t xml:space="preserve">Eastern Kentucky University </t>
  </si>
  <si>
    <t xml:space="preserve">Morehead State University </t>
  </si>
  <si>
    <t xml:space="preserve">Murray State University </t>
  </si>
  <si>
    <t xml:space="preserve">Western Kentucky University </t>
  </si>
  <si>
    <t xml:space="preserve">Kentucky State University </t>
  </si>
  <si>
    <t xml:space="preserve">Northern Kentucky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</si>
  <si>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</si>
  <si>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</si>
  <si>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</si>
  <si>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</si>
  <si>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</si>
  <si>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</si>
  <si>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</si>
  <si>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</si>
  <si>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</si>
  <si>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</si>
  <si>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</si>
  <si>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</si>
  <si>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</si>
  <si>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</si>
  <si>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</si>
  <si>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</si>
  <si>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Met the criteria for Four-Year 3 in 2012-13 and 2013-14.</t>
  </si>
  <si>
    <t>University of Delaware</t>
  </si>
  <si>
    <t>Delaware State University</t>
  </si>
  <si>
    <t>Delaware Technical and Community College--Stanton-Wilmington</t>
  </si>
  <si>
    <t>Delaware Technical and Community College--Owens</t>
  </si>
  <si>
    <t>Delaware Technical and Community College--Terry</t>
  </si>
  <si>
    <t>Louisiana State University and A&amp;M College</t>
  </si>
  <si>
    <t xml:space="preserve">Louisiana Tech University </t>
  </si>
  <si>
    <t>quar</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</si>
  <si>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</si>
  <si>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</si>
  <si>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</si>
  <si>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</si>
  <si>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</si>
  <si>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</si>
  <si>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</si>
  <si>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</si>
  <si>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</si>
  <si>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</si>
  <si>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</si>
  <si>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</si>
  <si>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</si>
  <si>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</si>
  <si>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</si>
  <si>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State University at Eunice</t>
  </si>
  <si>
    <t>South Louisiana Community College</t>
  </si>
  <si>
    <t>Louisiana Delta Community College</t>
  </si>
  <si>
    <t>Nunez Community College</t>
  </si>
  <si>
    <t>River Parishes Community College</t>
  </si>
  <si>
    <t>Southern University in Shreveport</t>
  </si>
  <si>
    <t>Capital Area Technical College</t>
  </si>
  <si>
    <t>Central LA Technical College</t>
  </si>
  <si>
    <t>L.E. Fletcher Technical Community College</t>
  </si>
  <si>
    <t>Northshore Technical College</t>
  </si>
  <si>
    <t>Northwest LA Technical College</t>
  </si>
  <si>
    <t>South Central LA Technical College</t>
  </si>
  <si>
    <t>Sowela Technical Community College</t>
  </si>
  <si>
    <t>Met the criteria for Four-Year 5 in 2012-13 and 2013-14.</t>
  </si>
  <si>
    <t>Met the criteria for Technical Institute or College 2 in 2013-14.</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</si>
  <si>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</si>
  <si>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</si>
  <si>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</si>
  <si>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</si>
  <si>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</si>
  <si>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</si>
  <si>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</si>
  <si>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</si>
  <si>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</si>
  <si>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</si>
  <si>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</si>
  <si>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</si>
  <si>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</si>
  <si>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</si>
  <si>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State University-Oklahoma City </t>
  </si>
  <si>
    <t xml:space="preserve">Oklahoma City Community College </t>
  </si>
  <si>
    <t xml:space="preserve">Rose State College </t>
  </si>
  <si>
    <t xml:space="preserve">Tulsa Community College </t>
  </si>
  <si>
    <t>Carl Albert State College</t>
  </si>
  <si>
    <t xml:space="preserve">Northern Oklahoma College </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</si>
  <si>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</si>
  <si>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</si>
  <si>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</si>
  <si>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</si>
  <si>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</si>
  <si>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</si>
  <si>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</si>
  <si>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Met the criteria for Two-Year 2 institution in 2012-13 and 2013-14.</t>
  </si>
  <si>
    <t>Met the criteria for Two-Year 2 institution in 2013-14.</t>
  </si>
  <si>
    <t>Met the criteria for Two-Year 3 institution in 2013-14.</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</si>
  <si>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</si>
  <si>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</si>
  <si>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</si>
  <si>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</si>
  <si>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</si>
  <si>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</si>
  <si>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</si>
  <si>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</si>
  <si>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</si>
  <si>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</si>
  <si>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</si>
  <si>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</si>
  <si>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</si>
  <si>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</si>
  <si>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</si>
  <si>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Met criteria for Two-Year 1 in 2012-13 and 2013-14.</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</si>
  <si>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</si>
  <si>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</si>
  <si>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</si>
  <si>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</si>
  <si>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</si>
  <si>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</si>
  <si>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</si>
  <si>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</si>
  <si>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</si>
  <si>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</si>
  <si>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</si>
  <si>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</si>
  <si>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</si>
  <si>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</si>
  <si>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</si>
  <si>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</si>
  <si>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</si>
  <si>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</si>
  <si>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</si>
  <si>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</si>
  <si>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</si>
  <si>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</si>
  <si>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</si>
  <si>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</si>
  <si>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</si>
  <si>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</si>
  <si>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</si>
  <si>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Tennessee College of Applied Technology at Chattanooga</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</si>
  <si>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</si>
  <si>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</si>
  <si>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</si>
  <si>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</si>
  <si>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</si>
  <si>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</si>
  <si>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</si>
  <si>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</si>
  <si>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</si>
  <si>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</si>
  <si>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</si>
  <si>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</si>
  <si>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</si>
  <si>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</si>
  <si>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</si>
  <si>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</si>
  <si>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</si>
  <si>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</si>
  <si>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</si>
  <si>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</si>
  <si>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</si>
  <si>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</si>
  <si>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</si>
  <si>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</si>
  <si>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</si>
  <si>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</si>
  <si>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 xml:space="preserve">Chipola College </t>
  </si>
  <si>
    <t xml:space="preserve">Daytona State College </t>
  </si>
  <si>
    <t>Florida State College at Jacksonville</t>
  </si>
  <si>
    <t xml:space="preserve">Indian River State College </t>
  </si>
  <si>
    <t xml:space="preserve">Miami Dade College </t>
  </si>
  <si>
    <t>Northwest Florida State College</t>
  </si>
  <si>
    <t xml:space="preserve">St. Petersburg College </t>
  </si>
  <si>
    <t xml:space="preserve">Broward College </t>
  </si>
  <si>
    <t>College of Central Florida</t>
  </si>
  <si>
    <t>Eastern Florida State College</t>
  </si>
  <si>
    <t xml:space="preserve">Hillsborough Community College </t>
  </si>
  <si>
    <t xml:space="preserve">Palm Beach State College </t>
  </si>
  <si>
    <t xml:space="preserve">Pensacola State College </t>
  </si>
  <si>
    <t xml:space="preserve">Polk State College </t>
  </si>
  <si>
    <t xml:space="preserve">Santa Fe College </t>
  </si>
  <si>
    <t>Seminole State College of Florida</t>
  </si>
  <si>
    <t>State College of Florida, Manatee-Sarasota</t>
  </si>
  <si>
    <t xml:space="preserve">Tallahassee Community College </t>
  </si>
  <si>
    <t xml:space="preserve">Valencia College </t>
  </si>
  <si>
    <t>Florida Gateway College</t>
  </si>
  <si>
    <t xml:space="preserve">Gulf Coast State College </t>
  </si>
  <si>
    <t xml:space="preserve">Lake-Sumter State College </t>
  </si>
  <si>
    <t xml:space="preserve">South Florida State College </t>
  </si>
  <si>
    <t xml:space="preserve">St. Johns River State College </t>
  </si>
  <si>
    <t xml:space="preserve">Florida Keys Community College </t>
  </si>
  <si>
    <t xml:space="preserve">North Florida Community College </t>
  </si>
  <si>
    <t xml:space="preserve">Edison State College </t>
  </si>
  <si>
    <t>Reclassified: met the criteria for Two-Year with Bachelor's in 2011-12, 2012-13, and 2013-14.</t>
  </si>
  <si>
    <t>Met the criteria for Two-Year with Bachelor's in 2013-14.</t>
  </si>
  <si>
    <t xml:space="preserve">Pasco-Hernando Community College </t>
  </si>
  <si>
    <t>Met the criteria for Two-Year with Bachelor's in 2012-13 and 2013-14.</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</si>
  <si>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</si>
  <si>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</si>
  <si>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</si>
  <si>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</si>
  <si>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</si>
  <si>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</si>
  <si>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</si>
  <si>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</si>
  <si>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</si>
  <si>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</si>
  <si>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</si>
  <si>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</si>
  <si>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</si>
  <si>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</si>
  <si>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</si>
  <si>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</si>
  <si>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</si>
  <si>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</si>
  <si>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</si>
  <si>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</si>
  <si>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</si>
  <si>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</si>
  <si>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</si>
  <si>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</si>
  <si>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</si>
  <si>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</si>
  <si>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</si>
  <si>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</si>
  <si>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</si>
  <si>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</si>
  <si>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</si>
  <si>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</si>
  <si>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 xml:space="preserve">George Mason University </t>
  </si>
  <si>
    <t xml:space="preserve">Old Dominion University </t>
  </si>
  <si>
    <t>University of Virginia</t>
  </si>
  <si>
    <t xml:space="preserve">Virginia Tech </t>
  </si>
  <si>
    <t>College of William &amp; Mary</t>
  </si>
  <si>
    <t>Virginia Commonwealth University</t>
  </si>
  <si>
    <t xml:space="preserve">Norfolk State University </t>
  </si>
  <si>
    <t xml:space="preserve">Longwood University </t>
  </si>
  <si>
    <t>Radford University</t>
  </si>
  <si>
    <t xml:space="preserve">Virginia State University </t>
  </si>
  <si>
    <t>Christopher Newport University</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</si>
  <si>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</si>
  <si>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</si>
  <si>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</si>
  <si>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</si>
  <si>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</si>
  <si>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</si>
  <si>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</si>
  <si>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</si>
  <si>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</si>
  <si>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</si>
  <si>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</si>
  <si>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New River Community College </t>
  </si>
  <si>
    <t xml:space="preserve">Patrick Henry Community College </t>
  </si>
  <si>
    <t xml:space="preserve">Piedmont Virginia Community College </t>
  </si>
  <si>
    <t xml:space="preserve">Southwest Virginia Community College </t>
  </si>
  <si>
    <t xml:space="preserve">Virginia Western Community College </t>
  </si>
  <si>
    <t xml:space="preserve">Wytheville Community College </t>
  </si>
  <si>
    <t xml:space="preserve">D.S. Lancaster Community College </t>
  </si>
  <si>
    <t>Mountain Empire Community College</t>
  </si>
  <si>
    <t xml:space="preserve">Richard Bland College </t>
  </si>
  <si>
    <t xml:space="preserve">Virginia Highlands Community College </t>
  </si>
  <si>
    <t>all 8's</t>
  </si>
  <si>
    <t>all 9's</t>
  </si>
  <si>
    <t>All'10's except R.B.</t>
  </si>
  <si>
    <t>Richard Bland College B</t>
  </si>
  <si>
    <t>All Community Colleges except R. Bland</t>
  </si>
  <si>
    <t>All CC - Bland</t>
  </si>
  <si>
    <t>James Madison University</t>
  </si>
  <si>
    <t>Met the criteria for Four-Year 3 in 2013-14.</t>
  </si>
  <si>
    <t>Reclassified: met the criteria for Two-Year 1 in 2011-12, 2012-13, and 2013-14.</t>
  </si>
  <si>
    <t>Lord Fairfax Community College</t>
  </si>
  <si>
    <t>Southside Virginia Community College</t>
  </si>
  <si>
    <t>Eastern Shore Community College</t>
  </si>
  <si>
    <t>Paul D. Camp Community College</t>
  </si>
  <si>
    <t>Rappahannock Community College</t>
  </si>
  <si>
    <t xml:space="preserve">Gordon State College </t>
  </si>
  <si>
    <t>Atlanta Metropolitan State College</t>
  </si>
  <si>
    <t xml:space="preserve">Bainbridge State College </t>
  </si>
  <si>
    <t xml:space="preserve">Darton State College </t>
  </si>
  <si>
    <t>East Georgia State College</t>
  </si>
  <si>
    <t>Georgia Regents University</t>
  </si>
  <si>
    <t>University of North Georgia</t>
  </si>
  <si>
    <t>Middle Georgia State College</t>
  </si>
  <si>
    <t>South Georgia State College</t>
  </si>
  <si>
    <t>Met the criteria for Four-Year 4 in 2012-13 and 2013-14.</t>
  </si>
  <si>
    <t>Reclassified: met the criteria for Four-Year 6 in 2011-12, 2012-13, and 2013-14.</t>
  </si>
  <si>
    <t xml:space="preserve">Reclassified: met the criteria for Two-Year with Bachelor's in 2011-12, 2012-13, and 2013-14. </t>
  </si>
  <si>
    <t>Public Four-Year Institutions, 2013-14</t>
  </si>
  <si>
    <t>Notes: Full-year full-time-equivalent (FTE) undergraduate enrollment for 2013-14 is estimated by taking the credit hours from calendar year 2013 (i.e. winter, spring, summer and fall terms of 2013) and by dividing total undergraduate semester credit hours by 30 and total undergraduate quarter hours by 45.</t>
  </si>
  <si>
    <t>Notes: Full-year full-time-equivalent (FTE) graduate enrollment for 2013-14 is estimated by taking the credit hours from calendar year 2013 (i.e. winter, spring, summer and fall terms of 2013) and by dividing total graduate semester credit hours by 24 and total graduate quarter hours by 36.</t>
  </si>
  <si>
    <t>Notes: Full-year full-time-equivalent (FTE) enrollment for 2013-14 is estimated by taking the credit hours from calendar year 2013 (i.e. winter, spring, summer and fall terms of 2013), and by dividing total undergraduate semester credit hours by 30; total undergraduate quarter hours by 45; total graduate semester credit hours by 24; and total graduate quarter hours by 36.</t>
  </si>
  <si>
    <t>Public Two-Year Colleges and Technical Institutes or Colleges, 2013-14</t>
  </si>
  <si>
    <t>Public Two-Year Colleges, 2013-14</t>
  </si>
  <si>
    <r>
      <t>Notes:  Full-year full-time-equivalent (FTE) undergraduate enrollment for 2013-14 is estimated by taking the credit hours from calendar year 2013 (i.e. winter, spring, summer and fall terms of 2013) and by dividing total undergraduate semester credit hours by 30; total undergraduate contact hours by 900 (the equivalent of a 30 hour week);</t>
    </r>
    <r>
      <rPr>
        <sz val="8"/>
        <color rgb="FFFF0000"/>
        <rFont val="Arial"/>
        <family val="2"/>
      </rPr>
      <t xml:space="preserve"> </t>
    </r>
    <r>
      <rPr>
        <sz val="8"/>
        <color theme="1"/>
        <rFont val="Arial"/>
        <family val="2"/>
      </rPr>
      <t>and total graduate semester credit hours by 24</t>
    </r>
    <r>
      <rPr>
        <sz val="8"/>
        <rFont val="Arial"/>
        <family val="2"/>
      </rPr>
      <t xml:space="preserve">. </t>
    </r>
  </si>
  <si>
    <t>Public Technical Institutes or Colleges, 2013-14</t>
  </si>
  <si>
    <t xml:space="preserve">Notes:  Full-year full-time-equivalent (FTE) undergraduate enrollment for 2013-14 is estimated by taking the credit hours from calendar year 2013 (i.e. winter, spring, summer and fall terms of 2013) and by dividing total undergraduate semester credit hours by 30; total undergraduate quarter hours by 45; total undergraduate contact hours by 900 (the equivalent of a 30 hour week); total graduate semester credit hours by 24; and total graduate quarter hours by 36. </t>
  </si>
  <si>
    <t>Public Four-Year Institutions, 2012-13</t>
  </si>
  <si>
    <t>Public Two-Year Colleges and Technical Institutes or Colleges, 2012-13</t>
  </si>
  <si>
    <t>Public Two-Year Colleges, 2012-13</t>
  </si>
  <si>
    <t>Public Technical Institutes or Colleges, 2012-13</t>
  </si>
  <si>
    <t xml:space="preserve">Notes:  Full-year full-time-equivalent (FTE) undergraduate enrollment for 2012-13 is estimated by taking the credit hours from calendar year 2012 (i.e. winter, spring, summer and fall terms of 2012) and by dividing total undergraduate semester credit hours by 30; total undergraduate quarter hours by 45; total undergraduate contact hours by 900 (the equivalent of a 30 hour week); total graduate semester credit hours by 24; and total graduate quarter hours by 36. </t>
  </si>
  <si>
    <t>Notes: Full-year full-time-equivalent (FTE) undergraduate enrollment for 2012-13 is estimated by taking the credit hours from calendar year 2012 (i.e. winter, spring, summer and fall terms of 2012) and by dividing total undergraduate semester credit hours by 30 and total undergraduate quarter hours by 45.</t>
  </si>
  <si>
    <t>Notes: Full-year full-time-equivalent (FTE) undergraduate enrollment for 2012-13 is estimated by taking the credit hours from calendar year 2012 (i.e. winter, spring, summer and fall terms of 2012) and by dividing total graduate semester credit hours by 24 and total graduate quarter hours by 36.</t>
  </si>
  <si>
    <t>Notes: Full-year full-time-equivalent (FTE) undergraduate enrollment for 2012-13 is estimated by taking the credit hours from calendar year 2012 (i.e. winter, spring, summer and fall terms of 2012) and by dividing total undergraduate semester credit hours by 30; total undergraduate quarter hours by 45; total graduate semester hours by 24; and total graduate quarter hours by 36.</t>
  </si>
  <si>
    <t>January 2015</t>
  </si>
  <si>
    <t xml:space="preserve"> and Technical Institutes or Colleges, 2013-14</t>
  </si>
  <si>
    <t>Pct by Students Still in HS</t>
  </si>
  <si>
    <t>For use in FB_42_43</t>
  </si>
  <si>
    <t>w/ Bachelors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</si>
</sst>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0_)"/>
    <numFmt numFmtId="165" formatCode="_(* #,##0_);_(* \(#,##0\);_(* &quot;-&quot;??_);_(@_)"/>
    <numFmt numFmtId="166" formatCode="#,##0.0"/>
    <numFmt numFmtId="167" formatCode="General_)"/>
    <numFmt numFmtId="168" formatCode="0.0%"/>
    <numFmt numFmtId="169" formatCode="0.0"/>
    <numFmt numFmtId="170" formatCode="0.000"/>
    <numFmt numFmtId="171" formatCode="#,##0.000"/>
    <numFmt numFmtId="172" formatCode="0.000%"/>
  </numFmts>
  <fonts count="90">
    <font>
      <sz val="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sz val="12"/>
      <name val="AGaramond"/>
      <family val="1"/>
    </font>
    <font>
      <sz val="8"/>
      <name val="Arial"/>
      <family val="2"/>
    </font>
    <font>
      <sz val="9"/>
      <name val="Arial"/>
      <family val="2"/>
    </font>
    <font>
      <sz val="10"/>
      <name val="Arial"/>
      <family val="2"/>
    </font>
    <font>
      <sz val="14"/>
      <name val="Arial"/>
      <family val="2"/>
    </font>
    <font>
      <sz val="12"/>
      <name val="Arial"/>
      <family val="2"/>
    </font>
    <font>
      <b/>
      <sz val="12"/>
      <name val="Arial"/>
      <family val="2"/>
    </font>
    <font>
      <sz val="8"/>
      <name val="Arial"/>
      <family val="2"/>
    </font>
    <font>
      <b/>
      <sz val="8"/>
      <color indexed="81"/>
      <name val="Tahoma"/>
      <family val="2"/>
    </font>
    <font>
      <sz val="8"/>
      <color indexed="81"/>
      <name val="Tahoma"/>
      <family val="2"/>
    </font>
    <font>
      <b/>
      <sz val="14"/>
      <name val="Arial"/>
      <family val="2"/>
    </font>
    <font>
      <b/>
      <sz val="10"/>
      <name val="Arial"/>
      <family val="2"/>
    </font>
    <font>
      <b/>
      <sz val="9"/>
      <name val="Arial"/>
      <family val="2"/>
    </font>
    <font>
      <b/>
      <sz val="10"/>
      <color indexed="81"/>
      <name val="Tahoma"/>
      <family val="2"/>
    </font>
    <font>
      <sz val="10"/>
      <color indexed="8"/>
      <name val="Arial"/>
      <family val="2"/>
    </font>
    <font>
      <b/>
      <sz val="10"/>
      <color indexed="12"/>
      <name val="Arial"/>
      <family val="2"/>
    </font>
    <font>
      <sz val="10"/>
      <color indexed="10"/>
      <name val="Arial"/>
      <family val="2"/>
    </font>
    <font>
      <sz val="10"/>
      <color indexed="12"/>
      <name val="Arial"/>
      <family val="2"/>
    </font>
    <font>
      <sz val="10"/>
      <color indexed="81"/>
      <name val="Tahoma"/>
      <family val="2"/>
    </font>
    <font>
      <sz val="10"/>
      <color indexed="16"/>
      <name val="Arial"/>
      <family val="2"/>
    </font>
    <font>
      <b/>
      <sz val="9"/>
      <color indexed="12"/>
      <name val="Arial"/>
      <family val="2"/>
    </font>
    <font>
      <sz val="9"/>
      <color indexed="12"/>
      <name val="Arial"/>
      <family val="2"/>
    </font>
    <font>
      <sz val="10"/>
      <name val="Helv"/>
    </font>
    <font>
      <sz val="10"/>
      <name val="Arial"/>
      <family val="2"/>
    </font>
    <font>
      <b/>
      <sz val="10"/>
      <color indexed="8"/>
      <name val="Arial"/>
      <family val="2"/>
    </font>
    <font>
      <b/>
      <sz val="10"/>
      <color rgb="FFC00000"/>
      <name val="ARIAL"/>
      <family val="2"/>
    </font>
    <font>
      <sz val="10"/>
      <color rgb="FFC00000"/>
      <name val="Arial"/>
      <family val="2"/>
    </font>
    <font>
      <sz val="10"/>
      <color indexed="17"/>
      <name val="Arial"/>
      <family val="2"/>
    </font>
    <font>
      <sz val="10"/>
      <color rgb="FF0000FF"/>
      <name val="Arial"/>
      <family val="2"/>
    </font>
    <font>
      <b/>
      <sz val="14"/>
      <color rgb="FFC00000"/>
      <name val="Arial"/>
      <family val="2"/>
    </font>
    <font>
      <sz val="10"/>
      <name val="Calibri"/>
      <family val="2"/>
    </font>
    <font>
      <sz val="10"/>
      <color theme="0"/>
      <name val="Arial"/>
      <family val="2"/>
    </font>
    <font>
      <b/>
      <sz val="10"/>
      <color theme="0"/>
      <name val="Arial"/>
      <family val="2"/>
    </font>
    <font>
      <b/>
      <sz val="10"/>
      <color rgb="FF0000FF"/>
      <name val="Arial"/>
      <family val="2"/>
    </font>
    <font>
      <b/>
      <sz val="12"/>
      <color rgb="FF0000FF"/>
      <name val="Arial"/>
      <family val="2"/>
    </font>
    <font>
      <b/>
      <sz val="14"/>
      <color theme="0"/>
      <name val="Arial"/>
      <family val="2"/>
    </font>
    <font>
      <b/>
      <sz val="8"/>
      <name val="Times New Roman"/>
      <family val="1"/>
    </font>
    <font>
      <b/>
      <sz val="8"/>
      <color rgb="FFC00000"/>
      <name val="Times New Roman"/>
      <family val="1"/>
    </font>
    <font>
      <b/>
      <sz val="10"/>
      <color rgb="FFFF0000"/>
      <name val="Arial"/>
      <family val="2"/>
    </font>
    <font>
      <sz val="10"/>
      <color theme="1"/>
      <name val="Arial"/>
      <family val="2"/>
    </font>
    <font>
      <sz val="11"/>
      <color indexed="8"/>
      <name val="Calibri"/>
      <family val="2"/>
    </font>
    <font>
      <sz val="10"/>
      <name val="Courier"/>
      <family val="3"/>
    </font>
    <font>
      <sz val="12"/>
      <name val="AGaramond"/>
      <family val="1"/>
    </font>
    <font>
      <sz val="10"/>
      <color rgb="FF000000"/>
      <name val="Times New Roman"/>
      <family val="1"/>
    </font>
    <font>
      <sz val="10"/>
      <color rgb="FF000000"/>
      <name val="Times New Roman"/>
      <family val="1"/>
    </font>
    <font>
      <sz val="8"/>
      <color rgb="FFFF0000"/>
      <name val="Arial"/>
      <family val="2"/>
    </font>
    <font>
      <sz val="8"/>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Garamond"/>
    </font>
    <font>
      <sz val="10"/>
      <color indexed="8"/>
      <name val="Times New Roman"/>
      <family val="1"/>
    </font>
    <font>
      <sz val="8"/>
      <name val="Times New Roman"/>
      <family val="1"/>
    </font>
    <font>
      <b/>
      <sz val="9"/>
      <color indexed="81"/>
      <name val="Tahoma"/>
      <family val="2"/>
    </font>
    <font>
      <sz val="9"/>
      <color indexed="81"/>
      <name val="Tahoma"/>
      <family val="2"/>
    </font>
    <font>
      <b/>
      <sz val="10"/>
      <name val="Arial, Albany AMT, Helvetica"/>
    </font>
    <font>
      <sz val="10"/>
      <color rgb="FF000000"/>
      <name val="Arial"/>
      <family val="2"/>
    </font>
    <font>
      <b/>
      <sz val="8"/>
      <color rgb="FFFF0000"/>
      <name val="Times New Roman"/>
      <family val="1"/>
    </font>
    <font>
      <sz val="10"/>
      <name val="Arial"/>
      <family val="2"/>
    </font>
    <font>
      <sz val="10"/>
      <color rgb="FFFFFF00"/>
      <name val="Arial"/>
      <family val="2"/>
    </font>
  </fonts>
  <fills count="67">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B2A1C7"/>
        <bgColor indexed="64"/>
      </patternFill>
    </fill>
    <fill>
      <patternFill patternType="solid">
        <fgColor theme="0"/>
        <bgColor indexed="64"/>
      </patternFill>
    </fill>
    <fill>
      <patternFill patternType="solid">
        <fgColor rgb="FFC00000"/>
        <bgColor indexed="64"/>
      </patternFill>
    </fill>
    <fill>
      <patternFill patternType="solid">
        <fgColor indexed="45"/>
        <bgColor indexed="64"/>
      </patternFill>
    </fill>
    <fill>
      <patternFill patternType="solid">
        <fgColor rgb="FFFFFF00"/>
        <bgColor indexed="64"/>
      </patternFill>
    </fill>
    <fill>
      <patternFill patternType="solid">
        <fgColor rgb="FFFF99CC"/>
        <bgColor indexed="64"/>
      </patternFill>
    </fill>
    <fill>
      <patternFill patternType="solid">
        <fgColor rgb="FFCCFFCC"/>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7"/>
        <bgColor indexed="42"/>
      </patternFill>
    </fill>
    <fill>
      <patternFill patternType="solid">
        <fgColor indexed="44"/>
        <bgColor indexed="64"/>
      </patternFill>
    </fill>
    <fill>
      <patternFill patternType="solid">
        <fgColor indexed="44"/>
        <bgColor indexed="42"/>
      </patternFill>
    </fill>
    <fill>
      <patternFill patternType="solid">
        <fgColor indexed="46"/>
        <bgColor indexed="64"/>
      </patternFill>
    </fill>
    <fill>
      <patternFill patternType="solid">
        <fgColor indexed="43"/>
        <bgColor indexed="64"/>
      </patternFill>
    </fill>
    <fill>
      <patternFill patternType="solid">
        <fgColor indexed="42"/>
        <bgColor indexed="42"/>
      </patternFill>
    </fill>
    <fill>
      <patternFill patternType="solid">
        <fgColor indexed="22"/>
        <bgColor indexed="64"/>
      </patternFill>
    </fill>
    <fill>
      <patternFill patternType="solid">
        <fgColor indexed="50"/>
        <bgColor indexed="64"/>
      </patternFill>
    </fill>
    <fill>
      <patternFill patternType="solid">
        <fgColor theme="9" tint="0.79998168889431442"/>
        <bgColor indexed="64"/>
      </patternFill>
    </fill>
    <fill>
      <patternFill patternType="solid">
        <fgColor indexed="49"/>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indexed="51"/>
        <bgColor indexed="64"/>
      </patternFill>
    </fill>
    <fill>
      <patternFill patternType="solid">
        <fgColor rgb="FFFFCC00"/>
        <bgColor indexed="64"/>
      </patternFill>
    </fill>
    <fill>
      <patternFill patternType="solid">
        <fgColor indexed="45"/>
        <bgColor indexed="42"/>
      </patternFill>
    </fill>
    <fill>
      <patternFill patternType="solid">
        <fgColor indexed="15"/>
        <bgColor indexed="64"/>
      </patternFill>
    </fill>
    <fill>
      <patternFill patternType="solid">
        <fgColor rgb="FF00FFFF"/>
        <bgColor indexed="64"/>
      </patternFill>
    </fill>
    <fill>
      <patternFill patternType="solid">
        <fgColor indexed="15"/>
        <bgColor indexed="42"/>
      </patternFill>
    </fill>
    <fill>
      <patternFill patternType="solid">
        <fgColor indexed="43"/>
        <bgColor indexed="42"/>
      </patternFill>
    </fill>
    <fill>
      <patternFill patternType="solid">
        <fgColor theme="5" tint="0.59999389629810485"/>
        <bgColor indexed="64"/>
      </patternFill>
    </fill>
    <fill>
      <patternFill patternType="solid">
        <fgColor rgb="FF00FFFF"/>
        <bgColor indexed="42"/>
      </patternFill>
    </fill>
    <fill>
      <patternFill patternType="solid">
        <fgColor rgb="FFFFFFCC"/>
        <bgColor indexed="64"/>
      </patternFill>
    </fill>
    <fill>
      <patternFill patternType="solid">
        <fgColor rgb="FFFFC000"/>
        <bgColor indexed="64"/>
      </patternFill>
    </fill>
    <fill>
      <patternFill patternType="solid">
        <fgColor rgb="FF92D050"/>
        <bgColor indexed="64"/>
      </patternFill>
    </fill>
    <fill>
      <patternFill patternType="solid">
        <fgColor rgb="FF7030A0"/>
        <bgColor indexed="64"/>
      </patternFill>
    </fill>
    <fill>
      <patternFill patternType="solid">
        <fgColor rgb="FF00B050"/>
        <bgColor indexed="64"/>
      </patternFill>
    </fill>
    <fill>
      <patternFill patternType="solid">
        <fgColor rgb="FF00B0F0"/>
        <bgColor indexed="64"/>
      </patternFill>
    </fill>
  </fills>
  <borders count="82">
    <border>
      <left/>
      <right/>
      <top/>
      <bottom/>
      <diagonal/>
    </border>
    <border>
      <left style="medium">
        <color indexed="64"/>
      </left>
      <right style="medium">
        <color indexed="64"/>
      </right>
      <top/>
      <bottom/>
      <diagonal/>
    </border>
    <border>
      <left style="thin">
        <color indexed="8"/>
      </left>
      <right/>
      <top style="thin">
        <color indexed="65"/>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8"/>
      </left>
      <right/>
      <top/>
      <bottom/>
      <diagonal/>
    </border>
    <border>
      <left style="thin">
        <color indexed="8"/>
      </left>
      <right/>
      <top/>
      <bottom style="thin">
        <color indexed="64"/>
      </bottom>
      <diagonal/>
    </border>
    <border>
      <left/>
      <right style="thin">
        <color indexed="8"/>
      </right>
      <top/>
      <bottom/>
      <diagonal/>
    </border>
    <border>
      <left/>
      <right style="thin">
        <color indexed="8"/>
      </right>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8"/>
      </top>
      <bottom style="thin">
        <color indexed="64"/>
      </bottom>
      <diagonal/>
    </border>
    <border>
      <left style="thin">
        <color indexed="8"/>
      </left>
      <right/>
      <top style="thin">
        <color indexed="8"/>
      </top>
      <bottom/>
      <diagonal/>
    </border>
    <border>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right style="thin">
        <color indexed="64"/>
      </right>
      <top style="thin">
        <color indexed="64"/>
      </top>
      <bottom/>
      <diagonal/>
    </border>
    <border>
      <left style="thin">
        <color indexed="64"/>
      </left>
      <right/>
      <top style="thin">
        <color indexed="8"/>
      </top>
      <bottom/>
      <diagonal/>
    </border>
    <border>
      <left style="thin">
        <color indexed="64"/>
      </left>
      <right/>
      <top style="thin">
        <color indexed="8"/>
      </top>
      <bottom style="thin">
        <color indexed="8"/>
      </bottom>
      <diagonal/>
    </border>
    <border>
      <left style="double">
        <color indexed="64"/>
      </left>
      <right/>
      <top style="thin">
        <color indexed="64"/>
      </top>
      <bottom style="thin">
        <color indexed="64"/>
      </bottom>
      <diagonal/>
    </border>
    <border>
      <left style="thin">
        <color indexed="64"/>
      </left>
      <right/>
      <top style="thin">
        <color indexed="64"/>
      </top>
      <bottom/>
      <diagonal/>
    </border>
    <border>
      <left style="double">
        <color indexed="64"/>
      </left>
      <right/>
      <top/>
      <bottom/>
      <diagonal/>
    </border>
    <border>
      <left style="thin">
        <color indexed="64"/>
      </left>
      <right/>
      <top style="thin">
        <color indexed="8"/>
      </top>
      <bottom style="thin">
        <color indexed="64"/>
      </bottom>
      <diagonal/>
    </border>
    <border>
      <left style="thin">
        <color indexed="65"/>
      </left>
      <right/>
      <top style="thin">
        <color indexed="65"/>
      </top>
      <bottom/>
      <diagonal/>
    </border>
    <border>
      <left style="thin">
        <color indexed="8"/>
      </left>
      <right style="thin">
        <color indexed="8"/>
      </right>
      <top style="thin">
        <color indexed="65"/>
      </top>
      <bottom/>
      <diagonal/>
    </border>
    <border>
      <left style="thin">
        <color indexed="8"/>
      </left>
      <right style="thin">
        <color indexed="8"/>
      </right>
      <top/>
      <bottom/>
      <diagonal/>
    </border>
    <border>
      <left style="thin">
        <color indexed="8"/>
      </left>
      <right/>
      <top style="thin">
        <color indexed="65"/>
      </top>
      <bottom style="thin">
        <color indexed="64"/>
      </bottom>
      <diagonal/>
    </border>
    <border>
      <left style="thin">
        <color indexed="8"/>
      </left>
      <right style="thin">
        <color indexed="8"/>
      </right>
      <top/>
      <bottom style="thin">
        <color indexed="64"/>
      </bottom>
      <diagonal/>
    </border>
    <border>
      <left style="thin">
        <color indexed="64"/>
      </left>
      <right/>
      <top/>
      <bottom style="thin">
        <color indexed="8"/>
      </bottom>
      <diagonal/>
    </border>
    <border>
      <left style="thin">
        <color indexed="64"/>
      </left>
      <right style="thin">
        <color indexed="64"/>
      </right>
      <top/>
      <bottom/>
      <diagonal/>
    </border>
    <border>
      <left style="thin">
        <color indexed="8"/>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style="thin">
        <color indexed="8"/>
      </left>
      <right style="thin">
        <color indexed="8"/>
      </right>
      <top style="thin">
        <color indexed="64"/>
      </top>
      <bottom/>
      <diagonal/>
    </border>
    <border>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thin">
        <color indexed="64"/>
      </right>
      <top/>
      <bottom/>
      <diagonal/>
    </border>
    <border>
      <left/>
      <right style="medium">
        <color indexed="64"/>
      </right>
      <top/>
      <bottom/>
      <diagonal/>
    </border>
    <border>
      <left style="double">
        <color indexed="64"/>
      </left>
      <right style="thin">
        <color indexed="64"/>
      </right>
      <top/>
      <bottom/>
      <diagonal/>
    </border>
    <border>
      <left style="thin">
        <color indexed="64"/>
      </left>
      <right style="double">
        <color indexed="64"/>
      </right>
      <top/>
      <bottom/>
      <diagonal/>
    </border>
    <border>
      <left style="medium">
        <color indexed="64"/>
      </left>
      <right style="medium">
        <color indexed="64"/>
      </right>
      <top style="medium">
        <color indexed="64"/>
      </top>
      <bottom style="medium">
        <color indexed="64"/>
      </bottom>
      <diagonal/>
    </border>
    <border>
      <left style="thin">
        <color indexed="8"/>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right/>
      <top style="thin">
        <color indexed="64"/>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style="thin">
        <color indexed="64"/>
      </left>
      <right/>
      <top style="thin">
        <color indexed="8"/>
      </top>
      <bottom style="thin">
        <color indexed="64"/>
      </bottom>
      <diagonal/>
    </border>
    <border>
      <left/>
      <right/>
      <top style="thin">
        <color indexed="8"/>
      </top>
      <bottom style="thin">
        <color indexed="8"/>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style="thick">
        <color indexed="64"/>
      </right>
      <top style="thick">
        <color indexed="64"/>
      </top>
      <bottom style="thick">
        <color indexed="64"/>
      </bottom>
      <diagonal/>
    </border>
  </borders>
  <cellStyleXfs count="26039">
    <xf numFmtId="3" fontId="0" fillId="0" borderId="0"/>
    <xf numFmtId="43" fontId="17" fillId="0" borderId="0" applyFont="0" applyFill="0" applyBorder="0" applyAlignment="0" applyProtection="0"/>
    <xf numFmtId="167" fontId="39" fillId="0" borderId="0"/>
    <xf numFmtId="167" fontId="39" fillId="0" borderId="0"/>
    <xf numFmtId="3" fontId="18" fillId="0" borderId="0"/>
    <xf numFmtId="3" fontId="18" fillId="0" borderId="0"/>
    <xf numFmtId="3" fontId="18" fillId="0" borderId="0"/>
    <xf numFmtId="9" fontId="17" fillId="0" borderId="0" applyFont="0" applyFill="0" applyBorder="0" applyAlignment="0" applyProtection="0"/>
    <xf numFmtId="3" fontId="20" fillId="0" borderId="1" applyFont="0"/>
    <xf numFmtId="164" fontId="28" fillId="0" borderId="2" applyNumberFormat="0" applyFont="0" applyBorder="0" applyAlignment="0"/>
    <xf numFmtId="164" fontId="1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7" fillId="0" borderId="0" applyFont="0" applyFill="0" applyBorder="0" applyAlignment="0" applyProtection="0"/>
    <xf numFmtId="164" fontId="17" fillId="0" borderId="0"/>
    <xf numFmtId="43" fontId="16" fillId="0" borderId="0" applyFont="0" applyFill="0" applyBorder="0" applyAlignment="0" applyProtection="0"/>
    <xf numFmtId="0" fontId="20" fillId="0" borderId="0"/>
    <xf numFmtId="164" fontId="17" fillId="0" borderId="0"/>
    <xf numFmtId="0" fontId="20" fillId="0" borderId="0"/>
    <xf numFmtId="0" fontId="20" fillId="0" borderId="0"/>
    <xf numFmtId="164" fontId="17" fillId="0" borderId="0"/>
    <xf numFmtId="0" fontId="56" fillId="0" borderId="0"/>
    <xf numFmtId="9" fontId="56" fillId="0" borderId="0" applyFont="0" applyFill="0" applyBorder="0" applyAlignment="0" applyProtection="0"/>
    <xf numFmtId="9" fontId="17" fillId="0" borderId="0" applyFont="0" applyFill="0" applyBorder="0" applyAlignment="0" applyProtection="0"/>
    <xf numFmtId="164" fontId="17" fillId="0" borderId="0"/>
    <xf numFmtId="0" fontId="15" fillId="0" borderId="0"/>
    <xf numFmtId="0" fontId="56" fillId="0" borderId="0"/>
    <xf numFmtId="9" fontId="56" fillId="0" borderId="0" applyFont="0" applyFill="0" applyBorder="0" applyAlignment="0" applyProtection="0"/>
    <xf numFmtId="43" fontId="56" fillId="0" borderId="0" applyFont="0" applyFill="0" applyBorder="0" applyAlignment="0" applyProtection="0"/>
    <xf numFmtId="0" fontId="57" fillId="0" borderId="0"/>
    <xf numFmtId="0" fontId="57" fillId="0" borderId="0"/>
    <xf numFmtId="0" fontId="57" fillId="0" borderId="0"/>
    <xf numFmtId="0" fontId="57" fillId="0" borderId="0"/>
    <xf numFmtId="0" fontId="31" fillId="0" borderId="0"/>
    <xf numFmtId="0" fontId="31" fillId="0" borderId="0">
      <alignment vertical="top"/>
    </xf>
    <xf numFmtId="0" fontId="20" fillId="0" borderId="0"/>
    <xf numFmtId="0" fontId="20" fillId="0" borderId="0"/>
    <xf numFmtId="0" fontId="15" fillId="0" borderId="0"/>
    <xf numFmtId="43" fontId="2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58" fillId="0" borderId="0">
      <alignment horizontal="left" wrapText="1"/>
    </xf>
    <xf numFmtId="0" fontId="56" fillId="0" borderId="0"/>
    <xf numFmtId="0" fontId="22" fillId="0" borderId="0"/>
    <xf numFmtId="0" fontId="20" fillId="0" borderId="0"/>
    <xf numFmtId="0" fontId="20" fillId="0" borderId="0"/>
    <xf numFmtId="0" fontId="20" fillId="0" borderId="0"/>
    <xf numFmtId="0" fontId="15"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59" fillId="0" borderId="0"/>
    <xf numFmtId="164" fontId="59" fillId="0" borderId="0"/>
    <xf numFmtId="164" fontId="16" fillId="0" borderId="0"/>
    <xf numFmtId="9" fontId="16" fillId="0" borderId="0" applyFont="0" applyFill="0" applyBorder="0" applyAlignment="0" applyProtection="0"/>
    <xf numFmtId="43" fontId="1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59" fillId="0" borderId="0"/>
    <xf numFmtId="0" fontId="14" fillId="0" borderId="0"/>
    <xf numFmtId="0" fontId="14" fillId="0" borderId="0"/>
    <xf numFmtId="0" fontId="14" fillId="0" borderId="0"/>
    <xf numFmtId="3" fontId="20" fillId="0" borderId="1" applyFont="0"/>
    <xf numFmtId="0" fontId="20" fillId="0" borderId="0"/>
    <xf numFmtId="0" fontId="20" fillId="0" borderId="0"/>
    <xf numFmtId="0" fontId="20" fillId="0" borderId="0"/>
    <xf numFmtId="0" fontId="20" fillId="0" borderId="0"/>
    <xf numFmtId="0" fontId="20" fillId="0" borderId="0"/>
    <xf numFmtId="43" fontId="17" fillId="0" borderId="0" applyFont="0" applyFill="0" applyBorder="0" applyAlignment="0" applyProtection="0"/>
    <xf numFmtId="0" fontId="14" fillId="0" borderId="0"/>
    <xf numFmtId="0" fontId="14" fillId="0" borderId="0"/>
    <xf numFmtId="0" fontId="14" fillId="0" borderId="0"/>
    <xf numFmtId="0" fontId="14" fillId="0" borderId="0"/>
    <xf numFmtId="0" fontId="56" fillId="0" borderId="0"/>
    <xf numFmtId="9" fontId="56"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3" fontId="18" fillId="0" borderId="0"/>
    <xf numFmtId="43" fontId="17" fillId="0" borderId="0" applyFont="0" applyFill="0" applyBorder="0" applyAlignment="0" applyProtection="0"/>
    <xf numFmtId="167" fontId="39" fillId="0" borderId="0"/>
    <xf numFmtId="0" fontId="56" fillId="0" borderId="0"/>
    <xf numFmtId="9" fontId="56" fillId="0" borderId="0" applyFont="0" applyFill="0" applyBorder="0" applyAlignment="0" applyProtection="0"/>
    <xf numFmtId="0" fontId="20"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164" fontId="59" fillId="0" borderId="0"/>
    <xf numFmtId="164" fontId="59" fillId="0" borderId="0"/>
    <xf numFmtId="164" fontId="59"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167" fontId="39"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164" fontId="59" fillId="0" borderId="0"/>
    <xf numFmtId="164" fontId="59"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67" fontId="39" fillId="0" borderId="0"/>
    <xf numFmtId="164" fontId="59"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67" fontId="39" fillId="0" borderId="0"/>
    <xf numFmtId="0" fontId="11" fillId="0" borderId="0"/>
    <xf numFmtId="0" fontId="11" fillId="0" borderId="0"/>
    <xf numFmtId="0" fontId="11" fillId="0" borderId="0"/>
    <xf numFmtId="9" fontId="16" fillId="0" borderId="0" applyFont="0" applyFill="0" applyBorder="0" applyAlignment="0" applyProtection="0"/>
    <xf numFmtId="0" fontId="11" fillId="0" borderId="0"/>
    <xf numFmtId="0" fontId="20"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20"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60" fillId="0" borderId="0"/>
    <xf numFmtId="0" fontId="10" fillId="0" borderId="0"/>
    <xf numFmtId="0" fontId="61" fillId="0" borderId="0"/>
    <xf numFmtId="0" fontId="10" fillId="0" borderId="0"/>
    <xf numFmtId="0" fontId="60" fillId="0" borderId="0"/>
    <xf numFmtId="0" fontId="10" fillId="0" borderId="0"/>
    <xf numFmtId="0" fontId="10" fillId="0" borderId="0"/>
    <xf numFmtId="164" fontId="59" fillId="0" borderId="0"/>
    <xf numFmtId="164" fontId="5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17" fillId="0" borderId="0"/>
    <xf numFmtId="164" fontId="17" fillId="0" borderId="0"/>
    <xf numFmtId="164" fontId="17" fillId="0" borderId="0"/>
    <xf numFmtId="0" fontId="8" fillId="0" borderId="0"/>
    <xf numFmtId="0" fontId="8" fillId="0" borderId="0"/>
    <xf numFmtId="0" fontId="8" fillId="0" borderId="0"/>
    <xf numFmtId="0" fontId="8" fillId="0" borderId="0"/>
    <xf numFmtId="0" fontId="8"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7" borderId="71" applyNumberFormat="0" applyFont="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6" borderId="0" applyNumberFormat="0" applyBorder="0" applyAlignment="0" applyProtection="0"/>
    <xf numFmtId="0" fontId="57" fillId="21" borderId="0" applyNumberFormat="0" applyBorder="0" applyAlignment="0" applyProtection="0"/>
    <xf numFmtId="0" fontId="57" fillId="24" borderId="0" applyNumberFormat="0" applyBorder="0" applyAlignment="0" applyProtection="0"/>
    <xf numFmtId="0" fontId="57" fillId="27" borderId="0" applyNumberFormat="0" applyBorder="0" applyAlignment="0" applyProtection="0"/>
    <xf numFmtId="0" fontId="64" fillId="28"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64" fillId="32"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5" borderId="0" applyNumberFormat="0" applyBorder="0" applyAlignment="0" applyProtection="0"/>
    <xf numFmtId="0" fontId="65" fillId="19" borderId="0" applyNumberFormat="0" applyBorder="0" applyAlignment="0" applyProtection="0"/>
    <xf numFmtId="0" fontId="66" fillId="36" borderId="72" applyNumberFormat="0" applyAlignment="0" applyProtection="0"/>
    <xf numFmtId="0" fontId="67" fillId="37" borderId="73" applyNumberFormat="0" applyAlignment="0" applyProtection="0"/>
    <xf numFmtId="43" fontId="57" fillId="0" borderId="0" applyFont="0" applyFill="0" applyBorder="0" applyAlignment="0" applyProtection="0"/>
    <xf numFmtId="0" fontId="68" fillId="0" borderId="0" applyNumberFormat="0" applyFill="0" applyBorder="0" applyAlignment="0" applyProtection="0"/>
    <xf numFmtId="0" fontId="69" fillId="20" borderId="0" applyNumberFormat="0" applyBorder="0" applyAlignment="0" applyProtection="0"/>
    <xf numFmtId="0" fontId="70" fillId="0" borderId="74" applyNumberFormat="0" applyFill="0" applyAlignment="0" applyProtection="0"/>
    <xf numFmtId="0" fontId="71" fillId="0" borderId="75" applyNumberFormat="0" applyFill="0" applyAlignment="0" applyProtection="0"/>
    <xf numFmtId="0" fontId="72" fillId="0" borderId="76" applyNumberFormat="0" applyFill="0" applyAlignment="0" applyProtection="0"/>
    <xf numFmtId="0" fontId="72" fillId="0" borderId="0" applyNumberFormat="0" applyFill="0" applyBorder="0" applyAlignment="0" applyProtection="0"/>
    <xf numFmtId="0" fontId="73" fillId="23" borderId="72" applyNumberFormat="0" applyAlignment="0" applyProtection="0"/>
    <xf numFmtId="0" fontId="74" fillId="0" borderId="77" applyNumberFormat="0" applyFill="0" applyAlignment="0" applyProtection="0"/>
    <xf numFmtId="0" fontId="75" fillId="38" borderId="0" applyNumberFormat="0" applyBorder="0" applyAlignment="0" applyProtection="0"/>
    <xf numFmtId="0" fontId="57" fillId="0" borderId="0"/>
    <xf numFmtId="0" fontId="20" fillId="39" borderId="78" applyNumberFormat="0" applyFont="0" applyAlignment="0" applyProtection="0"/>
    <xf numFmtId="0" fontId="57" fillId="39" borderId="78" applyNumberFormat="0" applyFont="0" applyAlignment="0" applyProtection="0"/>
    <xf numFmtId="0" fontId="76" fillId="36" borderId="79" applyNumberFormat="0" applyAlignment="0" applyProtection="0"/>
    <xf numFmtId="9" fontId="20" fillId="0" borderId="0" applyFont="0" applyFill="0" applyBorder="0" applyAlignment="0" applyProtection="0"/>
    <xf numFmtId="9" fontId="57" fillId="0" borderId="0" applyFont="0" applyFill="0" applyBorder="0" applyAlignment="0" applyProtection="0"/>
    <xf numFmtId="0" fontId="77" fillId="0" borderId="0" applyNumberFormat="0" applyFill="0" applyBorder="0" applyAlignment="0" applyProtection="0"/>
    <xf numFmtId="0" fontId="78" fillId="0" borderId="80" applyNumberFormat="0" applyFill="0" applyAlignment="0" applyProtection="0"/>
    <xf numFmtId="0" fontId="79" fillId="0" borderId="0" applyNumberFormat="0" applyFill="0" applyBorder="0" applyAlignment="0" applyProtection="0"/>
    <xf numFmtId="0" fontId="57" fillId="39" borderId="78" applyNumberFormat="0" applyFont="0" applyAlignment="0" applyProtection="0"/>
    <xf numFmtId="0" fontId="20" fillId="39" borderId="78" applyNumberFormat="0" applyFont="0" applyAlignment="0" applyProtection="0"/>
    <xf numFmtId="0" fontId="73" fillId="23" borderId="72" applyNumberFormat="0" applyAlignment="0" applyProtection="0"/>
    <xf numFmtId="0" fontId="66" fillId="36" borderId="72" applyNumberFormat="0" applyAlignment="0" applyProtection="0"/>
    <xf numFmtId="0" fontId="76" fillId="36" borderId="79" applyNumberFormat="0" applyAlignment="0" applyProtection="0"/>
    <xf numFmtId="0" fontId="78" fillId="0" borderId="80" applyNumberFormat="0" applyFill="0" applyAlignment="0" applyProtection="0"/>
    <xf numFmtId="164" fontId="80"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80" fillId="0" borderId="0"/>
    <xf numFmtId="167" fontId="39"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64" fontId="1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4" fontId="17" fillId="0" borderId="0"/>
    <xf numFmtId="164" fontId="17" fillId="0" borderId="0"/>
    <xf numFmtId="164"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164" fontId="17" fillId="0" borderId="0"/>
    <xf numFmtId="164" fontId="17" fillId="0" borderId="0"/>
    <xf numFmtId="164" fontId="17"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4" fontId="17" fillId="0" borderId="0"/>
    <xf numFmtId="164" fontId="17"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64" fontId="17"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164" fontId="17" fillId="0" borderId="0"/>
    <xf numFmtId="164" fontId="17"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7" borderId="71" applyNumberFormat="0" applyFont="0" applyAlignment="0" applyProtection="0"/>
    <xf numFmtId="164" fontId="8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7" borderId="71"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17" fillId="0" borderId="0"/>
    <xf numFmtId="164" fontId="17" fillId="0" borderId="0"/>
    <xf numFmtId="164" fontId="17" fillId="0" borderId="0"/>
    <xf numFmtId="0" fontId="6" fillId="0" borderId="0"/>
    <xf numFmtId="0" fontId="6" fillId="0" borderId="0"/>
    <xf numFmtId="0" fontId="6" fillId="0" borderId="0"/>
    <xf numFmtId="0" fontId="6" fillId="0" borderId="0"/>
    <xf numFmtId="0" fontId="6"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7" borderId="71" applyNumberFormat="0" applyFont="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18" fillId="0" borderId="0"/>
    <xf numFmtId="0" fontId="6" fillId="0" borderId="0"/>
    <xf numFmtId="0" fontId="6" fillId="0" borderId="0"/>
    <xf numFmtId="0" fontId="6" fillId="0" borderId="0"/>
    <xf numFmtId="0" fontId="6" fillId="0" borderId="0"/>
    <xf numFmtId="0" fontId="6" fillId="0" borderId="0"/>
    <xf numFmtId="0" fontId="6" fillId="0" borderId="0"/>
    <xf numFmtId="164" fontId="80" fillId="0" borderId="0"/>
    <xf numFmtId="164" fontId="80" fillId="0" borderId="0"/>
    <xf numFmtId="167" fontId="39" fillId="0" borderId="0"/>
    <xf numFmtId="167" fontId="39" fillId="0" borderId="0"/>
    <xf numFmtId="167" fontId="39" fillId="0" borderId="0"/>
    <xf numFmtId="164" fontId="80" fillId="0" borderId="0"/>
    <xf numFmtId="164" fontId="80" fillId="0" borderId="0"/>
    <xf numFmtId="164" fontId="80" fillId="0" borderId="0"/>
    <xf numFmtId="164" fontId="8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4" fontId="16" fillId="0" borderId="0"/>
    <xf numFmtId="164" fontId="16"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80" fillId="0" borderId="0"/>
    <xf numFmtId="164" fontId="80" fillId="0" borderId="0"/>
    <xf numFmtId="164" fontId="80"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4" fontId="80"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7" borderId="71" applyNumberFormat="0" applyFont="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7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17" borderId="71" applyNumberFormat="0" applyFont="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71" applyNumberFormat="0" applyFont="0" applyAlignment="0" applyProtection="0"/>
    <xf numFmtId="3" fontId="18"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71"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7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17" borderId="71" applyNumberFormat="0" applyFont="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18" fillId="0" borderId="0"/>
    <xf numFmtId="164" fontId="80"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7" borderId="71"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7" borderId="7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7" borderId="71"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7" borderId="7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7" borderId="71"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7" borderId="7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7" borderId="71"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6" fillId="0" borderId="0"/>
    <xf numFmtId="164" fontId="16" fillId="0" borderId="0"/>
    <xf numFmtId="3" fontId="18" fillId="0" borderId="0"/>
    <xf numFmtId="164" fontId="1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88" fillId="0" borderId="0"/>
    <xf numFmtId="0" fontId="88" fillId="0" borderId="0"/>
    <xf numFmtId="0" fontId="88" fillId="0" borderId="0"/>
    <xf numFmtId="0" fontId="88" fillId="0" borderId="0"/>
  </cellStyleXfs>
  <cellXfs count="862">
    <xf numFmtId="3" fontId="0" fillId="0" borderId="0" xfId="0"/>
    <xf numFmtId="3" fontId="20" fillId="0" borderId="0" xfId="0" applyFont="1"/>
    <xf numFmtId="3" fontId="20" fillId="0" borderId="0" xfId="0" applyNumberFormat="1" applyFont="1"/>
    <xf numFmtId="3" fontId="20" fillId="0" borderId="3" xfId="0" applyFont="1" applyBorder="1"/>
    <xf numFmtId="3" fontId="20" fillId="0" borderId="0" xfId="0" applyFont="1" applyFill="1"/>
    <xf numFmtId="37" fontId="20" fillId="0" borderId="0" xfId="0" applyNumberFormat="1" applyFont="1" applyAlignment="1">
      <alignment horizontal="right"/>
    </xf>
    <xf numFmtId="37" fontId="20" fillId="0" borderId="3" xfId="0" applyNumberFormat="1" applyFont="1" applyBorder="1" applyAlignment="1">
      <alignment horizontal="right"/>
    </xf>
    <xf numFmtId="3" fontId="20" fillId="0" borderId="0" xfId="0" applyNumberFormat="1" applyFont="1" applyAlignment="1">
      <alignment horizontal="right"/>
    </xf>
    <xf numFmtId="3" fontId="20" fillId="0" borderId="4" xfId="0" applyNumberFormat="1" applyFont="1" applyBorder="1" applyAlignment="1">
      <alignment horizontal="right"/>
    </xf>
    <xf numFmtId="3" fontId="20" fillId="0" borderId="3" xfId="0" applyNumberFormat="1" applyFont="1" applyBorder="1" applyAlignment="1">
      <alignment horizontal="right"/>
    </xf>
    <xf numFmtId="3" fontId="20" fillId="0" borderId="5" xfId="0" applyNumberFormat="1" applyFont="1" applyBorder="1" applyAlignment="1">
      <alignment horizontal="right"/>
    </xf>
    <xf numFmtId="3" fontId="20" fillId="0" borderId="0" xfId="1" applyNumberFormat="1" applyFont="1" applyAlignment="1">
      <alignment horizontal="right"/>
    </xf>
    <xf numFmtId="3" fontId="20" fillId="0" borderId="4" xfId="1" applyNumberFormat="1" applyFont="1" applyBorder="1" applyAlignment="1">
      <alignment horizontal="right"/>
    </xf>
    <xf numFmtId="3" fontId="20" fillId="0" borderId="3" xfId="1" applyNumberFormat="1" applyFont="1" applyBorder="1" applyAlignment="1">
      <alignment horizontal="right"/>
    </xf>
    <xf numFmtId="3" fontId="20" fillId="0" borderId="5" xfId="1" applyNumberFormat="1" applyFont="1" applyBorder="1" applyAlignment="1">
      <alignment horizontal="right"/>
    </xf>
    <xf numFmtId="37" fontId="20" fillId="0" borderId="0" xfId="0" applyNumberFormat="1" applyFont="1" applyBorder="1" applyAlignment="1">
      <alignment horizontal="right"/>
    </xf>
    <xf numFmtId="37" fontId="20" fillId="0" borderId="6" xfId="0" applyNumberFormat="1" applyFont="1" applyBorder="1" applyAlignment="1">
      <alignment horizontal="right"/>
    </xf>
    <xf numFmtId="3" fontId="22" fillId="0" borderId="0" xfId="0" applyFont="1" applyAlignment="1">
      <alignment horizontal="centerContinuous"/>
    </xf>
    <xf numFmtId="37" fontId="20" fillId="0" borderId="7" xfId="0" applyNumberFormat="1" applyFont="1" applyBorder="1" applyAlignment="1">
      <alignment horizontal="right"/>
    </xf>
    <xf numFmtId="37" fontId="20" fillId="0" borderId="8" xfId="0" applyNumberFormat="1" applyFont="1" applyBorder="1" applyAlignment="1">
      <alignment horizontal="right"/>
    </xf>
    <xf numFmtId="3" fontId="21" fillId="0" borderId="0" xfId="0" applyFont="1" applyAlignment="1">
      <alignment horizontal="centerContinuous"/>
    </xf>
    <xf numFmtId="3" fontId="23" fillId="0" borderId="0" xfId="0" applyFont="1" applyAlignment="1">
      <alignment horizontal="centerContinuous"/>
    </xf>
    <xf numFmtId="3" fontId="20" fillId="0" borderId="0" xfId="0" applyFont="1" applyAlignment="1">
      <alignment horizontal="centerContinuous"/>
    </xf>
    <xf numFmtId="37" fontId="20" fillId="0" borderId="9" xfId="0" applyNumberFormat="1" applyFont="1" applyBorder="1" applyAlignment="1">
      <alignment horizontal="right"/>
    </xf>
    <xf numFmtId="37" fontId="20" fillId="0" borderId="10" xfId="0" applyNumberFormat="1" applyFont="1" applyBorder="1" applyAlignment="1">
      <alignment horizontal="right"/>
    </xf>
    <xf numFmtId="3" fontId="20" fillId="0" borderId="0" xfId="0" applyFont="1" applyBorder="1"/>
    <xf numFmtId="3" fontId="20" fillId="0" borderId="0" xfId="0" applyNumberFormat="1" applyFont="1" applyBorder="1"/>
    <xf numFmtId="3" fontId="19" fillId="0" borderId="11" xfId="0" applyFont="1" applyBorder="1" applyAlignment="1">
      <alignment horizontal="centerContinuous"/>
    </xf>
    <xf numFmtId="3" fontId="19" fillId="0" borderId="12" xfId="0" applyFont="1" applyBorder="1" applyAlignment="1">
      <alignment horizontal="centerContinuous"/>
    </xf>
    <xf numFmtId="3" fontId="19" fillId="0" borderId="13" xfId="0" applyFont="1" applyBorder="1" applyAlignment="1">
      <alignment horizontal="centerContinuous"/>
    </xf>
    <xf numFmtId="3" fontId="20" fillId="0" borderId="11" xfId="0" applyFont="1" applyBorder="1" applyAlignment="1">
      <alignment horizontal="centerContinuous"/>
    </xf>
    <xf numFmtId="3" fontId="20" fillId="0" borderId="7" xfId="0" applyFont="1" applyBorder="1"/>
    <xf numFmtId="3" fontId="20" fillId="0" borderId="0" xfId="0" applyNumberFormat="1" applyFont="1" applyBorder="1" applyAlignment="1">
      <alignment horizontal="right"/>
    </xf>
    <xf numFmtId="3" fontId="20" fillId="0" borderId="0" xfId="1" applyNumberFormat="1" applyFont="1" applyBorder="1" applyAlignment="1">
      <alignment horizontal="right"/>
    </xf>
    <xf numFmtId="3" fontId="21" fillId="0" borderId="0" xfId="0" applyFont="1" applyBorder="1" applyAlignment="1">
      <alignment horizontal="centerContinuous"/>
    </xf>
    <xf numFmtId="3" fontId="23" fillId="0" borderId="0" xfId="0" applyFont="1" applyBorder="1" applyAlignment="1">
      <alignment horizontal="centerContinuous"/>
    </xf>
    <xf numFmtId="3" fontId="20" fillId="0" borderId="14" xfId="0" applyFont="1" applyBorder="1"/>
    <xf numFmtId="3" fontId="20" fillId="0" borderId="15" xfId="0" applyFont="1" applyBorder="1"/>
    <xf numFmtId="3" fontId="20" fillId="0" borderId="16" xfId="0" applyFont="1" applyBorder="1"/>
    <xf numFmtId="37" fontId="20" fillId="0" borderId="0" xfId="0" applyNumberFormat="1" applyFont="1" applyBorder="1" applyAlignment="1">
      <alignment horizontal="center"/>
    </xf>
    <xf numFmtId="37" fontId="20" fillId="0" borderId="3" xfId="0" applyNumberFormat="1" applyFont="1" applyBorder="1" applyAlignment="1">
      <alignment horizontal="center"/>
    </xf>
    <xf numFmtId="37" fontId="27" fillId="0" borderId="0" xfId="0" applyNumberFormat="1" applyFont="1" applyAlignment="1" applyProtection="1">
      <alignment horizontal="centerContinuous"/>
    </xf>
    <xf numFmtId="37" fontId="20" fillId="0" borderId="0" xfId="0" quotePrefix="1" applyNumberFormat="1" applyFont="1" applyBorder="1" applyAlignment="1">
      <alignment horizontal="left"/>
    </xf>
    <xf numFmtId="37" fontId="23" fillId="0" borderId="0" xfId="0" applyNumberFormat="1" applyFont="1" applyAlignment="1" applyProtection="1">
      <alignment horizontal="centerContinuous"/>
    </xf>
    <xf numFmtId="37" fontId="28" fillId="0" borderId="13" xfId="0" applyNumberFormat="1" applyFont="1" applyBorder="1" applyProtection="1"/>
    <xf numFmtId="37" fontId="28" fillId="0" borderId="17" xfId="0" applyNumberFormat="1" applyFont="1" applyBorder="1" applyAlignment="1" applyProtection="1">
      <alignment horizontal="center"/>
    </xf>
    <xf numFmtId="37" fontId="29" fillId="0" borderId="17" xfId="0" applyNumberFormat="1" applyFont="1" applyBorder="1" applyAlignment="1" applyProtection="1">
      <alignment horizontal="right"/>
    </xf>
    <xf numFmtId="37" fontId="29" fillId="0" borderId="11" xfId="0" applyNumberFormat="1" applyFont="1" applyBorder="1" applyAlignment="1" applyProtection="1">
      <alignment horizontal="right"/>
    </xf>
    <xf numFmtId="3" fontId="24" fillId="0" borderId="0" xfId="0" applyFont="1"/>
    <xf numFmtId="37" fontId="24" fillId="0" borderId="0" xfId="0" applyNumberFormat="1" applyFont="1" applyAlignment="1" applyProtection="1">
      <alignment horizontal="left"/>
    </xf>
    <xf numFmtId="3" fontId="24" fillId="0" borderId="0" xfId="0" applyNumberFormat="1" applyFont="1"/>
    <xf numFmtId="39" fontId="23" fillId="0" borderId="0" xfId="0" applyNumberFormat="1" applyFont="1" applyAlignment="1" applyProtection="1">
      <alignment horizontal="centerContinuous"/>
    </xf>
    <xf numFmtId="37" fontId="29" fillId="0" borderId="11" xfId="0" applyNumberFormat="1" applyFont="1" applyBorder="1" applyAlignment="1" applyProtection="1">
      <alignment horizontal="centerContinuous"/>
    </xf>
    <xf numFmtId="37" fontId="29" fillId="0" borderId="17" xfId="0" applyNumberFormat="1" applyFont="1" applyBorder="1" applyAlignment="1" applyProtection="1">
      <alignment horizontal="center"/>
    </xf>
    <xf numFmtId="37" fontId="29" fillId="0" borderId="10" xfId="0" applyNumberFormat="1" applyFont="1" applyBorder="1" applyAlignment="1" applyProtection="1">
      <alignment horizontal="right"/>
    </xf>
    <xf numFmtId="37" fontId="22" fillId="0" borderId="0" xfId="0" applyNumberFormat="1" applyFont="1" applyAlignment="1" applyProtection="1">
      <alignment horizontal="centerContinuous"/>
    </xf>
    <xf numFmtId="37" fontId="29" fillId="0" borderId="13" xfId="0" applyNumberFormat="1" applyFont="1" applyBorder="1" applyAlignment="1" applyProtection="1">
      <alignment horizontal="centerContinuous"/>
    </xf>
    <xf numFmtId="37" fontId="29" fillId="0" borderId="18" xfId="0" applyNumberFormat="1" applyFont="1" applyBorder="1" applyAlignment="1" applyProtection="1">
      <alignment horizontal="centerContinuous"/>
    </xf>
    <xf numFmtId="37" fontId="29" fillId="0" borderId="17" xfId="0" applyNumberFormat="1" applyFont="1" applyBorder="1" applyAlignment="1" applyProtection="1">
      <alignment horizontal="center" wrapText="1"/>
    </xf>
    <xf numFmtId="37" fontId="29" fillId="0" borderId="19" xfId="0" applyNumberFormat="1" applyFont="1" applyBorder="1" applyAlignment="1" applyProtection="1">
      <alignment horizontal="right"/>
    </xf>
    <xf numFmtId="37" fontId="29" fillId="0" borderId="20" xfId="0" applyNumberFormat="1" applyFont="1" applyBorder="1" applyAlignment="1" applyProtection="1">
      <alignment horizontal="center" wrapText="1"/>
    </xf>
    <xf numFmtId="37" fontId="28" fillId="0" borderId="13" xfId="0" applyNumberFormat="1" applyFont="1" applyBorder="1" applyAlignment="1" applyProtection="1">
      <alignment horizontal="centerContinuous"/>
    </xf>
    <xf numFmtId="37" fontId="23" fillId="0" borderId="0" xfId="0" applyNumberFormat="1" applyFont="1" applyBorder="1" applyAlignment="1" applyProtection="1">
      <alignment horizontal="centerContinuous"/>
    </xf>
    <xf numFmtId="37" fontId="28" fillId="0" borderId="17" xfId="0" applyNumberFormat="1" applyFont="1" applyBorder="1" applyProtection="1"/>
    <xf numFmtId="37" fontId="29" fillId="0" borderId="14" xfId="0" applyNumberFormat="1" applyFont="1" applyBorder="1" applyAlignment="1" applyProtection="1">
      <alignment horizontal="centerContinuous"/>
    </xf>
    <xf numFmtId="37" fontId="29" fillId="0" borderId="14" xfId="0" applyNumberFormat="1" applyFont="1" applyBorder="1" applyAlignment="1" applyProtection="1">
      <alignment horizontal="centerContinuous" wrapText="1"/>
    </xf>
    <xf numFmtId="37" fontId="29" fillId="0" borderId="21" xfId="0" applyNumberFormat="1" applyFont="1" applyBorder="1" applyAlignment="1" applyProtection="1">
      <alignment horizontal="centerContinuous"/>
    </xf>
    <xf numFmtId="37" fontId="20" fillId="0" borderId="0" xfId="0" quotePrefix="1" applyNumberFormat="1" applyFont="1" applyBorder="1" applyAlignment="1">
      <alignment horizontal="right"/>
    </xf>
    <xf numFmtId="3" fontId="20" fillId="2" borderId="0" xfId="0" applyFont="1" applyFill="1"/>
    <xf numFmtId="37" fontId="29" fillId="2" borderId="14" xfId="0" applyNumberFormat="1" applyFont="1" applyFill="1" applyBorder="1" applyAlignment="1" applyProtection="1">
      <alignment horizontal="centerContinuous"/>
    </xf>
    <xf numFmtId="37" fontId="29" fillId="2" borderId="14" xfId="0" applyNumberFormat="1" applyFont="1" applyFill="1" applyBorder="1" applyAlignment="1" applyProtection="1">
      <alignment horizontal="centerContinuous" wrapText="1"/>
    </xf>
    <xf numFmtId="168" fontId="20" fillId="2" borderId="0" xfId="7" applyNumberFormat="1" applyFont="1" applyFill="1"/>
    <xf numFmtId="3" fontId="20" fillId="0" borderId="0" xfId="6" applyFont="1" applyFill="1" applyBorder="1" applyAlignment="1">
      <alignment horizontal="center"/>
    </xf>
    <xf numFmtId="3" fontId="20" fillId="0" borderId="0" xfId="0" applyFont="1" applyFill="1" applyBorder="1"/>
    <xf numFmtId="37" fontId="29" fillId="0" borderId="0" xfId="0" applyNumberFormat="1" applyFont="1" applyBorder="1" applyAlignment="1" applyProtection="1">
      <alignment horizontal="centerContinuous" wrapText="1"/>
    </xf>
    <xf numFmtId="3" fontId="20" fillId="0" borderId="0" xfId="0" applyFont="1" applyAlignment="1">
      <alignment vertical="center"/>
    </xf>
    <xf numFmtId="3" fontId="20" fillId="0" borderId="6" xfId="0" applyFont="1" applyBorder="1"/>
    <xf numFmtId="39" fontId="22" fillId="0" borderId="0" xfId="0" applyNumberFormat="1" applyFont="1" applyAlignment="1" applyProtection="1">
      <alignment horizontal="left"/>
    </xf>
    <xf numFmtId="3" fontId="20" fillId="2" borderId="4" xfId="0" applyFont="1" applyFill="1" applyBorder="1"/>
    <xf numFmtId="37" fontId="29" fillId="2" borderId="22" xfId="0" applyNumberFormat="1" applyFont="1" applyFill="1" applyBorder="1" applyAlignment="1" applyProtection="1">
      <alignment horizontal="centerContinuous" wrapText="1"/>
    </xf>
    <xf numFmtId="3" fontId="20" fillId="3" borderId="0" xfId="0" applyFont="1" applyFill="1" applyAlignment="1">
      <alignment vertical="center"/>
    </xf>
    <xf numFmtId="3" fontId="20" fillId="3" borderId="15" xfId="0" applyFont="1" applyFill="1" applyBorder="1" applyAlignment="1">
      <alignment vertical="center"/>
    </xf>
    <xf numFmtId="3" fontId="20" fillId="0" borderId="23" xfId="0" applyFont="1" applyFill="1" applyBorder="1"/>
    <xf numFmtId="3" fontId="20" fillId="0" borderId="3" xfId="0" applyFont="1" applyFill="1" applyBorder="1"/>
    <xf numFmtId="3" fontId="20" fillId="0" borderId="3" xfId="0" applyFont="1" applyFill="1" applyBorder="1" applyAlignment="1"/>
    <xf numFmtId="3" fontId="20" fillId="0" borderId="0" xfId="5" applyFont="1" applyFill="1" applyBorder="1" applyAlignment="1"/>
    <xf numFmtId="168" fontId="20" fillId="2" borderId="16" xfId="7" applyNumberFormat="1" applyFont="1" applyFill="1" applyBorder="1"/>
    <xf numFmtId="168" fontId="20" fillId="2" borderId="3" xfId="7" applyNumberFormat="1" applyFont="1" applyFill="1" applyBorder="1"/>
    <xf numFmtId="165" fontId="20" fillId="2" borderId="24" xfId="1" applyNumberFormat="1" applyFont="1" applyFill="1" applyBorder="1"/>
    <xf numFmtId="165" fontId="20" fillId="2" borderId="4" xfId="1" applyNumberFormat="1" applyFont="1" applyFill="1" applyBorder="1"/>
    <xf numFmtId="165" fontId="20" fillId="2" borderId="5" xfId="1" applyNumberFormat="1" applyFont="1" applyFill="1" applyBorder="1"/>
    <xf numFmtId="3" fontId="19" fillId="0" borderId="13" xfId="0" applyFont="1" applyFill="1" applyBorder="1" applyAlignment="1">
      <alignment horizontal="centerContinuous"/>
    </xf>
    <xf numFmtId="3" fontId="20" fillId="0" borderId="11" xfId="0" applyFont="1" applyFill="1" applyBorder="1" applyAlignment="1">
      <alignment horizontal="centerContinuous"/>
    </xf>
    <xf numFmtId="37" fontId="29" fillId="0" borderId="17" xfId="0" applyNumberFormat="1" applyFont="1" applyFill="1" applyBorder="1" applyAlignment="1" applyProtection="1">
      <alignment horizontal="right"/>
    </xf>
    <xf numFmtId="37" fontId="29" fillId="0" borderId="11" xfId="0" applyNumberFormat="1" applyFont="1" applyFill="1" applyBorder="1" applyAlignment="1" applyProtection="1">
      <alignment horizontal="right"/>
    </xf>
    <xf numFmtId="3" fontId="36" fillId="0" borderId="0" xfId="0" applyFont="1"/>
    <xf numFmtId="168" fontId="20" fillId="0" borderId="0" xfId="7" applyNumberFormat="1" applyFont="1"/>
    <xf numFmtId="3" fontId="20" fillId="3" borderId="3" xfId="0" applyFont="1" applyFill="1" applyBorder="1" applyAlignment="1">
      <alignment vertical="center"/>
    </xf>
    <xf numFmtId="3" fontId="20" fillId="3" borderId="0" xfId="0" applyFont="1" applyFill="1" applyBorder="1" applyAlignment="1">
      <alignment vertical="center"/>
    </xf>
    <xf numFmtId="3" fontId="20" fillId="3" borderId="7" xfId="0" applyFont="1" applyFill="1" applyBorder="1" applyAlignment="1">
      <alignment vertical="center"/>
    </xf>
    <xf numFmtId="3" fontId="20" fillId="3" borderId="0" xfId="0" applyFont="1" applyFill="1"/>
    <xf numFmtId="3" fontId="20" fillId="3" borderId="3" xfId="0" applyFont="1" applyFill="1" applyBorder="1"/>
    <xf numFmtId="3" fontId="33" fillId="0" borderId="0" xfId="0" applyFont="1"/>
    <xf numFmtId="37" fontId="20" fillId="0" borderId="0" xfId="0" applyNumberFormat="1" applyFont="1" applyFill="1" applyBorder="1" applyAlignment="1">
      <alignment horizontal="right"/>
    </xf>
    <xf numFmtId="3" fontId="21" fillId="0" borderId="0" xfId="0" applyFont="1" applyFill="1" applyAlignment="1">
      <alignment horizontal="centerContinuous"/>
    </xf>
    <xf numFmtId="3" fontId="23" fillId="0" borderId="0" xfId="0" applyFont="1" applyFill="1" applyAlignment="1">
      <alignment horizontal="centerContinuous"/>
    </xf>
    <xf numFmtId="3" fontId="20" fillId="0" borderId="0" xfId="0" applyFont="1" applyFill="1" applyAlignment="1">
      <alignment horizontal="centerContinuous"/>
    </xf>
    <xf numFmtId="3" fontId="20" fillId="0" borderId="0" xfId="0" applyNumberFormat="1" applyFont="1" applyFill="1"/>
    <xf numFmtId="3" fontId="19" fillId="0" borderId="13" xfId="0" applyFont="1" applyFill="1" applyBorder="1" applyAlignment="1">
      <alignment horizontal="center"/>
    </xf>
    <xf numFmtId="37" fontId="20" fillId="0" borderId="6" xfId="0" applyNumberFormat="1" applyFont="1" applyFill="1" applyBorder="1" applyAlignment="1">
      <alignment horizontal="right"/>
    </xf>
    <xf numFmtId="37" fontId="23" fillId="0" borderId="0" xfId="0" applyNumberFormat="1" applyFont="1" applyFill="1" applyAlignment="1" applyProtection="1">
      <alignment horizontal="centerContinuous"/>
    </xf>
    <xf numFmtId="37" fontId="29" fillId="0" borderId="13" xfId="0" applyNumberFormat="1" applyFont="1" applyFill="1" applyBorder="1" applyProtection="1"/>
    <xf numFmtId="3" fontId="20" fillId="0" borderId="0" xfId="1" applyNumberFormat="1" applyFont="1" applyFill="1" applyAlignment="1">
      <alignment horizontal="right"/>
    </xf>
    <xf numFmtId="3" fontId="20" fillId="0" borderId="0" xfId="1" applyNumberFormat="1" applyFont="1" applyFill="1" applyBorder="1" applyAlignment="1">
      <alignment horizontal="right"/>
    </xf>
    <xf numFmtId="3" fontId="20" fillId="0" borderId="3" xfId="1" applyNumberFormat="1" applyFont="1" applyFill="1" applyBorder="1" applyAlignment="1">
      <alignment horizontal="right"/>
    </xf>
    <xf numFmtId="37" fontId="27" fillId="0" borderId="0" xfId="0" applyNumberFormat="1" applyFont="1" applyFill="1" applyAlignment="1" applyProtection="1">
      <alignment horizontal="centerContinuous"/>
    </xf>
    <xf numFmtId="37" fontId="20" fillId="0" borderId="3" xfId="0" applyNumberFormat="1" applyFont="1" applyFill="1" applyBorder="1" applyAlignment="1">
      <alignment horizontal="right"/>
    </xf>
    <xf numFmtId="3" fontId="22" fillId="0" borderId="0" xfId="0" applyFont="1" applyFill="1" applyAlignment="1">
      <alignment horizontal="centerContinuous"/>
    </xf>
    <xf numFmtId="3" fontId="20" fillId="0" borderId="0" xfId="0" applyNumberFormat="1" applyFont="1" applyFill="1" applyAlignment="1">
      <alignment horizontal="right"/>
    </xf>
    <xf numFmtId="3" fontId="20" fillId="0" borderId="0" xfId="0" applyNumberFormat="1" applyFont="1" applyFill="1" applyBorder="1" applyAlignment="1">
      <alignment horizontal="right"/>
    </xf>
    <xf numFmtId="3" fontId="20" fillId="0" borderId="3" xfId="0" applyNumberFormat="1" applyFont="1" applyFill="1" applyBorder="1" applyAlignment="1">
      <alignment horizontal="right"/>
    </xf>
    <xf numFmtId="37" fontId="29" fillId="0" borderId="14" xfId="0" applyNumberFormat="1" applyFont="1" applyFill="1" applyBorder="1" applyAlignment="1" applyProtection="1">
      <alignment horizontal="center" wrapText="1"/>
    </xf>
    <xf numFmtId="3" fontId="20" fillId="0" borderId="0" xfId="0" applyFont="1" applyFill="1" applyBorder="1" applyAlignment="1">
      <alignment horizontal="right"/>
    </xf>
    <xf numFmtId="37" fontId="29" fillId="0" borderId="0" xfId="0" applyNumberFormat="1" applyFont="1" applyFill="1" applyBorder="1" applyAlignment="1" applyProtection="1">
      <alignment horizontal="right"/>
    </xf>
    <xf numFmtId="3" fontId="24" fillId="0" borderId="0" xfId="0" applyNumberFormat="1" applyFont="1" applyFill="1"/>
    <xf numFmtId="3" fontId="20" fillId="3" borderId="16" xfId="0" applyFont="1" applyFill="1" applyBorder="1" applyAlignment="1">
      <alignment vertical="center"/>
    </xf>
    <xf numFmtId="3" fontId="34" fillId="0" borderId="0" xfId="0" applyFont="1"/>
    <xf numFmtId="3" fontId="38" fillId="0" borderId="13" xfId="0" applyFont="1" applyFill="1" applyBorder="1" applyAlignment="1">
      <alignment horizontal="center"/>
    </xf>
    <xf numFmtId="37" fontId="37" fillId="0" borderId="17" xfId="0" applyNumberFormat="1" applyFont="1" applyBorder="1" applyAlignment="1" applyProtection="1">
      <alignment horizontal="right"/>
    </xf>
    <xf numFmtId="37" fontId="37" fillId="0" borderId="11" xfId="0" applyNumberFormat="1" applyFont="1" applyBorder="1" applyAlignment="1" applyProtection="1">
      <alignment horizontal="right"/>
    </xf>
    <xf numFmtId="37" fontId="37" fillId="0" borderId="20" xfId="0" applyNumberFormat="1" applyFont="1" applyFill="1" applyBorder="1" applyAlignment="1" applyProtection="1">
      <alignment horizontal="right"/>
    </xf>
    <xf numFmtId="3" fontId="32" fillId="2" borderId="0" xfId="0" applyFont="1" applyFill="1"/>
    <xf numFmtId="37" fontId="23" fillId="0" borderId="0" xfId="0" applyNumberFormat="1" applyFont="1" applyAlignment="1" applyProtection="1">
      <alignment horizontal="center"/>
    </xf>
    <xf numFmtId="3" fontId="32" fillId="3" borderId="0" xfId="0" applyFont="1" applyFill="1"/>
    <xf numFmtId="3" fontId="28" fillId="3" borderId="0" xfId="0" applyFont="1" applyFill="1"/>
    <xf numFmtId="37" fontId="29" fillId="3" borderId="13" xfId="0" applyNumberFormat="1" applyFont="1" applyFill="1" applyBorder="1" applyAlignment="1" applyProtection="1">
      <alignment horizontal="centerContinuous"/>
    </xf>
    <xf numFmtId="3" fontId="19" fillId="3" borderId="11" xfId="0" applyFont="1" applyFill="1" applyBorder="1" applyAlignment="1">
      <alignment horizontal="centerContinuous"/>
    </xf>
    <xf numFmtId="37" fontId="29" fillId="3" borderId="25" xfId="0" applyNumberFormat="1" applyFont="1" applyFill="1" applyBorder="1" applyAlignment="1" applyProtection="1">
      <alignment horizontal="centerContinuous"/>
    </xf>
    <xf numFmtId="3" fontId="19" fillId="3" borderId="13" xfId="0" applyFont="1" applyFill="1" applyBorder="1" applyAlignment="1">
      <alignment horizontal="centerContinuous"/>
    </xf>
    <xf numFmtId="3" fontId="20" fillId="3" borderId="13" xfId="0" applyFont="1" applyFill="1" applyBorder="1" applyAlignment="1">
      <alignment horizontal="centerContinuous"/>
    </xf>
    <xf numFmtId="3" fontId="20" fillId="3" borderId="11" xfId="0" applyFont="1" applyFill="1" applyBorder="1" applyAlignment="1">
      <alignment horizontal="centerContinuous"/>
    </xf>
    <xf numFmtId="37" fontId="29" fillId="3" borderId="17" xfId="0" applyNumberFormat="1" applyFont="1" applyFill="1" applyBorder="1" applyAlignment="1" applyProtection="1">
      <alignment horizontal="center" wrapText="1"/>
    </xf>
    <xf numFmtId="37" fontId="29" fillId="3" borderId="17" xfId="0" applyNumberFormat="1" applyFont="1" applyFill="1" applyBorder="1" applyAlignment="1" applyProtection="1">
      <alignment horizontal="right"/>
    </xf>
    <xf numFmtId="37" fontId="29" fillId="3" borderId="26" xfId="0" applyNumberFormat="1" applyFont="1" applyFill="1" applyBorder="1" applyAlignment="1" applyProtection="1">
      <alignment horizontal="center" wrapText="1"/>
    </xf>
    <xf numFmtId="37" fontId="29" fillId="3" borderId="11" xfId="0" applyNumberFormat="1" applyFont="1" applyFill="1" applyBorder="1" applyAlignment="1" applyProtection="1">
      <alignment horizontal="right"/>
    </xf>
    <xf numFmtId="3" fontId="20" fillId="3" borderId="0" xfId="0" applyFont="1" applyFill="1" applyBorder="1"/>
    <xf numFmtId="3" fontId="34" fillId="0" borderId="0" xfId="0" applyFont="1" applyFill="1"/>
    <xf numFmtId="37" fontId="32" fillId="0" borderId="14" xfId="6" applyNumberFormat="1" applyFont="1" applyFill="1" applyBorder="1" applyAlignment="1" applyProtection="1">
      <alignment horizontal="center"/>
    </xf>
    <xf numFmtId="3" fontId="20" fillId="4" borderId="0" xfId="4" applyFont="1" applyFill="1" applyBorder="1" applyAlignment="1" applyProtection="1">
      <alignment wrapText="1"/>
    </xf>
    <xf numFmtId="0" fontId="20" fillId="4" borderId="0" xfId="4" applyNumberFormat="1" applyFont="1" applyFill="1" applyBorder="1" applyAlignment="1" applyProtection="1">
      <alignment horizontal="center" wrapText="1"/>
    </xf>
    <xf numFmtId="3" fontId="20" fillId="4" borderId="0" xfId="4" applyFont="1" applyFill="1" applyBorder="1" applyAlignment="1" applyProtection="1">
      <alignment horizontal="center" wrapText="1"/>
    </xf>
    <xf numFmtId="37" fontId="20" fillId="4" borderId="0" xfId="4" applyNumberFormat="1" applyFont="1" applyFill="1" applyBorder="1" applyAlignment="1" applyProtection="1">
      <alignment horizontal="center" wrapText="1"/>
    </xf>
    <xf numFmtId="3" fontId="20" fillId="4" borderId="0" xfId="4" applyFont="1" applyFill="1" applyBorder="1" applyAlignment="1">
      <alignment wrapText="1"/>
    </xf>
    <xf numFmtId="3" fontId="20" fillId="4" borderId="29" xfId="4" applyFont="1" applyFill="1" applyBorder="1" applyAlignment="1">
      <alignment horizontal="center" wrapText="1"/>
    </xf>
    <xf numFmtId="3" fontId="20" fillId="4" borderId="0" xfId="4" applyFont="1" applyFill="1" applyBorder="1" applyAlignment="1">
      <alignment horizontal="center" wrapText="1"/>
    </xf>
    <xf numFmtId="3" fontId="20" fillId="0" borderId="0" xfId="4" applyFont="1" applyFill="1" applyBorder="1" applyAlignment="1">
      <alignment wrapText="1"/>
    </xf>
    <xf numFmtId="3" fontId="20" fillId="0" borderId="0" xfId="4" applyFont="1" applyFill="1" applyBorder="1"/>
    <xf numFmtId="3" fontId="32" fillId="0" borderId="0" xfId="4" applyFont="1" applyFill="1" applyBorder="1"/>
    <xf numFmtId="0" fontId="20" fillId="0" borderId="0" xfId="4" applyNumberFormat="1" applyFont="1" applyFill="1" applyBorder="1" applyAlignment="1">
      <alignment horizontal="center"/>
    </xf>
    <xf numFmtId="3" fontId="20" fillId="0" borderId="0" xfId="4" applyFont="1" applyFill="1" applyBorder="1" applyAlignment="1">
      <alignment horizontal="center"/>
    </xf>
    <xf numFmtId="3" fontId="31" fillId="0" borderId="0" xfId="4" applyFont="1" applyFill="1" applyBorder="1" applyAlignment="1">
      <alignment horizontal="center"/>
    </xf>
    <xf numFmtId="3" fontId="32" fillId="0" borderId="0" xfId="4" applyFont="1" applyFill="1" applyBorder="1" applyAlignment="1">
      <alignment horizontal="center"/>
    </xf>
    <xf numFmtId="3" fontId="31" fillId="0" borderId="0" xfId="4" applyFont="1" applyFill="1" applyBorder="1"/>
    <xf numFmtId="37" fontId="24" fillId="0" borderId="0" xfId="0" applyNumberFormat="1" applyFont="1" applyBorder="1" applyAlignment="1" applyProtection="1">
      <alignment horizontal="left" vertical="top" wrapText="1"/>
    </xf>
    <xf numFmtId="37" fontId="27" fillId="0" borderId="0" xfId="0" applyNumberFormat="1" applyFont="1" applyAlignment="1" applyProtection="1">
      <alignment horizontal="center"/>
    </xf>
    <xf numFmtId="3" fontId="19" fillId="0" borderId="17" xfId="0" applyFont="1" applyFill="1" applyBorder="1" applyAlignment="1">
      <alignment horizontal="center"/>
    </xf>
    <xf numFmtId="37" fontId="29" fillId="0" borderId="14" xfId="0" applyNumberFormat="1" applyFont="1" applyBorder="1" applyAlignment="1" applyProtection="1">
      <alignment horizontal="center" wrapText="1"/>
    </xf>
    <xf numFmtId="168" fontId="20" fillId="0" borderId="0" xfId="7" applyNumberFormat="1" applyFont="1" applyBorder="1" applyAlignment="1">
      <alignment horizontal="right"/>
    </xf>
    <xf numFmtId="168" fontId="20" fillId="0" borderId="3" xfId="7" applyNumberFormat="1" applyFont="1" applyBorder="1" applyAlignment="1">
      <alignment horizontal="right"/>
    </xf>
    <xf numFmtId="49" fontId="0" fillId="0" borderId="0" xfId="0" applyNumberFormat="1" applyFill="1" applyAlignment="1">
      <alignment horizontal="right"/>
    </xf>
    <xf numFmtId="3" fontId="20" fillId="0" borderId="0" xfId="0" applyFont="1" applyFill="1" applyBorder="1" applyAlignment="1">
      <alignment horizontal="centerContinuous"/>
    </xf>
    <xf numFmtId="3" fontId="20" fillId="0" borderId="3" xfId="0" applyNumberFormat="1" applyFont="1" applyBorder="1"/>
    <xf numFmtId="37" fontId="29" fillId="0" borderId="30" xfId="0" applyNumberFormat="1" applyFont="1" applyBorder="1" applyAlignment="1" applyProtection="1">
      <alignment horizontal="right"/>
    </xf>
    <xf numFmtId="3" fontId="20" fillId="0" borderId="15" xfId="0" applyNumberFormat="1" applyFont="1" applyBorder="1" applyAlignment="1">
      <alignment horizontal="right"/>
    </xf>
    <xf numFmtId="3" fontId="20" fillId="0" borderId="16" xfId="0" applyNumberFormat="1" applyFont="1" applyBorder="1" applyAlignment="1">
      <alignment horizontal="right"/>
    </xf>
    <xf numFmtId="3" fontId="20" fillId="0" borderId="15" xfId="0" applyNumberFormat="1" applyFont="1" applyFill="1" applyBorder="1" applyAlignment="1">
      <alignment horizontal="right"/>
    </xf>
    <xf numFmtId="3" fontId="20" fillId="0" borderId="16" xfId="0" applyNumberFormat="1" applyFont="1" applyFill="1" applyBorder="1" applyAlignment="1">
      <alignment horizontal="right"/>
    </xf>
    <xf numFmtId="37" fontId="27" fillId="0" borderId="0" xfId="0" applyNumberFormat="1" applyFont="1" applyFill="1" applyAlignment="1" applyProtection="1">
      <alignment horizontal="center"/>
    </xf>
    <xf numFmtId="37" fontId="27" fillId="0" borderId="0" xfId="0" applyNumberFormat="1" applyFont="1" applyFill="1" applyBorder="1" applyAlignment="1" applyProtection="1">
      <alignment horizontal="center"/>
    </xf>
    <xf numFmtId="37" fontId="37" fillId="0" borderId="11" xfId="0" applyNumberFormat="1" applyFont="1" applyBorder="1" applyAlignment="1" applyProtection="1">
      <alignment horizontal="center"/>
    </xf>
    <xf numFmtId="3" fontId="38" fillId="0" borderId="11" xfId="0" applyFont="1" applyBorder="1" applyAlignment="1">
      <alignment horizontal="center"/>
    </xf>
    <xf numFmtId="3" fontId="40" fillId="0" borderId="0" xfId="0" applyFont="1"/>
    <xf numFmtId="3" fontId="28" fillId="0" borderId="2" xfId="0" applyFont="1" applyBorder="1"/>
    <xf numFmtId="3" fontId="20" fillId="0" borderId="2" xfId="0" applyFont="1" applyBorder="1"/>
    <xf numFmtId="3" fontId="20" fillId="0" borderId="31" xfId="0" applyFont="1" applyBorder="1"/>
    <xf numFmtId="3" fontId="28" fillId="0" borderId="34" xfId="0" applyFont="1" applyBorder="1"/>
    <xf numFmtId="37" fontId="20" fillId="0" borderId="15" xfId="0" applyNumberFormat="1" applyFont="1" applyBorder="1" applyAlignment="1">
      <alignment horizontal="right"/>
    </xf>
    <xf numFmtId="37" fontId="20" fillId="0" borderId="16" xfId="0" applyNumberFormat="1" applyFont="1" applyBorder="1" applyAlignment="1">
      <alignment horizontal="right"/>
    </xf>
    <xf numFmtId="37" fontId="28" fillId="0" borderId="14" xfId="0" applyNumberFormat="1" applyFont="1" applyBorder="1" applyAlignment="1" applyProtection="1">
      <alignment horizontal="center"/>
    </xf>
    <xf numFmtId="37" fontId="29" fillId="0" borderId="17" xfId="0" applyNumberFormat="1" applyFont="1" applyBorder="1" applyAlignment="1" applyProtection="1">
      <alignment horizontal="centerContinuous"/>
    </xf>
    <xf numFmtId="37" fontId="29" fillId="0" borderId="30" xfId="0" applyNumberFormat="1" applyFont="1" applyBorder="1" applyAlignment="1" applyProtection="1">
      <alignment horizontal="centerContinuous"/>
    </xf>
    <xf numFmtId="3" fontId="20" fillId="0" borderId="0" xfId="0" applyNumberFormat="1" applyFont="1" applyFill="1" applyBorder="1"/>
    <xf numFmtId="37" fontId="29" fillId="0" borderId="14" xfId="0" applyNumberFormat="1" applyFont="1" applyFill="1" applyBorder="1" applyAlignment="1" applyProtection="1">
      <alignment horizontal="centerContinuous" wrapText="1"/>
    </xf>
    <xf numFmtId="3" fontId="24" fillId="0" borderId="0" xfId="0" applyNumberFormat="1" applyFont="1" applyFill="1" applyBorder="1"/>
    <xf numFmtId="37" fontId="29" fillId="0" borderId="14" xfId="0" applyNumberFormat="1" applyFont="1" applyBorder="1" applyAlignment="1" applyProtection="1">
      <alignment horizontal="center"/>
    </xf>
    <xf numFmtId="37" fontId="29" fillId="0" borderId="21" xfId="0" applyNumberFormat="1" applyFont="1" applyBorder="1" applyAlignment="1" applyProtection="1">
      <alignment horizontal="center"/>
    </xf>
    <xf numFmtId="37" fontId="23" fillId="0" borderId="0" xfId="0" applyNumberFormat="1" applyFont="1" applyAlignment="1" applyProtection="1">
      <alignment horizontal="left"/>
    </xf>
    <xf numFmtId="3" fontId="20" fillId="0" borderId="0" xfId="0" applyFont="1" applyAlignment="1">
      <alignment horizontal="left"/>
    </xf>
    <xf numFmtId="3" fontId="23" fillId="0" borderId="0" xfId="0" applyFont="1" applyFill="1" applyBorder="1" applyAlignment="1">
      <alignment horizontal="centerContinuous"/>
    </xf>
    <xf numFmtId="37" fontId="23" fillId="0" borderId="0" xfId="0" applyNumberFormat="1" applyFont="1" applyFill="1" applyBorder="1" applyAlignment="1" applyProtection="1">
      <alignment horizontal="center"/>
    </xf>
    <xf numFmtId="37" fontId="24" fillId="0" borderId="0" xfId="0" applyNumberFormat="1" applyFont="1" applyFill="1" applyBorder="1" applyAlignment="1" applyProtection="1">
      <alignment horizontal="left" vertical="top" wrapText="1"/>
    </xf>
    <xf numFmtId="49" fontId="18" fillId="0" borderId="0" xfId="0" quotePrefix="1" applyNumberFormat="1" applyFont="1" applyFill="1" applyBorder="1" applyAlignment="1">
      <alignment horizontal="right"/>
    </xf>
    <xf numFmtId="3" fontId="20" fillId="0" borderId="3" xfId="0" applyNumberFormat="1" applyFont="1" applyFill="1" applyBorder="1"/>
    <xf numFmtId="37" fontId="28" fillId="0" borderId="3" xfId="0" applyNumberFormat="1" applyFont="1" applyBorder="1" applyAlignment="1" applyProtection="1">
      <alignment horizontal="center"/>
    </xf>
    <xf numFmtId="37" fontId="29" fillId="0" borderId="3" xfId="0" applyNumberFormat="1" applyFont="1" applyBorder="1" applyAlignment="1" applyProtection="1">
      <alignment horizontal="center" wrapText="1"/>
    </xf>
    <xf numFmtId="37" fontId="29" fillId="0" borderId="16" xfId="0" applyNumberFormat="1" applyFont="1" applyBorder="1" applyAlignment="1" applyProtection="1">
      <alignment horizontal="center" wrapText="1"/>
    </xf>
    <xf numFmtId="37" fontId="29" fillId="0" borderId="21" xfId="0" applyNumberFormat="1" applyFont="1" applyBorder="1" applyAlignment="1" applyProtection="1">
      <alignment horizontal="right"/>
    </xf>
    <xf numFmtId="37" fontId="20" fillId="0" borderId="0" xfId="0" quotePrefix="1" applyNumberFormat="1" applyFont="1" applyAlignment="1">
      <alignment horizontal="right"/>
    </xf>
    <xf numFmtId="37" fontId="20" fillId="0" borderId="15" xfId="0" quotePrefix="1" applyNumberFormat="1" applyFont="1" applyBorder="1" applyAlignment="1">
      <alignment horizontal="right"/>
    </xf>
    <xf numFmtId="37" fontId="20" fillId="0" borderId="0" xfId="0" quotePrefix="1" applyNumberFormat="1" applyFont="1" applyAlignment="1">
      <alignment horizontal="left"/>
    </xf>
    <xf numFmtId="168" fontId="20" fillId="0" borderId="0" xfId="7" applyNumberFormat="1" applyFont="1" applyBorder="1"/>
    <xf numFmtId="10" fontId="20" fillId="0" borderId="0" xfId="7" applyNumberFormat="1" applyFont="1" applyBorder="1" applyAlignment="1">
      <alignment horizontal="right"/>
    </xf>
    <xf numFmtId="168" fontId="20" fillId="0" borderId="3" xfId="7" applyNumberFormat="1" applyFont="1" applyBorder="1"/>
    <xf numFmtId="3" fontId="28" fillId="0" borderId="14" xfId="6" applyFont="1" applyFill="1" applyBorder="1"/>
    <xf numFmtId="3" fontId="40" fillId="0" borderId="0" xfId="0" applyFont="1" applyFill="1" applyBorder="1"/>
    <xf numFmtId="3" fontId="40" fillId="0" borderId="0" xfId="0" applyFont="1" applyFill="1"/>
    <xf numFmtId="166" fontId="41" fillId="0" borderId="0" xfId="0" applyNumberFormat="1" applyFont="1" applyFill="1" applyBorder="1" applyAlignment="1"/>
    <xf numFmtId="3" fontId="28" fillId="2" borderId="15" xfId="0" applyFont="1" applyFill="1" applyBorder="1"/>
    <xf numFmtId="3" fontId="20" fillId="2" borderId="0" xfId="0" applyFont="1" applyFill="1" applyBorder="1"/>
    <xf numFmtId="37" fontId="29" fillId="2" borderId="21" xfId="0" applyNumberFormat="1" applyFont="1" applyFill="1" applyBorder="1" applyAlignment="1" applyProtection="1">
      <alignment horizontal="centerContinuous"/>
    </xf>
    <xf numFmtId="168" fontId="20" fillId="2" borderId="15" xfId="7" applyNumberFormat="1" applyFont="1" applyFill="1" applyBorder="1"/>
    <xf numFmtId="168" fontId="20" fillId="2" borderId="0" xfId="7" applyNumberFormat="1" applyFont="1" applyFill="1" applyBorder="1"/>
    <xf numFmtId="37" fontId="27" fillId="0" borderId="0" xfId="0" applyNumberFormat="1" applyFont="1" applyAlignment="1" applyProtection="1">
      <alignment horizontal="left"/>
    </xf>
    <xf numFmtId="37" fontId="29" fillId="0" borderId="36" xfId="0" applyNumberFormat="1" applyFont="1" applyFill="1" applyBorder="1" applyAlignment="1" applyProtection="1">
      <alignment horizontal="right"/>
    </xf>
    <xf numFmtId="37" fontId="29" fillId="0" borderId="16" xfId="0" applyNumberFormat="1" applyFont="1" applyFill="1" applyBorder="1" applyAlignment="1" applyProtection="1">
      <alignment horizontal="right"/>
    </xf>
    <xf numFmtId="3" fontId="21" fillId="0" borderId="0" xfId="0" applyFont="1" applyFill="1" applyBorder="1" applyAlignment="1">
      <alignment horizontal="centerContinuous"/>
    </xf>
    <xf numFmtId="3" fontId="36" fillId="0" borderId="0" xfId="0" applyFont="1" applyAlignment="1">
      <alignment horizontal="centerContinuous"/>
    </xf>
    <xf numFmtId="3" fontId="33" fillId="0" borderId="0" xfId="0" applyFont="1" applyAlignment="1">
      <alignment horizontal="centerContinuous"/>
    </xf>
    <xf numFmtId="3" fontId="42" fillId="0" borderId="0" xfId="0" applyFont="1"/>
    <xf numFmtId="37" fontId="29" fillId="0" borderId="17" xfId="0" applyNumberFormat="1" applyFont="1" applyBorder="1" applyAlignment="1" applyProtection="1">
      <alignment horizontal="centerContinuous" wrapText="1"/>
    </xf>
    <xf numFmtId="3" fontId="43" fillId="3" borderId="0" xfId="0" applyFont="1" applyFill="1" applyAlignment="1">
      <alignment vertical="center"/>
    </xf>
    <xf numFmtId="3" fontId="28" fillId="0" borderId="3" xfId="0" applyFont="1" applyBorder="1"/>
    <xf numFmtId="3" fontId="20" fillId="0" borderId="3" xfId="0" applyFont="1" applyBorder="1" applyAlignment="1">
      <alignment horizontal="right" wrapText="1"/>
    </xf>
    <xf numFmtId="3" fontId="20" fillId="0" borderId="21" xfId="0" applyFont="1" applyBorder="1"/>
    <xf numFmtId="3" fontId="20" fillId="0" borderId="16" xfId="0" applyFont="1" applyBorder="1" applyAlignment="1">
      <alignment horizontal="right" wrapText="1"/>
    </xf>
    <xf numFmtId="3" fontId="42" fillId="3" borderId="0" xfId="0" applyFont="1" applyFill="1"/>
    <xf numFmtId="3" fontId="42" fillId="0" borderId="3" xfId="0" applyFont="1" applyBorder="1"/>
    <xf numFmtId="3" fontId="20" fillId="0" borderId="28" xfId="0" applyFont="1" applyBorder="1"/>
    <xf numFmtId="10" fontId="20" fillId="0" borderId="5" xfId="7" applyNumberFormat="1" applyFont="1" applyBorder="1" applyAlignment="1">
      <alignment horizontal="right"/>
    </xf>
    <xf numFmtId="10" fontId="20" fillId="0" borderId="0" xfId="7" applyNumberFormat="1" applyFont="1" applyBorder="1"/>
    <xf numFmtId="10" fontId="20" fillId="0" borderId="15" xfId="7" applyNumberFormat="1" applyFont="1" applyBorder="1"/>
    <xf numFmtId="165" fontId="28" fillId="0" borderId="2" xfId="0" applyNumberFormat="1" applyFont="1" applyFill="1" applyBorder="1" applyAlignment="1"/>
    <xf numFmtId="165" fontId="20" fillId="0" borderId="33" xfId="0" applyNumberFormat="1" applyFont="1" applyFill="1" applyBorder="1"/>
    <xf numFmtId="165" fontId="20" fillId="0" borderId="7" xfId="0" applyNumberFormat="1" applyFont="1" applyFill="1" applyBorder="1"/>
    <xf numFmtId="165" fontId="20" fillId="0" borderId="0" xfId="0" applyNumberFormat="1" applyFont="1" applyFill="1"/>
    <xf numFmtId="166" fontId="28" fillId="0" borderId="33" xfId="0" applyNumberFormat="1" applyFont="1" applyFill="1" applyBorder="1" applyAlignment="1">
      <alignment horizontal="right"/>
    </xf>
    <xf numFmtId="165" fontId="28" fillId="0" borderId="34" xfId="0" applyNumberFormat="1" applyFont="1" applyFill="1" applyBorder="1" applyAlignment="1"/>
    <xf numFmtId="165" fontId="20" fillId="4" borderId="0" xfId="1" applyNumberFormat="1" applyFont="1" applyFill="1" applyBorder="1" applyAlignment="1" applyProtection="1">
      <alignment horizontal="center" wrapText="1"/>
    </xf>
    <xf numFmtId="3" fontId="20" fillId="6" borderId="0" xfId="0" applyFont="1" applyFill="1" applyBorder="1"/>
    <xf numFmtId="165" fontId="20" fillId="0" borderId="34" xfId="0" applyNumberFormat="1" applyFont="1" applyFill="1" applyBorder="1" applyAlignment="1">
      <alignment wrapText="1"/>
    </xf>
    <xf numFmtId="165" fontId="20" fillId="6" borderId="34" xfId="0" applyNumberFormat="1" applyFont="1" applyFill="1" applyBorder="1"/>
    <xf numFmtId="165" fontId="20" fillId="6" borderId="2" xfId="0" applyNumberFormat="1" applyFont="1" applyFill="1" applyBorder="1"/>
    <xf numFmtId="165" fontId="20" fillId="6" borderId="32" xfId="0" applyNumberFormat="1" applyFont="1" applyFill="1" applyBorder="1"/>
    <xf numFmtId="168" fontId="28" fillId="0" borderId="7" xfId="0" applyNumberFormat="1" applyFont="1" applyFill="1" applyBorder="1" applyAlignment="1">
      <alignment horizontal="right"/>
    </xf>
    <xf numFmtId="168" fontId="28" fillId="0" borderId="0" xfId="0" applyNumberFormat="1" applyFont="1" applyFill="1" applyAlignment="1">
      <alignment horizontal="right"/>
    </xf>
    <xf numFmtId="3" fontId="20" fillId="3" borderId="8" xfId="0" applyFont="1" applyFill="1" applyBorder="1" applyAlignment="1">
      <alignment vertical="center"/>
    </xf>
    <xf numFmtId="168" fontId="20" fillId="0" borderId="0" xfId="7" quotePrefix="1" applyNumberFormat="1" applyFont="1" applyBorder="1" applyAlignment="1">
      <alignment horizontal="right"/>
    </xf>
    <xf numFmtId="168" fontId="48" fillId="0" borderId="0" xfId="7" quotePrefix="1" applyNumberFormat="1" applyFont="1" applyBorder="1" applyAlignment="1">
      <alignment horizontal="right"/>
    </xf>
    <xf numFmtId="168" fontId="48" fillId="0" borderId="0" xfId="7" quotePrefix="1" applyNumberFormat="1" applyFont="1" applyAlignment="1">
      <alignment vertical="center"/>
    </xf>
    <xf numFmtId="3" fontId="48" fillId="0" borderId="15" xfId="0" applyNumberFormat="1" applyFont="1" applyBorder="1" applyAlignment="1">
      <alignment horizontal="right"/>
    </xf>
    <xf numFmtId="168" fontId="48" fillId="0" borderId="0" xfId="7" quotePrefix="1" applyNumberFormat="1" applyFont="1" applyFill="1" applyAlignment="1">
      <alignment vertical="center"/>
    </xf>
    <xf numFmtId="3" fontId="48" fillId="0" borderId="15" xfId="0" applyFont="1" applyBorder="1"/>
    <xf numFmtId="3" fontId="48" fillId="0" borderId="0" xfId="0" applyFont="1"/>
    <xf numFmtId="3" fontId="48" fillId="0" borderId="0" xfId="0" applyNumberFormat="1" applyFont="1" applyAlignment="1">
      <alignment horizontal="right"/>
    </xf>
    <xf numFmtId="3" fontId="48" fillId="0" borderId="15" xfId="0" applyFont="1" applyFill="1" applyBorder="1"/>
    <xf numFmtId="37" fontId="29" fillId="0" borderId="40" xfId="0" applyNumberFormat="1" applyFont="1" applyBorder="1" applyAlignment="1" applyProtection="1">
      <alignment horizontal="center" wrapText="1"/>
    </xf>
    <xf numFmtId="3" fontId="48" fillId="0" borderId="0" xfId="0" applyFont="1" applyBorder="1"/>
    <xf numFmtId="37" fontId="24" fillId="0" borderId="0" xfId="0" applyNumberFormat="1" applyFont="1" applyBorder="1" applyAlignment="1" applyProtection="1">
      <alignment horizontal="left" vertical="top" wrapText="1"/>
    </xf>
    <xf numFmtId="37" fontId="27" fillId="0" borderId="0" xfId="0" applyNumberFormat="1" applyFont="1" applyAlignment="1" applyProtection="1">
      <alignment horizontal="center"/>
    </xf>
    <xf numFmtId="37" fontId="23" fillId="0" borderId="0" xfId="0" applyNumberFormat="1" applyFont="1" applyAlignment="1" applyProtection="1">
      <alignment horizontal="center"/>
    </xf>
    <xf numFmtId="171" fontId="20" fillId="0" borderId="0" xfId="0" applyNumberFormat="1" applyFont="1"/>
    <xf numFmtId="0" fontId="49" fillId="7" borderId="42" xfId="25" applyNumberFormat="1" applyFont="1" applyFill="1" applyBorder="1" applyAlignment="1" applyProtection="1">
      <alignment horizontal="center"/>
      <protection locked="0"/>
    </xf>
    <xf numFmtId="0" fontId="49" fillId="7" borderId="42" xfId="26" applyNumberFormat="1" applyFont="1" applyFill="1" applyBorder="1" applyAlignment="1" applyProtection="1">
      <alignment horizontal="left" wrapText="1"/>
      <protection locked="0"/>
    </xf>
    <xf numFmtId="0" fontId="49" fillId="7" borderId="42" xfId="26" applyNumberFormat="1" applyFont="1" applyFill="1" applyBorder="1" applyAlignment="1" applyProtection="1">
      <alignment horizontal="center"/>
      <protection locked="0"/>
    </xf>
    <xf numFmtId="1" fontId="49" fillId="7" borderId="42" xfId="26" applyNumberFormat="1" applyFont="1" applyFill="1" applyBorder="1" applyAlignment="1" applyProtection="1">
      <alignment horizontal="center"/>
      <protection locked="0"/>
    </xf>
    <xf numFmtId="0" fontId="28" fillId="8" borderId="43" xfId="23" applyNumberFormat="1" applyFont="1" applyFill="1" applyBorder="1" applyAlignment="1" applyProtection="1">
      <alignment horizontal="center"/>
      <protection locked="0"/>
    </xf>
    <xf numFmtId="0" fontId="28" fillId="0" borderId="42" xfId="23" applyNumberFormat="1" applyFont="1" applyFill="1" applyBorder="1" applyAlignment="1" applyProtection="1">
      <alignment horizontal="center"/>
      <protection locked="0"/>
    </xf>
    <xf numFmtId="0" fontId="50" fillId="9" borderId="44" xfId="23" applyNumberFormat="1" applyFont="1" applyFill="1" applyBorder="1" applyAlignment="1" applyProtection="1">
      <alignment horizontal="center"/>
      <protection locked="0"/>
    </xf>
    <xf numFmtId="0" fontId="50" fillId="9" borderId="45" xfId="23" applyNumberFormat="1" applyFont="1" applyFill="1" applyBorder="1" applyAlignment="1" applyProtection="1">
      <alignment horizontal="center"/>
      <protection locked="0"/>
    </xf>
    <xf numFmtId="0" fontId="50" fillId="5" borderId="44" xfId="23" applyNumberFormat="1" applyFont="1" applyFill="1" applyBorder="1" applyAlignment="1" applyProtection="1">
      <alignment horizontal="center"/>
      <protection locked="0"/>
    </xf>
    <xf numFmtId="0" fontId="50" fillId="5" borderId="45" xfId="23" applyNumberFormat="1" applyFont="1" applyFill="1" applyBorder="1" applyAlignment="1" applyProtection="1">
      <alignment horizontal="center"/>
      <protection locked="0"/>
    </xf>
    <xf numFmtId="0" fontId="50" fillId="5" borderId="46" xfId="23" applyNumberFormat="1" applyFont="1" applyFill="1" applyBorder="1" applyAlignment="1" applyProtection="1">
      <alignment horizontal="center"/>
      <protection locked="0"/>
    </xf>
    <xf numFmtId="0" fontId="50" fillId="9" borderId="44" xfId="23" applyNumberFormat="1" applyFont="1" applyFill="1" applyBorder="1" applyAlignment="1" applyProtection="1">
      <alignment horizontal="center"/>
    </xf>
    <xf numFmtId="0" fontId="50" fillId="9" borderId="45" xfId="23" applyNumberFormat="1" applyFont="1" applyFill="1" applyBorder="1" applyAlignment="1" applyProtection="1">
      <alignment horizontal="center"/>
    </xf>
    <xf numFmtId="0" fontId="50" fillId="5" borderId="44" xfId="23" applyNumberFormat="1" applyFont="1" applyFill="1" applyBorder="1" applyAlignment="1" applyProtection="1">
      <alignment horizontal="center"/>
    </xf>
    <xf numFmtId="0" fontId="50" fillId="5" borderId="45" xfId="23" applyNumberFormat="1" applyFont="1" applyFill="1" applyBorder="1" applyAlignment="1" applyProtection="1">
      <alignment horizontal="center"/>
    </xf>
    <xf numFmtId="0" fontId="50" fillId="5" borderId="48" xfId="23" applyNumberFormat="1" applyFont="1" applyFill="1" applyBorder="1" applyAlignment="1" applyProtection="1">
      <alignment horizontal="center"/>
    </xf>
    <xf numFmtId="0" fontId="50" fillId="9" borderId="47" xfId="23" applyNumberFormat="1" applyFont="1" applyFill="1" applyBorder="1" applyAlignment="1" applyProtection="1">
      <alignment horizontal="center"/>
    </xf>
    <xf numFmtId="0" fontId="20" fillId="0" borderId="0" xfId="23" applyNumberFormat="1" applyFont="1" applyFill="1" applyBorder="1" applyAlignment="1" applyProtection="1">
      <alignment horizontal="center"/>
      <protection locked="0"/>
    </xf>
    <xf numFmtId="37" fontId="28" fillId="0" borderId="16" xfId="6" applyNumberFormat="1" applyFont="1" applyFill="1" applyBorder="1" applyAlignment="1" applyProtection="1">
      <alignment horizontal="centerContinuous" wrapText="1"/>
    </xf>
    <xf numFmtId="37" fontId="32" fillId="0" borderId="5" xfId="6" applyNumberFormat="1" applyFont="1" applyFill="1" applyBorder="1" applyAlignment="1" applyProtection="1">
      <alignment horizontal="centerContinuous" wrapText="1"/>
    </xf>
    <xf numFmtId="37" fontId="28" fillId="0" borderId="16" xfId="5" applyNumberFormat="1" applyFont="1" applyFill="1" applyBorder="1" applyAlignment="1" applyProtection="1">
      <alignment horizontal="centerContinuous" wrapText="1"/>
    </xf>
    <xf numFmtId="37" fontId="32" fillId="0" borderId="14" xfId="5" applyNumberFormat="1" applyFont="1" applyFill="1" applyBorder="1" applyAlignment="1" applyProtection="1">
      <alignment horizontal="centerContinuous" wrapText="1"/>
    </xf>
    <xf numFmtId="3" fontId="45" fillId="9" borderId="37" xfId="23" applyNumberFormat="1" applyFont="1" applyFill="1" applyBorder="1" applyAlignment="1" applyProtection="1">
      <alignment horizontal="right"/>
    </xf>
    <xf numFmtId="3" fontId="45" fillId="9" borderId="15" xfId="23" applyNumberFormat="1" applyFont="1" applyFill="1" applyBorder="1" applyAlignment="1" applyProtection="1">
      <alignment horizontal="right"/>
    </xf>
    <xf numFmtId="3" fontId="50" fillId="5" borderId="37" xfId="23" applyNumberFormat="1" applyFont="1" applyFill="1" applyBorder="1" applyAlignment="1" applyProtection="1">
      <alignment horizontal="right"/>
    </xf>
    <xf numFmtId="3" fontId="50" fillId="5" borderId="15" xfId="23" applyNumberFormat="1" applyFont="1" applyFill="1" applyBorder="1" applyAlignment="1" applyProtection="1">
      <alignment horizontal="right"/>
    </xf>
    <xf numFmtId="3" fontId="50" fillId="5" borderId="50" xfId="23" applyNumberFormat="1" applyFont="1" applyFill="1" applyBorder="1" applyAlignment="1" applyProtection="1">
      <alignment horizontal="right"/>
    </xf>
    <xf numFmtId="3" fontId="45" fillId="9" borderId="0" xfId="23" applyNumberFormat="1" applyFont="1" applyFill="1" applyBorder="1" applyAlignment="1" applyProtection="1">
      <alignment horizontal="right"/>
    </xf>
    <xf numFmtId="3" fontId="50" fillId="5" borderId="52" xfId="23" applyNumberFormat="1" applyFont="1" applyFill="1" applyBorder="1" applyAlignment="1" applyProtection="1">
      <alignment horizontal="right"/>
    </xf>
    <xf numFmtId="3" fontId="45" fillId="9" borderId="51" xfId="23" applyNumberFormat="1" applyFont="1" applyFill="1" applyBorder="1" applyAlignment="1" applyProtection="1">
      <alignment horizontal="right"/>
    </xf>
    <xf numFmtId="37" fontId="28" fillId="10" borderId="21" xfId="5" applyNumberFormat="1" applyFont="1" applyFill="1" applyBorder="1" applyAlignment="1" applyProtection="1">
      <alignment horizontal="center" wrapText="1"/>
    </xf>
    <xf numFmtId="37" fontId="32" fillId="5" borderId="21" xfId="5" applyNumberFormat="1" applyFont="1" applyFill="1" applyBorder="1" applyAlignment="1" applyProtection="1">
      <alignment horizontal="center" wrapText="1"/>
    </xf>
    <xf numFmtId="37" fontId="32" fillId="0" borderId="14" xfId="6" applyNumberFormat="1" applyFont="1" applyFill="1" applyBorder="1" applyAlignment="1" applyProtection="1">
      <alignment horizontal="centerContinuous"/>
    </xf>
    <xf numFmtId="37" fontId="32" fillId="0" borderId="21" xfId="6" applyNumberFormat="1" applyFont="1" applyFill="1" applyBorder="1" applyAlignment="1" applyProtection="1">
      <alignment horizontal="centerContinuous"/>
    </xf>
    <xf numFmtId="37" fontId="32" fillId="0" borderId="22" xfId="6" applyNumberFormat="1" applyFont="1" applyFill="1" applyBorder="1" applyAlignment="1" applyProtection="1">
      <alignment horizontal="centerContinuous"/>
    </xf>
    <xf numFmtId="37" fontId="32" fillId="5" borderId="39" xfId="5" applyNumberFormat="1" applyFont="1" applyFill="1" applyBorder="1" applyAlignment="1" applyProtection="1">
      <alignment horizontal="center" wrapText="1"/>
    </xf>
    <xf numFmtId="3" fontId="28" fillId="0" borderId="21" xfId="6" applyFont="1" applyFill="1" applyBorder="1" applyAlignment="1">
      <alignment horizontal="centerContinuous"/>
    </xf>
    <xf numFmtId="3" fontId="28" fillId="0" borderId="14" xfId="6" applyFont="1" applyFill="1" applyBorder="1" applyAlignment="1">
      <alignment horizontal="centerContinuous"/>
    </xf>
    <xf numFmtId="3" fontId="41" fillId="0" borderId="0" xfId="0" applyNumberFormat="1" applyFont="1" applyFill="1" applyBorder="1" applyAlignment="1"/>
    <xf numFmtId="3" fontId="32" fillId="0" borderId="53" xfId="0" applyFont="1" applyBorder="1" applyAlignment="1">
      <alignment vertical="center"/>
    </xf>
    <xf numFmtId="165" fontId="28" fillId="0" borderId="35" xfId="0" applyNumberFormat="1" applyFont="1" applyFill="1" applyBorder="1" applyAlignment="1">
      <alignment horizontal="right"/>
    </xf>
    <xf numFmtId="165" fontId="20" fillId="6" borderId="7" xfId="0" applyNumberFormat="1" applyFont="1" applyFill="1" applyBorder="1"/>
    <xf numFmtId="168" fontId="28" fillId="6" borderId="7" xfId="0" applyNumberFormat="1" applyFont="1" applyFill="1" applyBorder="1" applyAlignment="1">
      <alignment horizontal="right"/>
    </xf>
    <xf numFmtId="165" fontId="20" fillId="0" borderId="15" xfId="0" applyNumberFormat="1" applyFont="1" applyFill="1" applyBorder="1"/>
    <xf numFmtId="0" fontId="52" fillId="7" borderId="42" xfId="25" applyNumberFormat="1" applyFont="1" applyFill="1" applyBorder="1" applyAlignment="1" applyProtection="1">
      <alignment horizontal="left"/>
      <protection locked="0"/>
    </xf>
    <xf numFmtId="165" fontId="28" fillId="0" borderId="0" xfId="23" applyNumberFormat="1" applyFont="1" applyFill="1" applyBorder="1" applyAlignment="1" applyProtection="1">
      <alignment horizontal="left" vertical="top"/>
      <protection locked="0"/>
    </xf>
    <xf numFmtId="164" fontId="28" fillId="0" borderId="0" xfId="10" applyFont="1" applyBorder="1" applyAlignment="1" applyProtection="1">
      <alignment horizontal="left" vertical="top"/>
      <protection locked="0"/>
    </xf>
    <xf numFmtId="3" fontId="28" fillId="0" borderId="55" xfId="6" applyFont="1" applyFill="1" applyBorder="1"/>
    <xf numFmtId="37" fontId="32" fillId="0" borderId="56" xfId="6" applyNumberFormat="1" applyFont="1" applyFill="1" applyBorder="1" applyAlignment="1" applyProtection="1">
      <alignment horizontal="center"/>
    </xf>
    <xf numFmtId="3" fontId="27" fillId="0" borderId="21" xfId="6" applyFont="1" applyFill="1" applyBorder="1" applyAlignment="1">
      <alignment horizontal="centerContinuous"/>
    </xf>
    <xf numFmtId="165" fontId="32" fillId="0" borderId="14" xfId="23" applyNumberFormat="1" applyFont="1" applyFill="1" applyBorder="1" applyAlignment="1" applyProtection="1">
      <alignment horizontal="centerContinuous"/>
    </xf>
    <xf numFmtId="37" fontId="32" fillId="0" borderId="57" xfId="6" applyNumberFormat="1" applyFont="1" applyFill="1" applyBorder="1" applyAlignment="1" applyProtection="1">
      <alignment horizontal="centerContinuous"/>
    </xf>
    <xf numFmtId="49" fontId="28" fillId="11" borderId="15" xfId="10" applyNumberFormat="1" applyFont="1" applyFill="1" applyBorder="1" applyAlignment="1" applyProtection="1">
      <alignment horizontal="left" vertical="top"/>
      <protection locked="0"/>
    </xf>
    <xf numFmtId="49" fontId="28" fillId="11" borderId="0" xfId="10" applyNumberFormat="1" applyFont="1" applyFill="1" applyBorder="1" applyAlignment="1" applyProtection="1">
      <alignment horizontal="left" vertical="top"/>
      <protection locked="0"/>
    </xf>
    <xf numFmtId="49" fontId="20" fillId="12" borderId="0" xfId="23" applyNumberFormat="1" applyFont="1" applyFill="1" applyBorder="1" applyAlignment="1" applyProtection="1">
      <alignment horizontal="left"/>
      <protection locked="0"/>
    </xf>
    <xf numFmtId="1" fontId="20" fillId="12" borderId="0" xfId="27" applyNumberFormat="1" applyFont="1" applyFill="1" applyBorder="1" applyAlignment="1" applyProtection="1">
      <alignment horizontal="center"/>
      <protection locked="0"/>
    </xf>
    <xf numFmtId="49" fontId="20" fillId="12" borderId="0" xfId="23" applyNumberFormat="1" applyFont="1" applyFill="1" applyBorder="1" applyAlignment="1" applyProtection="1">
      <alignment horizontal="center"/>
      <protection locked="0"/>
    </xf>
    <xf numFmtId="165" fontId="20" fillId="12" borderId="49" xfId="23" applyNumberFormat="1" applyFont="1" applyFill="1" applyBorder="1" applyAlignment="1" applyProtection="1">
      <alignment horizontal="center"/>
      <protection locked="0"/>
    </xf>
    <xf numFmtId="165" fontId="28" fillId="12" borderId="0" xfId="23" applyNumberFormat="1" applyFont="1" applyFill="1" applyBorder="1" applyAlignment="1" applyProtection="1">
      <alignment horizontal="center"/>
      <protection locked="0"/>
    </xf>
    <xf numFmtId="3" fontId="20" fillId="12" borderId="37" xfId="23" applyNumberFormat="1" applyFont="1" applyFill="1" applyBorder="1" applyAlignment="1" applyProtection="1">
      <alignment horizontal="right"/>
      <protection locked="0"/>
    </xf>
    <xf numFmtId="3" fontId="28" fillId="12" borderId="0" xfId="23" applyNumberFormat="1" applyFont="1" applyFill="1" applyBorder="1" applyAlignment="1" applyProtection="1">
      <alignment horizontal="right"/>
      <protection locked="0"/>
    </xf>
    <xf numFmtId="3" fontId="20" fillId="12" borderId="49" xfId="23" applyNumberFormat="1" applyFont="1" applyFill="1" applyBorder="1" applyAlignment="1" applyProtection="1">
      <alignment horizontal="right"/>
      <protection locked="0"/>
    </xf>
    <xf numFmtId="37" fontId="24" fillId="0" borderId="0" xfId="0" applyNumberFormat="1" applyFont="1" applyBorder="1" applyAlignment="1" applyProtection="1">
      <alignment horizontal="left" vertical="top" wrapText="1"/>
    </xf>
    <xf numFmtId="3" fontId="0" fillId="0" borderId="0" xfId="0" applyFill="1"/>
    <xf numFmtId="165" fontId="20" fillId="0" borderId="58" xfId="0" applyNumberFormat="1" applyFont="1" applyFill="1" applyBorder="1" applyAlignment="1"/>
    <xf numFmtId="165" fontId="20" fillId="0" borderId="59" xfId="0" applyNumberFormat="1" applyFont="1" applyFill="1" applyBorder="1" applyAlignment="1"/>
    <xf numFmtId="165" fontId="20" fillId="0" borderId="58" xfId="0" applyNumberFormat="1" applyFont="1" applyFill="1" applyBorder="1"/>
    <xf numFmtId="165" fontId="20" fillId="0" borderId="59" xfId="0" applyNumberFormat="1" applyFont="1" applyFill="1" applyBorder="1"/>
    <xf numFmtId="165" fontId="20" fillId="0" borderId="60" xfId="0" applyNumberFormat="1" applyFont="1" applyFill="1" applyBorder="1"/>
    <xf numFmtId="165" fontId="20" fillId="0" borderId="61" xfId="0" applyNumberFormat="1" applyFont="1" applyFill="1" applyBorder="1"/>
    <xf numFmtId="165" fontId="20" fillId="0" borderId="62" xfId="0" applyNumberFormat="1" applyFont="1" applyFill="1" applyBorder="1"/>
    <xf numFmtId="165" fontId="28" fillId="0" borderId="58" xfId="0" applyNumberFormat="1" applyFont="1" applyFill="1" applyBorder="1" applyAlignment="1"/>
    <xf numFmtId="165" fontId="20" fillId="0" borderId="65" xfId="0" applyNumberFormat="1" applyFont="1" applyFill="1" applyBorder="1"/>
    <xf numFmtId="165" fontId="20" fillId="0" borderId="63" xfId="0" applyNumberFormat="1" applyFont="1" applyFill="1" applyBorder="1"/>
    <xf numFmtId="165" fontId="20" fillId="0" borderId="64" xfId="0" applyNumberFormat="1" applyFont="1" applyFill="1" applyBorder="1"/>
    <xf numFmtId="165" fontId="20" fillId="0" borderId="63" xfId="0" applyNumberFormat="1" applyFont="1" applyFill="1" applyBorder="1" applyAlignment="1">
      <alignment horizontal="right"/>
    </xf>
    <xf numFmtId="165" fontId="20" fillId="0" borderId="64" xfId="0" applyNumberFormat="1" applyFont="1" applyFill="1" applyBorder="1" applyAlignment="1">
      <alignment horizontal="right"/>
    </xf>
    <xf numFmtId="165" fontId="20" fillId="0" borderId="58" xfId="0" applyNumberFormat="1" applyFont="1" applyFill="1" applyBorder="1" applyAlignment="1">
      <alignment wrapText="1"/>
    </xf>
    <xf numFmtId="165" fontId="20" fillId="6" borderId="58" xfId="0" applyNumberFormat="1" applyFont="1" applyFill="1" applyBorder="1"/>
    <xf numFmtId="165" fontId="20" fillId="6" borderId="59" xfId="0" applyNumberFormat="1" applyFont="1" applyFill="1" applyBorder="1"/>
    <xf numFmtId="165" fontId="20" fillId="6" borderId="63" xfId="0" applyNumberFormat="1" applyFont="1" applyFill="1" applyBorder="1"/>
    <xf numFmtId="165" fontId="20" fillId="6" borderId="60" xfId="0" applyNumberFormat="1" applyFont="1" applyFill="1" applyBorder="1"/>
    <xf numFmtId="165" fontId="20" fillId="6" borderId="61" xfId="0" applyNumberFormat="1" applyFont="1" applyFill="1" applyBorder="1"/>
    <xf numFmtId="3" fontId="19" fillId="0" borderId="11" xfId="0" applyFont="1" applyBorder="1" applyAlignment="1">
      <alignment horizontal="center"/>
    </xf>
    <xf numFmtId="37" fontId="24" fillId="0" borderId="0" xfId="0" applyNumberFormat="1" applyFont="1" applyBorder="1" applyAlignment="1" applyProtection="1">
      <alignment horizontal="left" vertical="top" wrapText="1"/>
    </xf>
    <xf numFmtId="168" fontId="28" fillId="0" borderId="15" xfId="0" applyNumberFormat="1" applyFont="1" applyFill="1" applyBorder="1" applyAlignment="1">
      <alignment horizontal="right"/>
    </xf>
    <xf numFmtId="165" fontId="20" fillId="6" borderId="66" xfId="0" applyNumberFormat="1" applyFont="1" applyFill="1" applyBorder="1"/>
    <xf numFmtId="165" fontId="20" fillId="6" borderId="54" xfId="0" applyNumberFormat="1" applyFont="1" applyFill="1" applyBorder="1"/>
    <xf numFmtId="168" fontId="28" fillId="6" borderId="54" xfId="0" applyNumberFormat="1" applyFont="1" applyFill="1" applyBorder="1" applyAlignment="1">
      <alignment horizontal="right"/>
    </xf>
    <xf numFmtId="165" fontId="20" fillId="6" borderId="33" xfId="0" applyNumberFormat="1" applyFont="1" applyFill="1" applyBorder="1"/>
    <xf numFmtId="3" fontId="40" fillId="0" borderId="0" xfId="0" applyFont="1" applyFill="1" applyBorder="1" applyAlignment="1"/>
    <xf numFmtId="3" fontId="20" fillId="14" borderId="0" xfId="0" applyNumberFormat="1" applyFont="1" applyFill="1"/>
    <xf numFmtId="3" fontId="20" fillId="0" borderId="58" xfId="0" applyFont="1" applyBorder="1"/>
    <xf numFmtId="3" fontId="20" fillId="0" borderId="59" xfId="0" applyFont="1" applyBorder="1"/>
    <xf numFmtId="3" fontId="28" fillId="0" borderId="58" xfId="0" applyFont="1" applyBorder="1"/>
    <xf numFmtId="3" fontId="20" fillId="6" borderId="59" xfId="0" applyFont="1" applyFill="1" applyBorder="1"/>
    <xf numFmtId="3" fontId="20" fillId="6" borderId="60" xfId="0" applyFont="1" applyFill="1" applyBorder="1"/>
    <xf numFmtId="3" fontId="20" fillId="6" borderId="58" xfId="0" applyFont="1" applyFill="1" applyBorder="1"/>
    <xf numFmtId="3" fontId="20" fillId="6" borderId="61" xfId="0" applyFont="1" applyFill="1" applyBorder="1"/>
    <xf numFmtId="3" fontId="20" fillId="6" borderId="2" xfId="0" applyFont="1" applyFill="1" applyBorder="1"/>
    <xf numFmtId="3" fontId="20" fillId="6" borderId="32" xfId="0" applyFont="1" applyFill="1" applyBorder="1"/>
    <xf numFmtId="3" fontId="20" fillId="6" borderId="58" xfId="0" applyNumberFormat="1" applyFont="1" applyFill="1" applyBorder="1"/>
    <xf numFmtId="3" fontId="20" fillId="6" borderId="61" xfId="0" applyNumberFormat="1" applyFont="1" applyFill="1" applyBorder="1"/>
    <xf numFmtId="3" fontId="20" fillId="6" borderId="7" xfId="0" applyNumberFormat="1" applyFont="1" applyFill="1" applyBorder="1"/>
    <xf numFmtId="3" fontId="20" fillId="6" borderId="33" xfId="0" applyNumberFormat="1" applyFont="1" applyFill="1" applyBorder="1"/>
    <xf numFmtId="168" fontId="28" fillId="6" borderId="7" xfId="0" applyNumberFormat="1" applyFont="1" applyFill="1" applyBorder="1"/>
    <xf numFmtId="168" fontId="28" fillId="6" borderId="33" xfId="0" applyNumberFormat="1" applyFont="1" applyFill="1" applyBorder="1"/>
    <xf numFmtId="168" fontId="28" fillId="6" borderId="8" xfId="0" applyNumberFormat="1" applyFont="1" applyFill="1" applyBorder="1"/>
    <xf numFmtId="168" fontId="28" fillId="6" borderId="35" xfId="0" applyNumberFormat="1" applyFont="1" applyFill="1" applyBorder="1"/>
    <xf numFmtId="168" fontId="42" fillId="6" borderId="38" xfId="0" applyNumberFormat="1" applyFont="1" applyFill="1" applyBorder="1"/>
    <xf numFmtId="168" fontId="42" fillId="6" borderId="41" xfId="0" applyNumberFormat="1" applyFont="1" applyFill="1" applyBorder="1"/>
    <xf numFmtId="3" fontId="47" fillId="0" borderId="0" xfId="0" applyFont="1" applyFill="1"/>
    <xf numFmtId="166" fontId="40" fillId="0" borderId="0" xfId="0" applyNumberFormat="1" applyFont="1" applyFill="1"/>
    <xf numFmtId="3" fontId="20" fillId="0" borderId="58" xfId="0" applyFont="1" applyFill="1" applyBorder="1"/>
    <xf numFmtId="3" fontId="20" fillId="0" borderId="59" xfId="0" applyFont="1" applyFill="1" applyBorder="1"/>
    <xf numFmtId="3" fontId="20" fillId="0" borderId="62" xfId="0" applyFont="1" applyFill="1" applyBorder="1"/>
    <xf numFmtId="3" fontId="20" fillId="0" borderId="2" xfId="0" applyFont="1" applyFill="1" applyBorder="1"/>
    <xf numFmtId="3" fontId="20" fillId="0" borderId="58" xfId="0" applyNumberFormat="1" applyFont="1" applyFill="1" applyBorder="1"/>
    <xf numFmtId="3" fontId="20" fillId="0" borderId="62" xfId="0" applyNumberFormat="1" applyFont="1" applyFill="1" applyBorder="1"/>
    <xf numFmtId="3" fontId="20" fillId="0" borderId="7" xfId="0" applyNumberFormat="1" applyFont="1" applyFill="1" applyBorder="1"/>
    <xf numFmtId="3" fontId="20" fillId="14" borderId="58" xfId="0" applyFont="1" applyFill="1" applyBorder="1"/>
    <xf numFmtId="3" fontId="20" fillId="14" borderId="58" xfId="0" applyNumberFormat="1" applyFont="1" applyFill="1" applyBorder="1"/>
    <xf numFmtId="3" fontId="20" fillId="14" borderId="62" xfId="0" applyNumberFormat="1" applyFont="1" applyFill="1" applyBorder="1"/>
    <xf numFmtId="3" fontId="20" fillId="14" borderId="7" xfId="0" applyFont="1" applyFill="1" applyBorder="1"/>
    <xf numFmtId="3" fontId="20" fillId="14" borderId="7" xfId="0" applyNumberFormat="1" applyFont="1" applyFill="1" applyBorder="1"/>
    <xf numFmtId="168" fontId="28" fillId="14" borderId="7" xfId="0" applyNumberFormat="1" applyFont="1" applyFill="1" applyBorder="1"/>
    <xf numFmtId="168" fontId="28" fillId="14" borderId="8" xfId="0" applyNumberFormat="1" applyFont="1" applyFill="1" applyBorder="1"/>
    <xf numFmtId="3" fontId="55" fillId="11" borderId="7" xfId="0" applyFont="1" applyFill="1" applyBorder="1"/>
    <xf numFmtId="37" fontId="27" fillId="0" borderId="0" xfId="0" applyNumberFormat="1" applyFont="1" applyAlignment="1" applyProtection="1"/>
    <xf numFmtId="3" fontId="20" fillId="0" borderId="57" xfId="0" applyFont="1" applyBorder="1"/>
    <xf numFmtId="37" fontId="20" fillId="0" borderId="57" xfId="0" applyNumberFormat="1" applyFont="1" applyBorder="1" applyAlignment="1">
      <alignment horizontal="right"/>
    </xf>
    <xf numFmtId="37" fontId="20" fillId="0" borderId="57" xfId="0" applyNumberFormat="1" applyFont="1" applyFill="1" applyBorder="1" applyAlignment="1">
      <alignment horizontal="right"/>
    </xf>
    <xf numFmtId="37" fontId="0" fillId="0" borderId="0" xfId="0" applyNumberFormat="1" applyFont="1" applyAlignment="1" applyProtection="1">
      <alignment horizontal="left"/>
    </xf>
    <xf numFmtId="37" fontId="28" fillId="0" borderId="13" xfId="0" applyNumberFormat="1" applyFont="1" applyBorder="1" applyAlignment="1" applyProtection="1">
      <alignment horizontal="center"/>
    </xf>
    <xf numFmtId="37" fontId="29" fillId="0" borderId="13" xfId="0" applyNumberFormat="1" applyFont="1" applyBorder="1" applyAlignment="1" applyProtection="1">
      <alignment horizontal="center"/>
    </xf>
    <xf numFmtId="37" fontId="29" fillId="0" borderId="18" xfId="0" applyNumberFormat="1" applyFont="1" applyBorder="1" applyAlignment="1" applyProtection="1">
      <alignment horizontal="center"/>
    </xf>
    <xf numFmtId="3" fontId="20" fillId="0" borderId="11" xfId="0" applyFont="1" applyFill="1" applyBorder="1" applyAlignment="1">
      <alignment horizontal="center"/>
    </xf>
    <xf numFmtId="37" fontId="0" fillId="0" borderId="0" xfId="0" applyNumberFormat="1" applyBorder="1" applyAlignment="1" applyProtection="1">
      <alignment vertical="top" wrapText="1"/>
    </xf>
    <xf numFmtId="37" fontId="28" fillId="0" borderId="64" xfId="0" applyNumberFormat="1" applyFont="1" applyBorder="1" applyAlignment="1" applyProtection="1">
      <alignment horizontal="center"/>
    </xf>
    <xf numFmtId="37" fontId="29" fillId="0" borderId="64" xfId="0" applyNumberFormat="1" applyFont="1" applyBorder="1" applyAlignment="1" applyProtection="1">
      <alignment horizontal="centerContinuous" wrapText="1"/>
    </xf>
    <xf numFmtId="37" fontId="29" fillId="0" borderId="67" xfId="0" applyNumberFormat="1" applyFont="1" applyBorder="1" applyAlignment="1" applyProtection="1">
      <alignment horizontal="right"/>
    </xf>
    <xf numFmtId="3" fontId="19" fillId="0" borderId="17" xfId="0" applyFont="1" applyFill="1" applyBorder="1" applyAlignment="1">
      <alignment horizontal="centerContinuous"/>
    </xf>
    <xf numFmtId="37" fontId="29" fillId="0" borderId="68" xfId="0" applyNumberFormat="1" applyFont="1" applyBorder="1" applyAlignment="1" applyProtection="1">
      <alignment horizontal="centerContinuous"/>
    </xf>
    <xf numFmtId="3" fontId="19" fillId="0" borderId="68" xfId="0" applyFont="1" applyBorder="1" applyAlignment="1">
      <alignment horizontal="centerContinuous"/>
    </xf>
    <xf numFmtId="37" fontId="48" fillId="0" borderId="0" xfId="0" quotePrefix="1" applyNumberFormat="1" applyFont="1" applyAlignment="1">
      <alignment horizontal="right"/>
    </xf>
    <xf numFmtId="37" fontId="48" fillId="0" borderId="15" xfId="0" quotePrefix="1" applyNumberFormat="1" applyFont="1" applyBorder="1" applyAlignment="1">
      <alignment horizontal="right"/>
    </xf>
    <xf numFmtId="3" fontId="20" fillId="0" borderId="0" xfId="0" applyFont="1" applyBorder="1" applyAlignment="1">
      <alignment horizontal="centerContinuous"/>
    </xf>
    <xf numFmtId="37" fontId="29" fillId="0" borderId="0" xfId="0" applyNumberFormat="1" applyFont="1" applyBorder="1" applyAlignment="1" applyProtection="1">
      <alignment horizontal="right"/>
    </xf>
    <xf numFmtId="37" fontId="29" fillId="0" borderId="18" xfId="0" applyNumberFormat="1" applyFont="1" applyBorder="1" applyAlignment="1" applyProtection="1">
      <alignment horizontal="centerContinuous" vertical="center"/>
    </xf>
    <xf numFmtId="3" fontId="19" fillId="0" borderId="13" xfId="0" applyFont="1" applyBorder="1" applyAlignment="1">
      <alignment horizontal="centerContinuous" vertical="center"/>
    </xf>
    <xf numFmtId="3" fontId="20" fillId="0" borderId="11" xfId="0" applyFont="1" applyBorder="1" applyAlignment="1">
      <alignment horizontal="centerContinuous" vertical="center"/>
    </xf>
    <xf numFmtId="10" fontId="44" fillId="14" borderId="0" xfId="7" applyNumberFormat="1" applyFont="1" applyFill="1" applyBorder="1" applyAlignment="1">
      <alignment horizontal="center"/>
    </xf>
    <xf numFmtId="3" fontId="20" fillId="0" borderId="0" xfId="0" applyFont="1" applyFill="1" applyBorder="1" applyAlignment="1">
      <alignment horizontal="right" wrapText="1"/>
    </xf>
    <xf numFmtId="168" fontId="20" fillId="0" borderId="0" xfId="7" applyNumberFormat="1" applyFont="1" applyFill="1" applyBorder="1"/>
    <xf numFmtId="2" fontId="44" fillId="0" borderId="0" xfId="7" applyNumberFormat="1" applyFont="1" applyFill="1" applyBorder="1" applyAlignment="1">
      <alignment horizontal="center"/>
    </xf>
    <xf numFmtId="169" fontId="44" fillId="0" borderId="0" xfId="7" applyNumberFormat="1" applyFont="1" applyFill="1" applyBorder="1" applyAlignment="1">
      <alignment horizontal="center"/>
    </xf>
    <xf numFmtId="170" fontId="44" fillId="0" borderId="0" xfId="7" applyNumberFormat="1" applyFont="1" applyFill="1" applyBorder="1" applyAlignment="1">
      <alignment horizontal="center"/>
    </xf>
    <xf numFmtId="10" fontId="20" fillId="0" borderId="6" xfId="7" applyNumberFormat="1" applyFont="1" applyBorder="1"/>
    <xf numFmtId="10" fontId="48" fillId="0" borderId="0" xfId="7" quotePrefix="1" applyNumberFormat="1" applyFont="1" applyBorder="1"/>
    <xf numFmtId="10" fontId="48" fillId="0" borderId="15" xfId="7" quotePrefix="1" applyNumberFormat="1" applyFont="1" applyBorder="1"/>
    <xf numFmtId="10" fontId="20" fillId="0" borderId="3" xfId="7" applyNumberFormat="1" applyFont="1" applyBorder="1"/>
    <xf numFmtId="10" fontId="20" fillId="0" borderId="16" xfId="7" applyNumberFormat="1" applyFont="1" applyBorder="1"/>
    <xf numFmtId="10" fontId="20" fillId="0" borderId="57" xfId="7" quotePrefix="1" applyNumberFormat="1" applyFont="1" applyBorder="1"/>
    <xf numFmtId="10" fontId="48" fillId="14" borderId="0" xfId="7" quotePrefix="1" applyNumberFormat="1" applyFont="1" applyFill="1" applyBorder="1" applyAlignment="1">
      <alignment horizontal="center"/>
    </xf>
    <xf numFmtId="10" fontId="20" fillId="0" borderId="15" xfId="0" applyNumberFormat="1" applyFont="1" applyBorder="1"/>
    <xf numFmtId="3" fontId="20" fillId="2" borderId="15" xfId="1" applyNumberFormat="1" applyFont="1" applyFill="1" applyBorder="1"/>
    <xf numFmtId="3" fontId="20" fillId="2" borderId="0" xfId="1" applyNumberFormat="1" applyFont="1" applyFill="1" applyBorder="1"/>
    <xf numFmtId="3" fontId="20" fillId="2" borderId="0" xfId="1" applyNumberFormat="1" applyFont="1" applyFill="1"/>
    <xf numFmtId="3" fontId="20" fillId="2" borderId="16" xfId="1" applyNumberFormat="1" applyFont="1" applyFill="1" applyBorder="1"/>
    <xf numFmtId="3" fontId="20" fillId="2" borderId="3" xfId="1" applyNumberFormat="1" applyFont="1" applyFill="1" applyBorder="1"/>
    <xf numFmtId="3" fontId="20" fillId="2" borderId="5" xfId="1" applyNumberFormat="1" applyFont="1" applyFill="1" applyBorder="1"/>
    <xf numFmtId="37" fontId="24" fillId="0" borderId="0" xfId="0" applyNumberFormat="1" applyFont="1" applyBorder="1" applyAlignment="1" applyProtection="1">
      <alignment vertical="top" wrapText="1"/>
    </xf>
    <xf numFmtId="165" fontId="20" fillId="0" borderId="2" xfId="0" applyNumberFormat="1" applyFont="1" applyFill="1" applyBorder="1"/>
    <xf numFmtId="165" fontId="20" fillId="0" borderId="0" xfId="0" applyNumberFormat="1" applyFont="1" applyFill="1" applyBorder="1"/>
    <xf numFmtId="168" fontId="28" fillId="0" borderId="0" xfId="0" applyNumberFormat="1" applyFont="1" applyFill="1" applyBorder="1" applyAlignment="1">
      <alignment horizontal="right"/>
    </xf>
    <xf numFmtId="166" fontId="42" fillId="0" borderId="0" xfId="0" applyNumberFormat="1" applyFont="1" applyFill="1" applyBorder="1" applyAlignment="1"/>
    <xf numFmtId="3" fontId="42" fillId="0" borderId="0" xfId="0" applyFont="1" applyFill="1" applyBorder="1"/>
    <xf numFmtId="37" fontId="29" fillId="16" borderId="17" xfId="0" applyNumberFormat="1" applyFont="1" applyFill="1" applyBorder="1" applyAlignment="1" applyProtection="1">
      <alignment horizontal="right"/>
    </xf>
    <xf numFmtId="3" fontId="34" fillId="16" borderId="0" xfId="0" applyFont="1" applyFill="1"/>
    <xf numFmtId="3" fontId="42" fillId="16" borderId="0" xfId="0" applyFont="1" applyFill="1"/>
    <xf numFmtId="37" fontId="37" fillId="16" borderId="13" xfId="0" applyNumberFormat="1" applyFont="1" applyFill="1" applyBorder="1" applyAlignment="1" applyProtection="1">
      <alignment horizontal="centerContinuous"/>
    </xf>
    <xf numFmtId="3" fontId="38" fillId="16" borderId="11" xfId="0" applyFont="1" applyFill="1" applyBorder="1" applyAlignment="1">
      <alignment horizontal="centerContinuous"/>
    </xf>
    <xf numFmtId="37" fontId="37" fillId="16" borderId="17" xfId="0" applyNumberFormat="1" applyFont="1" applyFill="1" applyBorder="1" applyAlignment="1" applyProtection="1">
      <alignment horizontal="center" wrapText="1"/>
    </xf>
    <xf numFmtId="37" fontId="37" fillId="16" borderId="17" xfId="0" applyNumberFormat="1" applyFont="1" applyFill="1" applyBorder="1" applyAlignment="1" applyProtection="1">
      <alignment horizontal="right"/>
    </xf>
    <xf numFmtId="3" fontId="34" fillId="16" borderId="0" xfId="0" applyNumberFormat="1" applyFont="1" applyFill="1" applyAlignment="1">
      <alignment horizontal="right"/>
    </xf>
    <xf numFmtId="3" fontId="34" fillId="16" borderId="0" xfId="0" applyNumberFormat="1" applyFont="1" applyFill="1" applyBorder="1" applyAlignment="1">
      <alignment horizontal="right"/>
    </xf>
    <xf numFmtId="3" fontId="34" fillId="16" borderId="4" xfId="0" applyNumberFormat="1" applyFont="1" applyFill="1" applyBorder="1" applyAlignment="1">
      <alignment horizontal="right"/>
    </xf>
    <xf numFmtId="3" fontId="43" fillId="16" borderId="0" xfId="0" applyFont="1" applyFill="1" applyAlignment="1">
      <alignment vertical="center"/>
    </xf>
    <xf numFmtId="3" fontId="34" fillId="16" borderId="3" xfId="0" applyNumberFormat="1" applyFont="1" applyFill="1" applyBorder="1" applyAlignment="1">
      <alignment horizontal="right"/>
    </xf>
    <xf numFmtId="3" fontId="34" fillId="16" borderId="5" xfId="0" applyNumberFormat="1" applyFont="1" applyFill="1" applyBorder="1" applyAlignment="1">
      <alignment horizontal="right"/>
    </xf>
    <xf numFmtId="3" fontId="34" fillId="16" borderId="16" xfId="0" applyFont="1" applyFill="1" applyBorder="1"/>
    <xf numFmtId="3" fontId="34" fillId="16" borderId="15" xfId="0" applyFont="1" applyFill="1" applyBorder="1"/>
    <xf numFmtId="3" fontId="32" fillId="16" borderId="69" xfId="0" applyFont="1" applyFill="1" applyBorder="1" applyAlignment="1">
      <alignment vertical="center"/>
    </xf>
    <xf numFmtId="3" fontId="45" fillId="16" borderId="16" xfId="0" applyFont="1" applyFill="1" applyBorder="1"/>
    <xf numFmtId="2" fontId="44" fillId="14" borderId="70" xfId="1" applyNumberFormat="1" applyFont="1" applyFill="1" applyBorder="1" applyAlignment="1">
      <alignment horizontal="center"/>
    </xf>
    <xf numFmtId="2" fontId="44" fillId="14" borderId="4" xfId="7" applyNumberFormat="1" applyFont="1" applyFill="1" applyBorder="1" applyAlignment="1">
      <alignment horizontal="center"/>
    </xf>
    <xf numFmtId="2" fontId="44" fillId="14" borderId="4" xfId="1" applyNumberFormat="1" applyFont="1" applyFill="1" applyBorder="1" applyAlignment="1">
      <alignment horizontal="center"/>
    </xf>
    <xf numFmtId="2" fontId="44" fillId="14" borderId="5" xfId="1" applyNumberFormat="1" applyFont="1" applyFill="1" applyBorder="1" applyAlignment="1">
      <alignment horizontal="center"/>
    </xf>
    <xf numFmtId="172" fontId="20" fillId="0" borderId="0" xfId="7" applyNumberFormat="1" applyFont="1" applyBorder="1" applyAlignment="1">
      <alignment horizontal="right"/>
    </xf>
    <xf numFmtId="169" fontId="44" fillId="14" borderId="0" xfId="7" applyNumberFormat="1" applyFont="1" applyFill="1" applyBorder="1" applyAlignment="1">
      <alignment horizontal="center"/>
    </xf>
    <xf numFmtId="2" fontId="44" fillId="14" borderId="0" xfId="7" applyNumberFormat="1" applyFont="1" applyFill="1" applyBorder="1" applyAlignment="1">
      <alignment horizontal="center"/>
    </xf>
    <xf numFmtId="0" fontId="50" fillId="9" borderId="47" xfId="23" applyNumberFormat="1" applyFont="1" applyFill="1" applyBorder="1" applyAlignment="1" applyProtection="1">
      <alignment horizontal="centerContinuous"/>
    </xf>
    <xf numFmtId="0" fontId="50" fillId="5" borderId="44" xfId="23" applyNumberFormat="1" applyFont="1" applyFill="1" applyBorder="1" applyAlignment="1" applyProtection="1">
      <alignment horizontal="centerContinuous"/>
    </xf>
    <xf numFmtId="3" fontId="42" fillId="0" borderId="7" xfId="0" applyFont="1" applyFill="1" applyBorder="1"/>
    <xf numFmtId="168" fontId="28" fillId="0" borderId="8" xfId="0" applyNumberFormat="1" applyFont="1" applyFill="1" applyBorder="1"/>
    <xf numFmtId="168" fontId="28" fillId="0" borderId="7" xfId="0" applyNumberFormat="1" applyFont="1" applyFill="1" applyBorder="1"/>
    <xf numFmtId="3" fontId="20" fillId="0" borderId="7" xfId="0" applyFont="1" applyFill="1" applyBorder="1"/>
    <xf numFmtId="3" fontId="50" fillId="5" borderId="50" xfId="23" applyNumberFormat="1" applyFont="1" applyFill="1" applyBorder="1" applyAlignment="1" applyProtection="1">
      <alignment horizontal="right"/>
    </xf>
    <xf numFmtId="3" fontId="45" fillId="9" borderId="37" xfId="23" applyNumberFormat="1" applyFont="1" applyFill="1" applyBorder="1" applyAlignment="1" applyProtection="1">
      <alignment horizontal="right"/>
    </xf>
    <xf numFmtId="3" fontId="45" fillId="9" borderId="15" xfId="23" applyNumberFormat="1" applyFont="1" applyFill="1" applyBorder="1" applyAlignment="1" applyProtection="1">
      <alignment horizontal="right"/>
    </xf>
    <xf numFmtId="3" fontId="50" fillId="5" borderId="37" xfId="23" applyNumberFormat="1" applyFont="1" applyFill="1" applyBorder="1" applyAlignment="1" applyProtection="1">
      <alignment horizontal="right"/>
    </xf>
    <xf numFmtId="3" fontId="50" fillId="5" borderId="15" xfId="23" applyNumberFormat="1" applyFont="1" applyFill="1" applyBorder="1" applyAlignment="1" applyProtection="1">
      <alignment horizontal="right"/>
    </xf>
    <xf numFmtId="3" fontId="45" fillId="9" borderId="0" xfId="23" applyNumberFormat="1" applyFont="1" applyFill="1" applyBorder="1" applyAlignment="1" applyProtection="1">
      <alignment horizontal="right"/>
    </xf>
    <xf numFmtId="3" fontId="50" fillId="5" borderId="52" xfId="23" applyNumberFormat="1" applyFont="1" applyFill="1" applyBorder="1" applyAlignment="1" applyProtection="1">
      <alignment horizontal="right"/>
    </xf>
    <xf numFmtId="3" fontId="45" fillId="9" borderId="51" xfId="23" applyNumberFormat="1" applyFont="1" applyFill="1" applyBorder="1" applyAlignment="1" applyProtection="1">
      <alignment horizontal="right"/>
    </xf>
    <xf numFmtId="165" fontId="20" fillId="8" borderId="49" xfId="23" applyNumberFormat="1" applyFont="1" applyFill="1" applyBorder="1" applyAlignment="1" applyProtection="1">
      <alignment horizontal="center"/>
      <protection locked="0"/>
    </xf>
    <xf numFmtId="3" fontId="20" fillId="8" borderId="37" xfId="23" applyNumberFormat="1" applyFont="1" applyFill="1" applyBorder="1" applyAlignment="1" applyProtection="1">
      <alignment horizontal="right"/>
      <protection locked="0"/>
    </xf>
    <xf numFmtId="3" fontId="28" fillId="0" borderId="15" xfId="23" applyNumberFormat="1" applyFont="1" applyFill="1" applyBorder="1" applyAlignment="1" applyProtection="1">
      <alignment horizontal="right"/>
      <protection locked="0"/>
    </xf>
    <xf numFmtId="49" fontId="20" fillId="13" borderId="0" xfId="23" applyNumberFormat="1" applyFont="1" applyFill="1" applyBorder="1" applyAlignment="1" applyProtection="1">
      <alignment horizontal="center"/>
      <protection locked="0"/>
    </xf>
    <xf numFmtId="49" fontId="20" fillId="13" borderId="0" xfId="23" applyNumberFormat="1" applyFont="1" applyFill="1" applyBorder="1" applyAlignment="1" applyProtection="1">
      <alignment horizontal="left"/>
      <protection locked="0"/>
    </xf>
    <xf numFmtId="49" fontId="20" fillId="13" borderId="0" xfId="23" applyNumberFormat="1" applyFont="1" applyFill="1" applyBorder="1" applyAlignment="1" applyProtection="1">
      <protection locked="0"/>
    </xf>
    <xf numFmtId="49" fontId="20" fillId="13" borderId="0" xfId="24" applyNumberFormat="1" applyFont="1" applyFill="1" applyBorder="1" applyAlignment="1" applyProtection="1">
      <alignment horizontal="left"/>
      <protection locked="0"/>
    </xf>
    <xf numFmtId="3" fontId="20" fillId="13" borderId="0" xfId="5" applyFont="1" applyFill="1" applyBorder="1" applyAlignment="1" applyProtection="1">
      <protection locked="0"/>
    </xf>
    <xf numFmtId="49" fontId="53" fillId="15" borderId="0" xfId="30" applyNumberFormat="1" applyFont="1" applyFill="1" applyBorder="1" applyAlignment="1" applyProtection="1">
      <alignment horizontal="left"/>
      <protection locked="0"/>
    </xf>
    <xf numFmtId="49" fontId="53" fillId="13" borderId="0" xfId="24" applyNumberFormat="1" applyFont="1" applyFill="1" applyBorder="1" applyAlignment="1" applyProtection="1">
      <alignment horizontal="left"/>
      <protection locked="0"/>
    </xf>
    <xf numFmtId="49" fontId="53" fillId="13" borderId="0" xfId="1401" applyNumberFormat="1" applyFont="1" applyFill="1" applyBorder="1" applyAlignment="1" applyProtection="1">
      <alignment horizontal="left"/>
      <protection locked="0"/>
    </xf>
    <xf numFmtId="3" fontId="53" fillId="13" borderId="0" xfId="5" applyFont="1" applyFill="1" applyBorder="1" applyAlignment="1" applyProtection="1">
      <protection locked="0"/>
    </xf>
    <xf numFmtId="49" fontId="54" fillId="15" borderId="0" xfId="30" applyNumberFormat="1" applyFont="1" applyFill="1" applyBorder="1" applyAlignment="1" applyProtection="1">
      <alignment horizontal="left"/>
      <protection locked="0"/>
    </xf>
    <xf numFmtId="1" fontId="20" fillId="13" borderId="0" xfId="1401" applyNumberFormat="1" applyFont="1" applyFill="1" applyBorder="1" applyAlignment="1" applyProtection="1">
      <alignment horizontal="center"/>
      <protection locked="0"/>
    </xf>
    <xf numFmtId="1" fontId="28" fillId="13" borderId="0" xfId="24" applyNumberFormat="1" applyFont="1" applyFill="1" applyBorder="1" applyAlignment="1" applyProtection="1">
      <alignment horizontal="center"/>
      <protection locked="0"/>
    </xf>
    <xf numFmtId="49" fontId="20" fillId="13" borderId="0" xfId="5552" applyNumberFormat="1" applyFont="1" applyFill="1" applyBorder="1" applyAlignment="1" applyProtection="1">
      <alignment horizontal="center"/>
      <protection locked="0"/>
    </xf>
    <xf numFmtId="49" fontId="28" fillId="13" borderId="0" xfId="24" applyNumberFormat="1" applyFont="1" applyFill="1" applyBorder="1" applyAlignment="1" applyProtection="1">
      <alignment horizontal="left"/>
      <protection locked="0"/>
    </xf>
    <xf numFmtId="49" fontId="28" fillId="13" borderId="0" xfId="5551" applyNumberFormat="1" applyFont="1" applyFill="1" applyBorder="1" applyAlignment="1" applyProtection="1">
      <alignment horizontal="left"/>
      <protection locked="0"/>
    </xf>
    <xf numFmtId="1" fontId="20" fillId="13" borderId="0" xfId="24" applyNumberFormat="1" applyFont="1" applyFill="1" applyBorder="1" applyAlignment="1" applyProtection="1">
      <alignment horizontal="center"/>
      <protection locked="0"/>
    </xf>
    <xf numFmtId="3" fontId="20" fillId="14" borderId="37" xfId="23" applyNumberFormat="1" applyFont="1" applyFill="1" applyBorder="1" applyAlignment="1" applyProtection="1">
      <alignment horizontal="right"/>
      <protection locked="0"/>
    </xf>
    <xf numFmtId="3" fontId="20" fillId="8" borderId="15" xfId="23" applyNumberFormat="1" applyFont="1" applyFill="1" applyBorder="1" applyAlignment="1" applyProtection="1">
      <alignment horizontal="right"/>
      <protection locked="0"/>
    </xf>
    <xf numFmtId="3" fontId="28" fillId="0" borderId="37" xfId="23" applyNumberFormat="1" applyFont="1" applyFill="1" applyBorder="1" applyAlignment="1" applyProtection="1">
      <alignment horizontal="right"/>
      <protection locked="0"/>
    </xf>
    <xf numFmtId="49" fontId="20" fillId="13" borderId="15" xfId="23" applyNumberFormat="1" applyFont="1" applyFill="1" applyBorder="1" applyAlignment="1" applyProtection="1">
      <alignment horizontal="center"/>
      <protection locked="0"/>
    </xf>
    <xf numFmtId="168" fontId="28" fillId="14" borderId="7" xfId="0" applyNumberFormat="1" applyFont="1" applyFill="1" applyBorder="1" applyAlignment="1">
      <alignment horizontal="right"/>
    </xf>
    <xf numFmtId="168" fontId="28" fillId="14" borderId="0" xfId="0" applyNumberFormat="1" applyFont="1" applyFill="1" applyAlignment="1">
      <alignment horizontal="right"/>
    </xf>
    <xf numFmtId="168" fontId="28" fillId="0" borderId="0" xfId="0" applyNumberFormat="1" applyFont="1" applyFill="1"/>
    <xf numFmtId="168" fontId="42" fillId="0" borderId="38" xfId="0" applyNumberFormat="1" applyFont="1" applyFill="1" applyBorder="1"/>
    <xf numFmtId="168" fontId="42" fillId="0" borderId="57" xfId="0" applyNumberFormat="1" applyFont="1" applyFill="1" applyBorder="1"/>
    <xf numFmtId="3" fontId="31" fillId="0" borderId="15" xfId="0" applyNumberFormat="1" applyFont="1" applyFill="1" applyBorder="1" applyAlignment="1">
      <alignment vertical="top"/>
    </xf>
    <xf numFmtId="3" fontId="41" fillId="0" borderId="15" xfId="0" applyNumberFormat="1" applyFont="1" applyFill="1" applyBorder="1" applyAlignment="1">
      <alignment horizontal="right"/>
    </xf>
    <xf numFmtId="168" fontId="42" fillId="14" borderId="38" xfId="0" applyNumberFormat="1" applyFont="1" applyFill="1" applyBorder="1"/>
    <xf numFmtId="168" fontId="42" fillId="14" borderId="57" xfId="0" applyNumberFormat="1" applyFont="1" applyFill="1" applyBorder="1"/>
    <xf numFmtId="165" fontId="20" fillId="0" borderId="66" xfId="0" applyNumberFormat="1" applyFont="1" applyFill="1" applyBorder="1"/>
    <xf numFmtId="165" fontId="20" fillId="0" borderId="54" xfId="0" applyNumberFormat="1" applyFont="1" applyFill="1" applyBorder="1"/>
    <xf numFmtId="168" fontId="28" fillId="0" borderId="54" xfId="0" applyNumberFormat="1" applyFont="1" applyFill="1" applyBorder="1" applyAlignment="1">
      <alignment horizontal="right"/>
    </xf>
    <xf numFmtId="3" fontId="28" fillId="0" borderId="58" xfId="0" applyFont="1" applyFill="1" applyBorder="1"/>
    <xf numFmtId="3" fontId="28" fillId="0" borderId="2" xfId="0" applyFont="1" applyFill="1" applyBorder="1"/>
    <xf numFmtId="3" fontId="28" fillId="14" borderId="58" xfId="0" applyFont="1" applyFill="1" applyBorder="1"/>
    <xf numFmtId="3" fontId="28" fillId="14" borderId="2" xfId="0" applyFont="1" applyFill="1" applyBorder="1"/>
    <xf numFmtId="168" fontId="28" fillId="14" borderId="0" xfId="0" applyNumberFormat="1" applyFont="1" applyFill="1"/>
    <xf numFmtId="3" fontId="42" fillId="14" borderId="7" xfId="0" applyFont="1" applyFill="1" applyBorder="1"/>
    <xf numFmtId="3" fontId="40" fillId="0" borderId="57" xfId="0" applyFont="1" applyFill="1" applyBorder="1"/>
    <xf numFmtId="168" fontId="20" fillId="0" borderId="5" xfId="7" applyNumberFormat="1" applyFont="1" applyBorder="1" applyAlignment="1">
      <alignment horizontal="right"/>
    </xf>
    <xf numFmtId="165" fontId="28" fillId="0" borderId="15" xfId="23" applyNumberFormat="1" applyFont="1" applyFill="1" applyBorder="1" applyAlignment="1" applyProtection="1">
      <alignment horizontal="center"/>
      <protection locked="0"/>
    </xf>
    <xf numFmtId="3" fontId="41" fillId="0" borderId="37" xfId="0" applyNumberFormat="1" applyFont="1" applyFill="1" applyBorder="1" applyAlignment="1">
      <alignment vertical="top"/>
    </xf>
    <xf numFmtId="3" fontId="31" fillId="0" borderId="37" xfId="0" applyNumberFormat="1" applyFont="1" applyFill="1" applyBorder="1" applyAlignment="1">
      <alignment vertical="top"/>
    </xf>
    <xf numFmtId="3" fontId="28" fillId="11" borderId="37" xfId="23" applyNumberFormat="1" applyFont="1" applyFill="1" applyBorder="1" applyAlignment="1" applyProtection="1">
      <alignment horizontal="right"/>
      <protection locked="0"/>
    </xf>
    <xf numFmtId="49" fontId="54" fillId="13" borderId="0" xfId="24" applyNumberFormat="1" applyFont="1" applyFill="1" applyBorder="1" applyAlignment="1" applyProtection="1">
      <alignment horizontal="left"/>
      <protection locked="0"/>
    </xf>
    <xf numFmtId="3" fontId="20" fillId="14" borderId="15" xfId="23" applyNumberFormat="1" applyFont="1" applyFill="1" applyBorder="1" applyAlignment="1" applyProtection="1">
      <alignment horizontal="right"/>
      <protection locked="0"/>
    </xf>
    <xf numFmtId="3" fontId="28" fillId="0" borderId="37" xfId="23" applyNumberFormat="1" applyFont="1" applyFill="1" applyBorder="1" applyAlignment="1" applyProtection="1">
      <alignment horizontal="right" vertical="center"/>
      <protection locked="0"/>
    </xf>
    <xf numFmtId="49" fontId="20" fillId="2" borderId="0" xfId="23" applyNumberFormat="1" applyFont="1" applyFill="1" applyBorder="1" applyAlignment="1" applyProtection="1">
      <alignment horizontal="center"/>
      <protection locked="0"/>
    </xf>
    <xf numFmtId="49" fontId="20" fillId="2" borderId="0" xfId="23" applyNumberFormat="1" applyFont="1" applyFill="1" applyBorder="1" applyAlignment="1" applyProtection="1">
      <alignment horizontal="left"/>
      <protection locked="0"/>
    </xf>
    <xf numFmtId="49" fontId="53" fillId="2" borderId="0" xfId="24" applyNumberFormat="1" applyFont="1" applyFill="1" applyBorder="1" applyAlignment="1" applyProtection="1">
      <alignment horizontal="left"/>
      <protection locked="0"/>
    </xf>
    <xf numFmtId="1" fontId="20" fillId="2" borderId="0" xfId="24" applyNumberFormat="1" applyFont="1" applyFill="1" applyBorder="1" applyAlignment="1" applyProtection="1">
      <alignment horizontal="center"/>
      <protection locked="0"/>
    </xf>
    <xf numFmtId="49" fontId="20" fillId="2" borderId="0" xfId="24" applyNumberFormat="1" applyFont="1" applyFill="1" applyBorder="1" applyAlignment="1" applyProtection="1">
      <alignment horizontal="left"/>
      <protection locked="0"/>
    </xf>
    <xf numFmtId="49" fontId="54" fillId="2" borderId="0" xfId="24" applyNumberFormat="1" applyFont="1" applyFill="1" applyBorder="1" applyAlignment="1" applyProtection="1">
      <alignment horizontal="left"/>
      <protection locked="0"/>
    </xf>
    <xf numFmtId="1" fontId="42" fillId="2" borderId="0" xfId="24" applyNumberFormat="1" applyFont="1" applyFill="1" applyBorder="1" applyAlignment="1" applyProtection="1">
      <alignment horizontal="center"/>
      <protection locked="0"/>
    </xf>
    <xf numFmtId="1" fontId="28" fillId="2" borderId="0" xfId="24" applyNumberFormat="1" applyFont="1" applyFill="1" applyBorder="1" applyAlignment="1" applyProtection="1">
      <alignment horizontal="center"/>
      <protection locked="0"/>
    </xf>
    <xf numFmtId="3" fontId="42" fillId="0" borderId="37" xfId="23" applyNumberFormat="1" applyFont="1" applyFill="1" applyBorder="1" applyAlignment="1" applyProtection="1">
      <alignment horizontal="right"/>
      <protection locked="0"/>
    </xf>
    <xf numFmtId="49" fontId="20" fillId="40" borderId="0" xfId="23" applyNumberFormat="1" applyFont="1" applyFill="1" applyBorder="1" applyAlignment="1" applyProtection="1">
      <alignment horizontal="center"/>
      <protection locked="0"/>
    </xf>
    <xf numFmtId="164" fontId="20" fillId="2" borderId="0" xfId="24" applyFont="1" applyFill="1" applyBorder="1" applyAlignment="1" applyProtection="1">
      <protection locked="0"/>
    </xf>
    <xf numFmtId="3" fontId="42" fillId="0" borderId="15" xfId="23" applyNumberFormat="1" applyFont="1" applyFill="1" applyBorder="1" applyAlignment="1" applyProtection="1">
      <alignment horizontal="right"/>
      <protection locked="0"/>
    </xf>
    <xf numFmtId="49" fontId="20" fillId="3" borderId="0" xfId="23" applyNumberFormat="1" applyFont="1" applyFill="1" applyBorder="1" applyAlignment="1" applyProtection="1">
      <alignment horizontal="center"/>
      <protection locked="0"/>
    </xf>
    <xf numFmtId="49" fontId="20" fillId="3" borderId="0" xfId="23" applyNumberFormat="1" applyFont="1" applyFill="1" applyBorder="1" applyAlignment="1" applyProtection="1">
      <alignment horizontal="left"/>
      <protection locked="0"/>
    </xf>
    <xf numFmtId="49" fontId="53" fillId="3" borderId="0" xfId="24" applyNumberFormat="1" applyFont="1" applyFill="1" applyBorder="1" applyAlignment="1" applyProtection="1">
      <alignment horizontal="left"/>
      <protection locked="0"/>
    </xf>
    <xf numFmtId="49" fontId="20" fillId="3" borderId="0" xfId="24" applyNumberFormat="1" applyFont="1" applyFill="1" applyBorder="1" applyAlignment="1" applyProtection="1">
      <alignment horizontal="left"/>
      <protection locked="0"/>
    </xf>
    <xf numFmtId="165" fontId="20" fillId="0" borderId="49" xfId="23" applyNumberFormat="1" applyFont="1" applyFill="1" applyBorder="1" applyAlignment="1" applyProtection="1">
      <alignment horizontal="center"/>
      <protection locked="0"/>
    </xf>
    <xf numFmtId="49" fontId="20" fillId="41" borderId="0" xfId="23" applyNumberFormat="1" applyFont="1" applyFill="1" applyBorder="1" applyAlignment="1" applyProtection="1">
      <alignment horizontal="left"/>
      <protection locked="0"/>
    </xf>
    <xf numFmtId="49" fontId="53" fillId="41" borderId="0" xfId="24" applyNumberFormat="1" applyFont="1" applyFill="1" applyBorder="1" applyAlignment="1" applyProtection="1">
      <alignment horizontal="left"/>
      <protection locked="0"/>
    </xf>
    <xf numFmtId="49" fontId="20" fillId="41" borderId="0" xfId="23" applyNumberFormat="1" applyFont="1" applyFill="1" applyBorder="1" applyAlignment="1" applyProtection="1">
      <alignment horizontal="center"/>
      <protection locked="0"/>
    </xf>
    <xf numFmtId="1" fontId="20" fillId="41" borderId="0" xfId="24" applyNumberFormat="1" applyFont="1" applyFill="1" applyBorder="1" applyAlignment="1" applyProtection="1">
      <alignment horizontal="center"/>
      <protection locked="0"/>
    </xf>
    <xf numFmtId="3" fontId="81" fillId="0" borderId="37" xfId="0" applyNumberFormat="1" applyFont="1" applyFill="1" applyBorder="1"/>
    <xf numFmtId="49" fontId="20" fillId="41" borderId="0" xfId="24" applyNumberFormat="1" applyFont="1" applyFill="1" applyBorder="1" applyAlignment="1" applyProtection="1">
      <alignment horizontal="left"/>
      <protection locked="0"/>
    </xf>
    <xf numFmtId="49" fontId="54" fillId="41" borderId="0" xfId="24" applyNumberFormat="1" applyFont="1" applyFill="1" applyBorder="1" applyAlignment="1" applyProtection="1">
      <alignment horizontal="left"/>
      <protection locked="0"/>
    </xf>
    <xf numFmtId="1" fontId="42" fillId="41" borderId="0" xfId="24" applyNumberFormat="1" applyFont="1" applyFill="1" applyBorder="1" applyAlignment="1" applyProtection="1">
      <alignment horizontal="center"/>
      <protection locked="0"/>
    </xf>
    <xf numFmtId="1" fontId="20" fillId="41" borderId="0" xfId="1401" applyNumberFormat="1" applyFont="1" applyFill="1" applyBorder="1" applyAlignment="1" applyProtection="1">
      <alignment horizontal="center"/>
      <protection locked="0"/>
    </xf>
    <xf numFmtId="49" fontId="20" fillId="41" borderId="0" xfId="23" applyNumberFormat="1" applyFont="1" applyFill="1" applyBorder="1" applyAlignment="1" applyProtection="1">
      <protection locked="0"/>
    </xf>
    <xf numFmtId="1" fontId="20" fillId="42" borderId="0" xfId="26022" applyNumberFormat="1" applyFont="1" applyFill="1" applyBorder="1" applyAlignment="1" applyProtection="1">
      <alignment horizontal="center"/>
      <protection locked="0"/>
    </xf>
    <xf numFmtId="49" fontId="20" fillId="13" borderId="15" xfId="26023" applyNumberFormat="1" applyFont="1" applyFill="1" applyBorder="1" applyAlignment="1" applyProtection="1">
      <alignment horizontal="center"/>
      <protection locked="0"/>
    </xf>
    <xf numFmtId="49" fontId="20" fillId="13" borderId="0" xfId="26023" applyNumberFormat="1" applyFont="1" applyFill="1" applyBorder="1" applyAlignment="1" applyProtection="1">
      <alignment horizontal="left"/>
      <protection locked="0"/>
    </xf>
    <xf numFmtId="1" fontId="20" fillId="13" borderId="0" xfId="26023" applyNumberFormat="1" applyFont="1" applyFill="1" applyBorder="1" applyAlignment="1" applyProtection="1">
      <alignment horizontal="center"/>
      <protection locked="0"/>
    </xf>
    <xf numFmtId="49" fontId="20" fillId="13" borderId="15" xfId="5" applyNumberFormat="1" applyFont="1" applyFill="1" applyBorder="1" applyAlignment="1" applyProtection="1">
      <alignment horizontal="center"/>
      <protection locked="0"/>
    </xf>
    <xf numFmtId="49" fontId="20" fillId="15" borderId="0" xfId="30" applyNumberFormat="1" applyFont="1" applyFill="1" applyBorder="1" applyAlignment="1" applyProtection="1">
      <alignment horizontal="left"/>
      <protection locked="0"/>
    </xf>
    <xf numFmtId="1" fontId="20" fillId="13" borderId="0" xfId="5" applyNumberFormat="1" applyFont="1" applyFill="1" applyBorder="1" applyAlignment="1" applyProtection="1">
      <alignment horizontal="center"/>
      <protection locked="0"/>
    </xf>
    <xf numFmtId="49" fontId="20" fillId="13" borderId="0" xfId="30" applyNumberFormat="1" applyFont="1" applyFill="1" applyBorder="1" applyAlignment="1" applyProtection="1">
      <alignment horizontal="left"/>
      <protection locked="0"/>
    </xf>
    <xf numFmtId="49" fontId="20" fillId="13" borderId="0" xfId="26023" applyNumberFormat="1" applyFont="1" applyFill="1" applyBorder="1" applyAlignment="1" applyProtection="1">
      <alignment horizontal="center"/>
      <protection locked="0"/>
    </xf>
    <xf numFmtId="49" fontId="20" fillId="13" borderId="0" xfId="5" applyNumberFormat="1" applyFont="1" applyFill="1" applyBorder="1" applyAlignment="1" applyProtection="1">
      <alignment horizontal="center"/>
      <protection locked="0"/>
    </xf>
    <xf numFmtId="49" fontId="20" fillId="14" borderId="0" xfId="26023" applyNumberFormat="1" applyFont="1" applyFill="1" applyBorder="1" applyAlignment="1" applyProtection="1">
      <alignment horizontal="left"/>
      <protection locked="0"/>
    </xf>
    <xf numFmtId="49" fontId="20" fillId="3" borderId="15" xfId="23" applyNumberFormat="1" applyFont="1" applyFill="1" applyBorder="1" applyAlignment="1" applyProtection="1">
      <alignment horizontal="center"/>
      <protection locked="0"/>
    </xf>
    <xf numFmtId="49" fontId="82" fillId="3" borderId="0" xfId="23" applyNumberFormat="1" applyFont="1" applyFill="1" applyBorder="1" applyAlignment="1" applyProtection="1">
      <alignment horizontal="left"/>
      <protection locked="0"/>
    </xf>
    <xf numFmtId="49" fontId="53" fillId="3" borderId="0" xfId="30" applyNumberFormat="1" applyFont="1" applyFill="1" applyBorder="1" applyAlignment="1" applyProtection="1">
      <alignment horizontal="left"/>
      <protection locked="0"/>
    </xf>
    <xf numFmtId="49" fontId="20" fillId="43" borderId="15" xfId="23" applyNumberFormat="1" applyFont="1" applyFill="1" applyBorder="1" applyAlignment="1" applyProtection="1">
      <alignment horizontal="center"/>
      <protection locked="0"/>
    </xf>
    <xf numFmtId="49" fontId="20" fillId="43" borderId="0" xfId="23" applyNumberFormat="1" applyFont="1" applyFill="1" applyBorder="1" applyAlignment="1" applyProtection="1">
      <alignment horizontal="left"/>
      <protection locked="0"/>
    </xf>
    <xf numFmtId="49" fontId="28" fillId="43" borderId="0" xfId="30" applyNumberFormat="1" applyFont="1" applyFill="1" applyBorder="1" applyAlignment="1" applyProtection="1">
      <alignment horizontal="left"/>
      <protection locked="0"/>
    </xf>
    <xf numFmtId="1" fontId="20" fillId="43" borderId="0" xfId="26023" applyNumberFormat="1" applyFont="1" applyFill="1" applyBorder="1" applyAlignment="1" applyProtection="1">
      <alignment horizontal="center"/>
      <protection locked="0"/>
    </xf>
    <xf numFmtId="1" fontId="20" fillId="43" borderId="0" xfId="1401" applyNumberFormat="1" applyFont="1" applyFill="1" applyBorder="1" applyAlignment="1" applyProtection="1">
      <alignment horizontal="center"/>
      <protection locked="0"/>
    </xf>
    <xf numFmtId="49" fontId="20" fillId="43" borderId="0" xfId="30" applyNumberFormat="1" applyFont="1" applyFill="1" applyBorder="1" applyAlignment="1" applyProtection="1">
      <alignment horizontal="left"/>
      <protection locked="0"/>
    </xf>
    <xf numFmtId="49" fontId="42" fillId="43" borderId="0" xfId="30" applyNumberFormat="1" applyFont="1" applyFill="1" applyBorder="1" applyAlignment="1" applyProtection="1">
      <alignment horizontal="left"/>
      <protection locked="0"/>
    </xf>
    <xf numFmtId="1" fontId="20" fillId="43" borderId="0" xfId="24" applyNumberFormat="1" applyFont="1" applyFill="1" applyBorder="1" applyAlignment="1" applyProtection="1">
      <alignment horizontal="center"/>
      <protection locked="0"/>
    </xf>
    <xf numFmtId="49" fontId="20" fillId="43" borderId="0" xfId="23" applyNumberFormat="1" applyFont="1" applyFill="1" applyBorder="1" applyAlignment="1" applyProtection="1">
      <alignment horizontal="center"/>
      <protection locked="0"/>
    </xf>
    <xf numFmtId="49" fontId="20" fillId="2" borderId="0" xfId="23" applyNumberFormat="1" applyFont="1" applyFill="1" applyBorder="1" applyProtection="1">
      <protection locked="0"/>
    </xf>
    <xf numFmtId="49" fontId="54" fillId="2" borderId="0" xfId="30" applyNumberFormat="1" applyFont="1" applyFill="1" applyBorder="1" applyAlignment="1" applyProtection="1">
      <alignment horizontal="left"/>
      <protection locked="0"/>
    </xf>
    <xf numFmtId="49" fontId="20" fillId="2" borderId="15" xfId="23" applyNumberFormat="1" applyFont="1" applyFill="1" applyBorder="1" applyAlignment="1" applyProtection="1">
      <alignment horizontal="center"/>
      <protection locked="0"/>
    </xf>
    <xf numFmtId="49" fontId="20" fillId="44" borderId="15" xfId="23" applyNumberFormat="1" applyFont="1" applyFill="1" applyBorder="1" applyAlignment="1" applyProtection="1">
      <alignment horizontal="center"/>
      <protection locked="0"/>
    </xf>
    <xf numFmtId="49" fontId="20" fillId="44" borderId="0" xfId="23" applyNumberFormat="1" applyFont="1" applyFill="1" applyBorder="1" applyAlignment="1" applyProtection="1">
      <alignment horizontal="left"/>
      <protection locked="0"/>
    </xf>
    <xf numFmtId="49" fontId="28" fillId="44" borderId="0" xfId="30" applyNumberFormat="1" applyFont="1" applyFill="1" applyBorder="1" applyAlignment="1" applyProtection="1">
      <alignment horizontal="left"/>
      <protection locked="0"/>
    </xf>
    <xf numFmtId="1" fontId="20" fillId="44" borderId="0" xfId="30" applyNumberFormat="1" applyFont="1" applyFill="1" applyBorder="1" applyAlignment="1" applyProtection="1">
      <alignment horizontal="center"/>
      <protection locked="0"/>
    </xf>
    <xf numFmtId="1" fontId="20" fillId="44" borderId="0" xfId="24" applyNumberFormat="1" applyFont="1" applyFill="1" applyBorder="1" applyAlignment="1" applyProtection="1">
      <alignment horizontal="center"/>
      <protection locked="0"/>
    </xf>
    <xf numFmtId="165" fontId="20" fillId="0" borderId="0" xfId="1" applyNumberFormat="1" applyFont="1" applyAlignment="1">
      <alignment horizontal="center"/>
    </xf>
    <xf numFmtId="165" fontId="20" fillId="0" borderId="37" xfId="1" applyNumberFormat="1" applyFont="1" applyBorder="1" applyAlignment="1">
      <alignment horizontal="center"/>
    </xf>
    <xf numFmtId="49" fontId="20" fillId="44" borderId="0" xfId="30" applyNumberFormat="1" applyFont="1" applyFill="1" applyBorder="1" applyAlignment="1" applyProtection="1">
      <alignment horizontal="left"/>
      <protection locked="0"/>
    </xf>
    <xf numFmtId="49" fontId="42" fillId="44" borderId="0" xfId="30" applyNumberFormat="1" applyFont="1" applyFill="1" applyBorder="1" applyAlignment="1" applyProtection="1">
      <alignment horizontal="left"/>
      <protection locked="0"/>
    </xf>
    <xf numFmtId="49" fontId="28" fillId="44" borderId="0" xfId="26023" applyNumberFormat="1" applyFont="1" applyFill="1" applyBorder="1" applyAlignment="1" applyProtection="1">
      <alignment horizontal="left"/>
      <protection locked="0"/>
    </xf>
    <xf numFmtId="1" fontId="20" fillId="44" borderId="0" xfId="26023" applyNumberFormat="1" applyFont="1" applyFill="1" applyBorder="1" applyAlignment="1" applyProtection="1">
      <alignment horizontal="center"/>
      <protection locked="0"/>
    </xf>
    <xf numFmtId="1" fontId="20" fillId="44" borderId="0" xfId="1401" applyNumberFormat="1" applyFont="1" applyFill="1" applyBorder="1" applyAlignment="1" applyProtection="1">
      <alignment horizontal="center"/>
      <protection locked="0"/>
    </xf>
    <xf numFmtId="49" fontId="20" fillId="44" borderId="0" xfId="23" applyNumberFormat="1" applyFont="1" applyFill="1" applyBorder="1" applyAlignment="1" applyProtection="1">
      <alignment horizontal="center"/>
      <protection locked="0"/>
    </xf>
    <xf numFmtId="165" fontId="28" fillId="0" borderId="15" xfId="1" applyNumberFormat="1" applyFont="1" applyFill="1" applyBorder="1" applyAlignment="1" applyProtection="1">
      <alignment horizontal="center"/>
      <protection locked="0"/>
    </xf>
    <xf numFmtId="165" fontId="28" fillId="0" borderId="37" xfId="1" applyNumberFormat="1" applyFont="1" applyFill="1" applyBorder="1" applyAlignment="1" applyProtection="1">
      <alignment horizontal="center"/>
      <protection locked="0"/>
    </xf>
    <xf numFmtId="0" fontId="20" fillId="8" borderId="15" xfId="3028" applyNumberFormat="1" applyFont="1" applyFill="1" applyBorder="1"/>
    <xf numFmtId="49" fontId="20" fillId="3" borderId="0" xfId="30" applyNumberFormat="1" applyFont="1" applyFill="1" applyBorder="1" applyAlignment="1" applyProtection="1">
      <alignment horizontal="left"/>
      <protection locked="0"/>
    </xf>
    <xf numFmtId="1" fontId="20" fillId="3" borderId="0" xfId="24" applyNumberFormat="1" applyFont="1" applyFill="1" applyBorder="1" applyAlignment="1" applyProtection="1">
      <alignment horizontal="center"/>
      <protection locked="0"/>
    </xf>
    <xf numFmtId="49" fontId="54" fillId="3" borderId="0" xfId="30" applyNumberFormat="1" applyFont="1" applyFill="1" applyBorder="1" applyAlignment="1" applyProtection="1">
      <alignment horizontal="left"/>
      <protection locked="0"/>
    </xf>
    <xf numFmtId="1" fontId="20" fillId="3" borderId="0" xfId="26023" applyNumberFormat="1" applyFont="1" applyFill="1" applyBorder="1" applyAlignment="1" applyProtection="1">
      <alignment horizontal="center"/>
      <protection locked="0"/>
    </xf>
    <xf numFmtId="49" fontId="20" fillId="3" borderId="0" xfId="23" applyNumberFormat="1" applyFont="1" applyFill="1" applyBorder="1" applyAlignment="1" applyProtection="1">
      <protection locked="0"/>
    </xf>
    <xf numFmtId="3" fontId="53" fillId="3" borderId="0" xfId="5" applyFont="1" applyFill="1" applyBorder="1" applyAlignment="1" applyProtection="1">
      <protection locked="0"/>
    </xf>
    <xf numFmtId="1" fontId="20" fillId="3" borderId="0" xfId="1401" applyNumberFormat="1" applyFont="1" applyFill="1" applyBorder="1" applyAlignment="1" applyProtection="1">
      <alignment horizontal="center"/>
      <protection locked="0"/>
    </xf>
    <xf numFmtId="1" fontId="20" fillId="3" borderId="0" xfId="5" applyNumberFormat="1" applyFont="1" applyFill="1" applyBorder="1" applyAlignment="1" applyProtection="1">
      <alignment horizontal="center"/>
      <protection locked="0"/>
    </xf>
    <xf numFmtId="1" fontId="20" fillId="45" borderId="0" xfId="26022" applyNumberFormat="1" applyFont="1" applyFill="1" applyBorder="1" applyAlignment="1" applyProtection="1">
      <alignment horizontal="center"/>
      <protection locked="0"/>
    </xf>
    <xf numFmtId="49" fontId="53" fillId="3" borderId="0" xfId="26023" applyNumberFormat="1" applyFont="1" applyFill="1" applyBorder="1" applyAlignment="1" applyProtection="1">
      <alignment horizontal="left"/>
      <protection locked="0"/>
    </xf>
    <xf numFmtId="49" fontId="20" fillId="46" borderId="0" xfId="23" applyNumberFormat="1" applyFont="1" applyFill="1" applyBorder="1" applyAlignment="1" applyProtection="1">
      <protection locked="0"/>
    </xf>
    <xf numFmtId="1" fontId="20" fillId="3" borderId="0" xfId="30" applyNumberFormat="1" applyFont="1" applyFill="1" applyBorder="1" applyAlignment="1" applyProtection="1">
      <alignment horizontal="center"/>
      <protection locked="0"/>
    </xf>
    <xf numFmtId="49" fontId="53" fillId="3" borderId="0" xfId="5" applyNumberFormat="1" applyFont="1" applyFill="1" applyBorder="1" applyAlignment="1" applyProtection="1">
      <alignment horizontal="left"/>
      <protection locked="0"/>
    </xf>
    <xf numFmtId="3" fontId="20" fillId="3" borderId="0" xfId="5" applyFont="1" applyFill="1" applyBorder="1" applyAlignment="1" applyProtection="1">
      <protection locked="0"/>
    </xf>
    <xf numFmtId="49" fontId="20" fillId="47" borderId="0" xfId="23" applyNumberFormat="1" applyFont="1" applyFill="1" applyBorder="1" applyAlignment="1" applyProtection="1">
      <protection locked="0"/>
    </xf>
    <xf numFmtId="49" fontId="20" fillId="48" borderId="0" xfId="23" applyNumberFormat="1" applyFont="1" applyFill="1" applyBorder="1" applyAlignment="1" applyProtection="1">
      <protection locked="0"/>
    </xf>
    <xf numFmtId="49" fontId="20" fillId="49" borderId="0" xfId="23" applyNumberFormat="1" applyFont="1" applyFill="1" applyBorder="1" applyAlignment="1" applyProtection="1">
      <protection locked="0"/>
    </xf>
    <xf numFmtId="49" fontId="20" fillId="50" borderId="0" xfId="23" applyNumberFormat="1" applyFont="1" applyFill="1" applyBorder="1" applyAlignment="1" applyProtection="1">
      <protection locked="0"/>
    </xf>
    <xf numFmtId="1" fontId="42" fillId="3" borderId="0" xfId="5" quotePrefix="1" applyNumberFormat="1" applyFont="1" applyFill="1" applyBorder="1" applyAlignment="1" applyProtection="1">
      <alignment horizontal="center"/>
      <protection locked="0"/>
    </xf>
    <xf numFmtId="49" fontId="20" fillId="51" borderId="0" xfId="23" applyNumberFormat="1" applyFont="1" applyFill="1" applyBorder="1" applyAlignment="1" applyProtection="1">
      <protection locked="0"/>
    </xf>
    <xf numFmtId="49" fontId="53" fillId="47" borderId="0" xfId="23" applyNumberFormat="1" applyFont="1" applyFill="1" applyBorder="1" applyAlignment="1" applyProtection="1">
      <protection locked="0"/>
    </xf>
    <xf numFmtId="0" fontId="20" fillId="45" borderId="0" xfId="23" applyNumberFormat="1" applyFont="1" applyFill="1" applyBorder="1" applyAlignment="1" applyProtection="1">
      <alignment horizontal="center"/>
      <protection locked="0"/>
    </xf>
    <xf numFmtId="165" fontId="20" fillId="8" borderId="15" xfId="23" applyNumberFormat="1" applyFont="1" applyFill="1" applyBorder="1" applyAlignment="1" applyProtection="1">
      <alignment horizontal="right"/>
      <protection locked="0"/>
    </xf>
    <xf numFmtId="165" fontId="20" fillId="0" borderId="15" xfId="23" applyNumberFormat="1" applyFont="1" applyFill="1" applyBorder="1" applyAlignment="1" applyProtection="1">
      <alignment horizontal="right"/>
    </xf>
    <xf numFmtId="165" fontId="20" fillId="0" borderId="15" xfId="23" applyNumberFormat="1" applyFont="1" applyFill="1" applyBorder="1" applyAlignment="1" applyProtection="1">
      <alignment horizontal="right"/>
      <protection locked="0"/>
    </xf>
    <xf numFmtId="49" fontId="53" fillId="46" borderId="0" xfId="23" applyNumberFormat="1" applyFont="1" applyFill="1" applyBorder="1" applyAlignment="1" applyProtection="1">
      <protection locked="0"/>
    </xf>
    <xf numFmtId="49" fontId="53" fillId="49" borderId="0" xfId="23" applyNumberFormat="1" applyFont="1" applyFill="1" applyBorder="1" applyAlignment="1" applyProtection="1">
      <protection locked="0"/>
    </xf>
    <xf numFmtId="3" fontId="28" fillId="0" borderId="15" xfId="23" applyNumberFormat="1" applyFont="1" applyFill="1" applyBorder="1" applyAlignment="1" applyProtection="1">
      <alignment horizontal="right"/>
    </xf>
    <xf numFmtId="3" fontId="28" fillId="0" borderId="37" xfId="23" applyNumberFormat="1" applyFont="1" applyFill="1" applyBorder="1" applyAlignment="1" applyProtection="1">
      <alignment horizontal="right"/>
    </xf>
    <xf numFmtId="49" fontId="20" fillId="45" borderId="0" xfId="23" applyNumberFormat="1" applyFont="1" applyFill="1" applyBorder="1" applyAlignment="1" applyProtection="1">
      <alignment horizontal="center"/>
      <protection locked="0"/>
    </xf>
    <xf numFmtId="49" fontId="53" fillId="48" borderId="0" xfId="23" applyNumberFormat="1" applyFont="1" applyFill="1" applyBorder="1" applyAlignment="1" applyProtection="1">
      <protection locked="0"/>
    </xf>
    <xf numFmtId="49" fontId="53" fillId="50" borderId="0" xfId="23" applyNumberFormat="1" applyFont="1" applyFill="1" applyBorder="1" applyAlignment="1" applyProtection="1">
      <protection locked="0"/>
    </xf>
    <xf numFmtId="49" fontId="53" fillId="51" borderId="0" xfId="23" applyNumberFormat="1" applyFont="1" applyFill="1" applyBorder="1" applyAlignment="1" applyProtection="1">
      <protection locked="0"/>
    </xf>
    <xf numFmtId="49" fontId="53" fillId="43" borderId="0" xfId="30" applyNumberFormat="1" applyFont="1" applyFill="1" applyBorder="1" applyAlignment="1" applyProtection="1">
      <alignment horizontal="left"/>
      <protection locked="0"/>
    </xf>
    <xf numFmtId="0" fontId="20" fillId="43" borderId="0" xfId="24" applyNumberFormat="1" applyFont="1" applyFill="1" applyBorder="1" applyAlignment="1" applyProtection="1">
      <alignment horizontal="center"/>
      <protection locked="0"/>
    </xf>
    <xf numFmtId="49" fontId="20" fillId="43" borderId="0" xfId="23" applyNumberFormat="1" applyFont="1" applyFill="1" applyBorder="1" applyProtection="1">
      <protection locked="0"/>
    </xf>
    <xf numFmtId="49" fontId="54" fillId="43" borderId="0" xfId="30" applyNumberFormat="1" applyFont="1" applyFill="1" applyBorder="1" applyAlignment="1" applyProtection="1">
      <alignment horizontal="left"/>
      <protection locked="0"/>
    </xf>
    <xf numFmtId="164" fontId="20" fillId="43" borderId="0" xfId="30" applyFont="1" applyFill="1" applyBorder="1" applyProtection="1">
      <protection locked="0"/>
    </xf>
    <xf numFmtId="1" fontId="28" fillId="43" borderId="0" xfId="24" applyNumberFormat="1" applyFont="1" applyFill="1" applyBorder="1" applyAlignment="1" applyProtection="1">
      <alignment horizontal="center"/>
      <protection locked="0"/>
    </xf>
    <xf numFmtId="49" fontId="53" fillId="43" borderId="0" xfId="26023" applyNumberFormat="1" applyFont="1" applyFill="1" applyBorder="1" applyAlignment="1" applyProtection="1">
      <alignment horizontal="left"/>
      <protection locked="0"/>
    </xf>
    <xf numFmtId="1" fontId="20" fillId="43" borderId="0" xfId="30" applyNumberFormat="1" applyFont="1" applyFill="1" applyBorder="1" applyAlignment="1" applyProtection="1">
      <alignment horizontal="center"/>
      <protection locked="0"/>
    </xf>
    <xf numFmtId="1" fontId="20" fillId="2" borderId="0" xfId="1401" applyNumberFormat="1" applyFont="1" applyFill="1" applyBorder="1" applyAlignment="1" applyProtection="1">
      <alignment horizontal="center"/>
      <protection locked="0"/>
    </xf>
    <xf numFmtId="1" fontId="42" fillId="41" borderId="0" xfId="1401" applyNumberFormat="1" applyFont="1" applyFill="1" applyBorder="1" applyAlignment="1" applyProtection="1">
      <alignment horizontal="center"/>
      <protection locked="0"/>
    </xf>
    <xf numFmtId="49" fontId="20" fillId="14" borderId="0" xfId="23" applyNumberFormat="1" applyFont="1" applyFill="1" applyBorder="1" applyAlignment="1" applyProtection="1">
      <alignment horizontal="left"/>
      <protection locked="0"/>
    </xf>
    <xf numFmtId="49" fontId="53" fillId="13" borderId="0" xfId="26023" applyNumberFormat="1" applyFont="1" applyFill="1" applyBorder="1" applyAlignment="1" applyProtection="1">
      <alignment horizontal="left"/>
      <protection locked="0"/>
    </xf>
    <xf numFmtId="1" fontId="28" fillId="43" borderId="0" xfId="1401" applyNumberFormat="1" applyFont="1" applyFill="1" applyBorder="1" applyAlignment="1" applyProtection="1">
      <alignment horizontal="center"/>
      <protection locked="0"/>
    </xf>
    <xf numFmtId="49" fontId="53" fillId="2" borderId="0" xfId="30" applyNumberFormat="1" applyFont="1" applyFill="1" applyBorder="1" applyAlignment="1" applyProtection="1">
      <alignment horizontal="left"/>
      <protection locked="0"/>
    </xf>
    <xf numFmtId="1" fontId="20" fillId="2" borderId="0" xfId="26023" applyNumberFormat="1" applyFont="1" applyFill="1" applyBorder="1" applyAlignment="1" applyProtection="1">
      <alignment horizontal="center"/>
      <protection locked="0"/>
    </xf>
    <xf numFmtId="49" fontId="53" fillId="2" borderId="0" xfId="26023" applyNumberFormat="1" applyFont="1" applyFill="1" applyBorder="1" applyAlignment="1" applyProtection="1">
      <alignment horizontal="left"/>
      <protection locked="0"/>
    </xf>
    <xf numFmtId="164" fontId="53" fillId="2" borderId="0" xfId="30" applyFont="1" applyFill="1" applyBorder="1" applyProtection="1">
      <protection locked="0"/>
    </xf>
    <xf numFmtId="49" fontId="53" fillId="2" borderId="0" xfId="111" applyNumberFormat="1" applyFont="1" applyFill="1" applyBorder="1" applyAlignment="1" applyProtection="1">
      <alignment horizontal="left"/>
      <protection locked="0"/>
    </xf>
    <xf numFmtId="0" fontId="20" fillId="2" borderId="0" xfId="26024" applyNumberFormat="1" applyFont="1" applyFill="1" applyBorder="1" applyAlignment="1" applyProtection="1">
      <alignment horizontal="center"/>
      <protection locked="0"/>
    </xf>
    <xf numFmtId="1" fontId="20" fillId="2" borderId="0" xfId="111" applyNumberFormat="1" applyFont="1" applyFill="1" applyBorder="1" applyAlignment="1" applyProtection="1">
      <alignment horizontal="center"/>
      <protection locked="0"/>
    </xf>
    <xf numFmtId="49" fontId="53" fillId="2" borderId="0" xfId="26024" applyNumberFormat="1" applyFont="1" applyFill="1" applyBorder="1" applyAlignment="1" applyProtection="1">
      <alignment horizontal="left"/>
      <protection locked="0"/>
    </xf>
    <xf numFmtId="1" fontId="20" fillId="2" borderId="0" xfId="26024" applyNumberFormat="1" applyFont="1" applyFill="1" applyBorder="1" applyAlignment="1" applyProtection="1">
      <alignment horizontal="center"/>
      <protection locked="0"/>
    </xf>
    <xf numFmtId="1" fontId="28" fillId="44" borderId="0" xfId="1401" applyNumberFormat="1" applyFont="1" applyFill="1" applyBorder="1" applyAlignment="1" applyProtection="1">
      <alignment horizontal="center"/>
      <protection locked="0"/>
    </xf>
    <xf numFmtId="49" fontId="53" fillId="3" borderId="0" xfId="5552" applyNumberFormat="1" applyFont="1" applyFill="1" applyBorder="1" applyAlignment="1" applyProtection="1">
      <alignment horizontal="left"/>
      <protection locked="0"/>
    </xf>
    <xf numFmtId="1" fontId="28" fillId="3" borderId="0" xfId="1401" applyNumberFormat="1" applyFont="1" applyFill="1" applyBorder="1" applyAlignment="1" applyProtection="1">
      <alignment horizontal="center"/>
      <protection locked="0"/>
    </xf>
    <xf numFmtId="1" fontId="28" fillId="45" borderId="0" xfId="26022" applyNumberFormat="1" applyFont="1" applyFill="1" applyBorder="1" applyAlignment="1" applyProtection="1">
      <alignment horizontal="center"/>
      <protection locked="0"/>
    </xf>
    <xf numFmtId="49" fontId="53" fillId="43" borderId="0" xfId="5552" applyNumberFormat="1" applyFont="1" applyFill="1" applyBorder="1" applyAlignment="1" applyProtection="1">
      <alignment horizontal="left"/>
      <protection locked="0"/>
    </xf>
    <xf numFmtId="164" fontId="53" fillId="43" borderId="0" xfId="30" applyFont="1" applyFill="1" applyBorder="1" applyProtection="1">
      <protection locked="0"/>
    </xf>
    <xf numFmtId="49" fontId="20" fillId="41" borderId="15" xfId="30" applyNumberFormat="1" applyFont="1" applyFill="1" applyBorder="1" applyAlignment="1" applyProtection="1">
      <alignment horizontal="center"/>
      <protection locked="0"/>
    </xf>
    <xf numFmtId="49" fontId="53" fillId="41" borderId="0" xfId="26023" applyNumberFormat="1" applyFont="1" applyFill="1" applyBorder="1" applyAlignment="1" applyProtection="1">
      <alignment horizontal="left"/>
      <protection locked="0"/>
    </xf>
    <xf numFmtId="1" fontId="20" fillId="41" borderId="0" xfId="26023" applyNumberFormat="1" applyFont="1" applyFill="1" applyBorder="1" applyAlignment="1" applyProtection="1">
      <alignment horizontal="center"/>
      <protection locked="0"/>
    </xf>
    <xf numFmtId="0" fontId="56" fillId="0" borderId="15" xfId="3028" applyNumberFormat="1" applyFont="1" applyFill="1" applyBorder="1"/>
    <xf numFmtId="0" fontId="56" fillId="0" borderId="15" xfId="15772" applyNumberFormat="1" applyFont="1" applyFill="1" applyBorder="1"/>
    <xf numFmtId="165" fontId="20" fillId="0" borderId="37" xfId="1020" applyNumberFormat="1" applyFont="1" applyFill="1" applyBorder="1"/>
    <xf numFmtId="49" fontId="20" fillId="41" borderId="15" xfId="23" applyNumberFormat="1" applyFont="1" applyFill="1" applyBorder="1" applyAlignment="1" applyProtection="1">
      <alignment horizontal="center"/>
      <protection locked="0"/>
    </xf>
    <xf numFmtId="49" fontId="20" fillId="41" borderId="0" xfId="30" applyNumberFormat="1" applyFont="1" applyFill="1" applyBorder="1" applyAlignment="1" applyProtection="1">
      <alignment horizontal="left"/>
      <protection locked="0"/>
    </xf>
    <xf numFmtId="49" fontId="53" fillId="41" borderId="0" xfId="30" applyNumberFormat="1" applyFont="1" applyFill="1" applyBorder="1" applyAlignment="1" applyProtection="1">
      <alignment horizontal="left"/>
      <protection locked="0"/>
    </xf>
    <xf numFmtId="1" fontId="20" fillId="41" borderId="0" xfId="30" applyNumberFormat="1" applyFont="1" applyFill="1" applyBorder="1" applyAlignment="1" applyProtection="1">
      <alignment horizontal="center"/>
      <protection locked="0"/>
    </xf>
    <xf numFmtId="49" fontId="53" fillId="41" borderId="0" xfId="5" applyNumberFormat="1" applyFont="1" applyFill="1" applyBorder="1" applyAlignment="1" applyProtection="1">
      <alignment horizontal="left"/>
      <protection locked="0"/>
    </xf>
    <xf numFmtId="1" fontId="20" fillId="41" borderId="0" xfId="5" applyNumberFormat="1" applyFont="1" applyFill="1" applyBorder="1" applyAlignment="1" applyProtection="1">
      <alignment horizontal="center"/>
      <protection locked="0"/>
    </xf>
    <xf numFmtId="3" fontId="53" fillId="41" borderId="0" xfId="5" applyFont="1" applyFill="1" applyBorder="1" applyAlignment="1" applyProtection="1">
      <protection locked="0"/>
    </xf>
    <xf numFmtId="49" fontId="54" fillId="41" borderId="0" xfId="30" applyNumberFormat="1" applyFont="1" applyFill="1" applyBorder="1" applyAlignment="1" applyProtection="1">
      <alignment horizontal="left"/>
      <protection locked="0"/>
    </xf>
    <xf numFmtId="1" fontId="20" fillId="2" borderId="0" xfId="30" applyNumberFormat="1" applyFont="1" applyFill="1" applyBorder="1" applyAlignment="1" applyProtection="1">
      <alignment horizontal="center"/>
      <protection locked="0"/>
    </xf>
    <xf numFmtId="49" fontId="20" fillId="2" borderId="0" xfId="30" applyNumberFormat="1" applyFont="1" applyFill="1" applyBorder="1" applyAlignment="1" applyProtection="1">
      <alignment horizontal="left"/>
      <protection locked="0"/>
    </xf>
    <xf numFmtId="1" fontId="20" fillId="2" borderId="0" xfId="5" applyNumberFormat="1" applyFont="1" applyFill="1" applyBorder="1" applyAlignment="1" applyProtection="1">
      <alignment horizontal="center"/>
      <protection locked="0"/>
    </xf>
    <xf numFmtId="49" fontId="53" fillId="2" borderId="0" xfId="5" applyNumberFormat="1" applyFont="1" applyFill="1" applyBorder="1" applyAlignment="1" applyProtection="1">
      <alignment horizontal="left"/>
      <protection locked="0"/>
    </xf>
    <xf numFmtId="1" fontId="20" fillId="40" borderId="0" xfId="26022" applyNumberFormat="1" applyFont="1" applyFill="1" applyBorder="1" applyAlignment="1" applyProtection="1">
      <alignment horizontal="center"/>
      <protection locked="0"/>
    </xf>
    <xf numFmtId="49" fontId="20" fillId="44" borderId="0" xfId="23" applyNumberFormat="1" applyFont="1" applyFill="1" applyBorder="1" applyAlignment="1" applyProtection="1">
      <protection locked="0"/>
    </xf>
    <xf numFmtId="49" fontId="82" fillId="44" borderId="0" xfId="23" applyNumberFormat="1" applyFont="1" applyFill="1" applyBorder="1" applyAlignment="1" applyProtection="1">
      <protection locked="0"/>
    </xf>
    <xf numFmtId="49" fontId="20" fillId="44" borderId="0" xfId="24" applyNumberFormat="1" applyFont="1" applyFill="1" applyBorder="1" applyAlignment="1" applyProtection="1">
      <alignment horizontal="left"/>
      <protection locked="0"/>
    </xf>
    <xf numFmtId="49" fontId="54" fillId="44" borderId="0" xfId="24" applyNumberFormat="1" applyFont="1" applyFill="1" applyBorder="1" applyAlignment="1" applyProtection="1">
      <alignment horizontal="left"/>
      <protection locked="0"/>
    </xf>
    <xf numFmtId="1" fontId="28" fillId="44" borderId="0" xfId="24" applyNumberFormat="1" applyFont="1" applyFill="1" applyBorder="1" applyAlignment="1" applyProtection="1">
      <alignment horizontal="center"/>
      <protection locked="0"/>
    </xf>
    <xf numFmtId="49" fontId="82" fillId="44" borderId="0" xfId="23" applyNumberFormat="1" applyFont="1" applyFill="1" applyBorder="1" applyAlignment="1" applyProtection="1">
      <alignment horizontal="left"/>
      <protection locked="0"/>
    </xf>
    <xf numFmtId="49" fontId="53" fillId="44" borderId="0" xfId="111" applyNumberFormat="1" applyFont="1" applyFill="1" applyBorder="1" applyAlignment="1" applyProtection="1">
      <alignment horizontal="left"/>
      <protection locked="0"/>
    </xf>
    <xf numFmtId="49" fontId="20" fillId="52" borderId="15" xfId="23" applyNumberFormat="1" applyFont="1" applyFill="1" applyBorder="1" applyAlignment="1" applyProtection="1">
      <alignment horizontal="center"/>
      <protection locked="0"/>
    </xf>
    <xf numFmtId="49" fontId="20" fillId="52" borderId="0" xfId="23" applyNumberFormat="1" applyFont="1" applyFill="1" applyBorder="1" applyAlignment="1" applyProtection="1">
      <alignment horizontal="left"/>
      <protection locked="0"/>
    </xf>
    <xf numFmtId="49" fontId="53" fillId="52" borderId="0" xfId="30" applyNumberFormat="1" applyFont="1" applyFill="1" applyBorder="1" applyAlignment="1" applyProtection="1">
      <alignment horizontal="left"/>
      <protection locked="0"/>
    </xf>
    <xf numFmtId="1" fontId="20" fillId="52" borderId="0" xfId="30" applyNumberFormat="1" applyFont="1" applyFill="1" applyBorder="1" applyAlignment="1" applyProtection="1">
      <alignment horizontal="center"/>
      <protection locked="0"/>
    </xf>
    <xf numFmtId="1" fontId="20" fillId="52" borderId="0" xfId="24" applyNumberFormat="1" applyFont="1" applyFill="1" applyBorder="1" applyAlignment="1" applyProtection="1">
      <alignment horizontal="center"/>
      <protection locked="0"/>
    </xf>
    <xf numFmtId="165" fontId="55" fillId="8" borderId="49" xfId="23" applyNumberFormat="1" applyFont="1" applyFill="1" applyBorder="1" applyAlignment="1" applyProtection="1">
      <alignment horizontal="center"/>
      <protection locked="0"/>
    </xf>
    <xf numFmtId="165" fontId="42" fillId="0" borderId="15" xfId="23" applyNumberFormat="1" applyFont="1" applyFill="1" applyBorder="1" applyAlignment="1" applyProtection="1">
      <alignment horizontal="center"/>
      <protection locked="0"/>
    </xf>
    <xf numFmtId="3" fontId="32" fillId="0" borderId="15" xfId="4" applyFont="1" applyFill="1" applyBorder="1"/>
    <xf numFmtId="1" fontId="20" fillId="0" borderId="15" xfId="5" applyNumberFormat="1" applyFont="1" applyFill="1" applyBorder="1" applyAlignment="1"/>
    <xf numFmtId="49" fontId="20" fillId="52" borderId="0" xfId="30" applyNumberFormat="1" applyFont="1" applyFill="1" applyBorder="1" applyAlignment="1" applyProtection="1">
      <alignment horizontal="left"/>
      <protection locked="0"/>
    </xf>
    <xf numFmtId="49" fontId="54" fillId="52" borderId="0" xfId="30" applyNumberFormat="1" applyFont="1" applyFill="1" applyBorder="1" applyAlignment="1" applyProtection="1">
      <alignment horizontal="left"/>
      <protection locked="0"/>
    </xf>
    <xf numFmtId="1" fontId="28" fillId="52" borderId="0" xfId="24" applyNumberFormat="1" applyFont="1" applyFill="1" applyBorder="1" applyAlignment="1" applyProtection="1">
      <alignment horizontal="center"/>
      <protection locked="0"/>
    </xf>
    <xf numFmtId="3" fontId="20" fillId="52" borderId="0" xfId="5" applyFont="1" applyFill="1" applyBorder="1" applyAlignment="1" applyProtection="1">
      <protection locked="0"/>
    </xf>
    <xf numFmtId="3" fontId="53" fillId="52" borderId="0" xfId="5" applyFont="1" applyFill="1" applyBorder="1" applyAlignment="1" applyProtection="1">
      <protection locked="0"/>
    </xf>
    <xf numFmtId="1" fontId="42" fillId="52" borderId="0" xfId="24" applyNumberFormat="1" applyFont="1" applyFill="1" applyBorder="1" applyAlignment="1" applyProtection="1">
      <alignment horizontal="center"/>
      <protection locked="0"/>
    </xf>
    <xf numFmtId="1" fontId="20" fillId="53" borderId="0" xfId="24" applyNumberFormat="1" applyFont="1" applyFill="1" applyBorder="1" applyAlignment="1" applyProtection="1">
      <alignment horizontal="center"/>
      <protection locked="0"/>
    </xf>
    <xf numFmtId="49" fontId="53" fillId="52" borderId="0" xfId="5" applyNumberFormat="1" applyFont="1" applyFill="1" applyBorder="1" applyAlignment="1" applyProtection="1">
      <alignment horizontal="left"/>
      <protection locked="0"/>
    </xf>
    <xf numFmtId="1" fontId="20" fillId="52" borderId="0" xfId="5" applyNumberFormat="1" applyFont="1" applyFill="1" applyBorder="1" applyAlignment="1" applyProtection="1">
      <alignment horizontal="center"/>
      <protection locked="0"/>
    </xf>
    <xf numFmtId="49" fontId="20" fillId="52" borderId="0" xfId="5" applyNumberFormat="1" applyFont="1" applyFill="1" applyBorder="1" applyAlignment="1" applyProtection="1">
      <alignment horizontal="left"/>
      <protection locked="0"/>
    </xf>
    <xf numFmtId="49" fontId="20" fillId="53" borderId="15" xfId="26025" applyNumberFormat="1" applyFont="1" applyFill="1" applyBorder="1" applyAlignment="1" applyProtection="1">
      <alignment horizontal="center"/>
      <protection locked="0"/>
    </xf>
    <xf numFmtId="49" fontId="20" fillId="53" borderId="0" xfId="30" applyNumberFormat="1" applyFont="1" applyFill="1" applyBorder="1" applyAlignment="1" applyProtection="1">
      <alignment horizontal="left"/>
      <protection locked="0"/>
    </xf>
    <xf numFmtId="49" fontId="53" fillId="53" borderId="0" xfId="30" applyNumberFormat="1" applyFont="1" applyFill="1" applyBorder="1" applyAlignment="1" applyProtection="1">
      <alignment horizontal="left"/>
      <protection locked="0"/>
    </xf>
    <xf numFmtId="0" fontId="20" fillId="0" borderId="37" xfId="29" applyNumberFormat="1" applyFill="1" applyBorder="1"/>
    <xf numFmtId="3" fontId="20" fillId="52" borderId="0" xfId="5" applyFont="1" applyFill="1" applyBorder="1" applyAlignment="1" applyProtection="1">
      <alignment horizontal="center"/>
      <protection locked="0"/>
    </xf>
    <xf numFmtId="49" fontId="20" fillId="13" borderId="0" xfId="30" applyNumberFormat="1" applyFont="1" applyFill="1" applyBorder="1" applyAlignment="1" applyProtection="1">
      <alignment horizontal="center"/>
      <protection locked="0"/>
    </xf>
    <xf numFmtId="49" fontId="53" fillId="13" borderId="0" xfId="30" applyNumberFormat="1" applyFont="1" applyFill="1" applyBorder="1" applyAlignment="1" applyProtection="1">
      <alignment horizontal="left"/>
      <protection locked="0"/>
    </xf>
    <xf numFmtId="1" fontId="20" fillId="13" borderId="0" xfId="30" applyNumberFormat="1" applyFont="1" applyFill="1" applyBorder="1" applyAlignment="1" applyProtection="1">
      <alignment horizontal="center"/>
      <protection locked="0"/>
    </xf>
    <xf numFmtId="3" fontId="17" fillId="0" borderId="15" xfId="1898" applyNumberFormat="1" applyFill="1" applyBorder="1"/>
    <xf numFmtId="3" fontId="8" fillId="0" borderId="15" xfId="987" applyNumberFormat="1" applyFill="1" applyBorder="1"/>
    <xf numFmtId="0" fontId="2" fillId="0" borderId="37" xfId="26026" applyFill="1" applyBorder="1"/>
    <xf numFmtId="49" fontId="54" fillId="13" borderId="0" xfId="30" applyNumberFormat="1" applyFont="1" applyFill="1" applyBorder="1" applyAlignment="1" applyProtection="1">
      <alignment horizontal="left"/>
      <protection locked="0"/>
    </xf>
    <xf numFmtId="49" fontId="20" fillId="13" borderId="15" xfId="30" applyNumberFormat="1" applyFont="1" applyFill="1" applyBorder="1" applyAlignment="1" applyProtection="1">
      <alignment horizontal="center"/>
      <protection locked="0"/>
    </xf>
    <xf numFmtId="49" fontId="20" fillId="13" borderId="0" xfId="5" applyNumberFormat="1" applyFont="1" applyFill="1" applyBorder="1" applyAlignment="1" applyProtection="1">
      <alignment horizontal="left"/>
      <protection locked="0"/>
    </xf>
    <xf numFmtId="49" fontId="53" fillId="13" borderId="0" xfId="5" applyNumberFormat="1" applyFont="1" applyFill="1" applyBorder="1" applyAlignment="1" applyProtection="1">
      <alignment horizontal="left"/>
      <protection locked="0"/>
    </xf>
    <xf numFmtId="1" fontId="20" fillId="54" borderId="0" xfId="26022" applyNumberFormat="1" applyFont="1" applyFill="1" applyBorder="1" applyAlignment="1" applyProtection="1">
      <alignment horizontal="center"/>
      <protection locked="0"/>
    </xf>
    <xf numFmtId="3" fontId="8" fillId="0" borderId="15" xfId="985" applyNumberFormat="1" applyFill="1" applyBorder="1"/>
    <xf numFmtId="1" fontId="28" fillId="13" borderId="0" xfId="1401" applyNumberFormat="1" applyFont="1" applyFill="1" applyBorder="1" applyAlignment="1" applyProtection="1">
      <alignment horizontal="center"/>
      <protection locked="0"/>
    </xf>
    <xf numFmtId="3" fontId="17" fillId="0" borderId="15" xfId="1899" applyNumberFormat="1" applyFill="1" applyBorder="1"/>
    <xf numFmtId="49" fontId="20" fillId="55" borderId="15" xfId="5" applyNumberFormat="1" applyFont="1" applyFill="1" applyBorder="1" applyAlignment="1" applyProtection="1">
      <alignment horizontal="center"/>
      <protection locked="0"/>
    </xf>
    <xf numFmtId="49" fontId="20" fillId="56" borderId="0" xfId="30" applyNumberFormat="1" applyFont="1" applyFill="1" applyBorder="1" applyAlignment="1" applyProtection="1">
      <alignment horizontal="left"/>
      <protection locked="0"/>
    </xf>
    <xf numFmtId="49" fontId="53" fillId="55" borderId="0" xfId="30" applyNumberFormat="1" applyFont="1" applyFill="1" applyBorder="1" applyAlignment="1" applyProtection="1">
      <alignment horizontal="left"/>
      <protection locked="0"/>
    </xf>
    <xf numFmtId="1" fontId="20" fillId="55" borderId="0" xfId="5" applyNumberFormat="1" applyFont="1" applyFill="1" applyBorder="1" applyAlignment="1" applyProtection="1">
      <alignment horizontal="center"/>
      <protection locked="0"/>
    </xf>
    <xf numFmtId="1" fontId="20" fillId="57" borderId="0" xfId="26022" applyNumberFormat="1" applyFont="1" applyFill="1" applyBorder="1" applyAlignment="1" applyProtection="1">
      <alignment horizontal="center"/>
      <protection locked="0"/>
    </xf>
    <xf numFmtId="3" fontId="85" fillId="8" borderId="15" xfId="0" applyNumberFormat="1" applyFont="1" applyFill="1" applyBorder="1" applyAlignment="1" applyProtection="1">
      <alignment horizontal="right" wrapText="1"/>
    </xf>
    <xf numFmtId="49" fontId="20" fillId="55" borderId="0" xfId="30" applyNumberFormat="1" applyFont="1" applyFill="1" applyBorder="1" applyAlignment="1" applyProtection="1">
      <alignment horizontal="left"/>
      <protection locked="0"/>
    </xf>
    <xf numFmtId="49" fontId="20" fillId="55" borderId="0" xfId="30" applyNumberFormat="1" applyFont="1" applyFill="1" applyBorder="1" applyAlignment="1" applyProtection="1">
      <alignment horizontal="center"/>
      <protection locked="0"/>
    </xf>
    <xf numFmtId="3" fontId="28" fillId="8" borderId="15" xfId="4" applyFont="1" applyFill="1" applyBorder="1"/>
    <xf numFmtId="49" fontId="53" fillId="44" borderId="0" xfId="30" applyNumberFormat="1" applyFont="1" applyFill="1" applyBorder="1" applyAlignment="1" applyProtection="1">
      <alignment horizontal="left"/>
      <protection locked="0"/>
    </xf>
    <xf numFmtId="3" fontId="86" fillId="0" borderId="37" xfId="0" applyNumberFormat="1" applyFont="1" applyBorder="1" applyAlignment="1">
      <alignment horizontal="right" vertical="center" wrapText="1"/>
    </xf>
    <xf numFmtId="3" fontId="20" fillId="8" borderId="0" xfId="23" applyNumberFormat="1" applyFont="1" applyFill="1" applyBorder="1" applyAlignment="1" applyProtection="1">
      <alignment horizontal="right"/>
      <protection locked="0"/>
    </xf>
    <xf numFmtId="3" fontId="86" fillId="0" borderId="0" xfId="0" applyFont="1" applyBorder="1" applyAlignment="1">
      <alignment horizontal="right" vertical="center" wrapText="1"/>
    </xf>
    <xf numFmtId="49" fontId="87" fillId="44" borderId="0" xfId="30" applyNumberFormat="1" applyFont="1" applyFill="1" applyBorder="1" applyAlignment="1" applyProtection="1">
      <alignment horizontal="left"/>
      <protection locked="0"/>
    </xf>
    <xf numFmtId="1" fontId="20" fillId="44" borderId="0" xfId="5" applyNumberFormat="1" applyFont="1" applyFill="1" applyBorder="1" applyAlignment="1" applyProtection="1">
      <alignment horizontal="center"/>
      <protection locked="0"/>
    </xf>
    <xf numFmtId="1" fontId="20" fillId="58" borderId="0" xfId="26022" applyNumberFormat="1" applyFont="1" applyFill="1" applyBorder="1" applyAlignment="1" applyProtection="1">
      <alignment horizontal="center"/>
      <protection locked="0"/>
    </xf>
    <xf numFmtId="164" fontId="20" fillId="44" borderId="0" xfId="30" applyFont="1" applyFill="1" applyBorder="1" applyProtection="1">
      <protection locked="0"/>
    </xf>
    <xf numFmtId="164" fontId="53" fillId="44" borderId="0" xfId="30" applyFont="1" applyFill="1" applyBorder="1" applyProtection="1">
      <protection locked="0"/>
    </xf>
    <xf numFmtId="49" fontId="20" fillId="44" borderId="0" xfId="26023" applyNumberFormat="1" applyFont="1" applyFill="1" applyBorder="1" applyAlignment="1" applyProtection="1">
      <alignment horizontal="left"/>
      <protection locked="0"/>
    </xf>
    <xf numFmtId="49" fontId="20" fillId="55" borderId="0" xfId="1401" applyNumberFormat="1" applyFont="1" applyFill="1" applyBorder="1" applyAlignment="1" applyProtection="1">
      <alignment horizontal="left"/>
      <protection locked="0"/>
    </xf>
    <xf numFmtId="49" fontId="53" fillId="55" borderId="0" xfId="1401" applyNumberFormat="1" applyFont="1" applyFill="1" applyBorder="1" applyAlignment="1" applyProtection="1">
      <alignment horizontal="left"/>
      <protection locked="0"/>
    </xf>
    <xf numFmtId="1" fontId="20" fillId="55" borderId="0" xfId="1401" applyNumberFormat="1" applyFont="1" applyFill="1" applyBorder="1" applyAlignment="1" applyProtection="1">
      <alignment horizontal="center"/>
      <protection locked="0"/>
    </xf>
    <xf numFmtId="49" fontId="20" fillId="55" borderId="0" xfId="24" applyNumberFormat="1" applyFont="1" applyFill="1" applyBorder="1" applyAlignment="1" applyProtection="1">
      <alignment horizontal="left"/>
      <protection locked="0"/>
    </xf>
    <xf numFmtId="49" fontId="53" fillId="55" borderId="0" xfId="24" applyNumberFormat="1" applyFont="1" applyFill="1" applyBorder="1" applyAlignment="1" applyProtection="1">
      <alignment horizontal="left"/>
      <protection locked="0"/>
    </xf>
    <xf numFmtId="1" fontId="20" fillId="55" borderId="0" xfId="24" applyNumberFormat="1" applyFont="1" applyFill="1" applyBorder="1" applyAlignment="1" applyProtection="1">
      <alignment horizontal="center"/>
      <protection locked="0"/>
    </xf>
    <xf numFmtId="49" fontId="87" fillId="55" borderId="0" xfId="24" applyNumberFormat="1" applyFont="1" applyFill="1" applyBorder="1" applyAlignment="1" applyProtection="1">
      <alignment horizontal="left"/>
      <protection locked="0"/>
    </xf>
    <xf numFmtId="3" fontId="53" fillId="55" borderId="0" xfId="5" applyFont="1" applyFill="1" applyBorder="1" applyAlignment="1" applyProtection="1">
      <protection locked="0"/>
    </xf>
    <xf numFmtId="49" fontId="20" fillId="55" borderId="0" xfId="1401" applyNumberFormat="1" applyFont="1" applyFill="1" applyBorder="1" applyAlignment="1" applyProtection="1">
      <alignment horizontal="center"/>
      <protection locked="0"/>
    </xf>
    <xf numFmtId="49" fontId="20" fillId="55" borderId="0" xfId="5" applyNumberFormat="1" applyFont="1" applyFill="1" applyBorder="1" applyAlignment="1" applyProtection="1">
      <alignment horizontal="center"/>
      <protection locked="0"/>
    </xf>
    <xf numFmtId="3" fontId="54" fillId="55" borderId="0" xfId="5" applyFont="1" applyFill="1" applyBorder="1" applyAlignment="1" applyProtection="1">
      <protection locked="0"/>
    </xf>
    <xf numFmtId="1" fontId="42" fillId="55" borderId="0" xfId="1401" applyNumberFormat="1" applyFont="1" applyFill="1" applyBorder="1" applyAlignment="1" applyProtection="1">
      <alignment horizontal="center"/>
      <protection locked="0"/>
    </xf>
    <xf numFmtId="49" fontId="20" fillId="52" borderId="15" xfId="30" applyNumberFormat="1" applyFont="1" applyFill="1" applyBorder="1" applyAlignment="1" applyProtection="1">
      <alignment horizontal="center"/>
      <protection locked="0"/>
    </xf>
    <xf numFmtId="1" fontId="20" fillId="52" borderId="0" xfId="26023" applyNumberFormat="1" applyFont="1" applyFill="1" applyBorder="1" applyAlignment="1" applyProtection="1">
      <alignment horizontal="center"/>
      <protection locked="0"/>
    </xf>
    <xf numFmtId="1" fontId="20" fillId="52" borderId="0" xfId="1401" applyNumberFormat="1" applyFont="1" applyFill="1" applyBorder="1" applyAlignment="1" applyProtection="1">
      <alignment horizontal="center"/>
      <protection locked="0"/>
    </xf>
    <xf numFmtId="49" fontId="87" fillId="53" borderId="0" xfId="30" applyNumberFormat="1" applyFont="1" applyFill="1" applyBorder="1" applyAlignment="1" applyProtection="1">
      <alignment horizontal="left"/>
      <protection locked="0"/>
    </xf>
    <xf numFmtId="49" fontId="53" fillId="52" borderId="0" xfId="26025" applyNumberFormat="1" applyFont="1" applyFill="1" applyBorder="1" applyAlignment="1" applyProtection="1">
      <alignment horizontal="left"/>
      <protection locked="0"/>
    </xf>
    <xf numFmtId="1" fontId="28" fillId="52" borderId="0" xfId="1401" applyNumberFormat="1" applyFont="1" applyFill="1" applyBorder="1" applyAlignment="1" applyProtection="1">
      <alignment horizontal="center"/>
      <protection locked="0"/>
    </xf>
    <xf numFmtId="1" fontId="42" fillId="52" borderId="0" xfId="1401" applyNumberFormat="1" applyFont="1" applyFill="1" applyBorder="1" applyAlignment="1" applyProtection="1">
      <alignment horizontal="center"/>
      <protection locked="0"/>
    </xf>
    <xf numFmtId="49" fontId="20" fillId="52" borderId="15" xfId="26023" applyNumberFormat="1" applyFont="1" applyFill="1" applyBorder="1" applyAlignment="1" applyProtection="1">
      <alignment horizontal="center"/>
      <protection locked="0"/>
    </xf>
    <xf numFmtId="49" fontId="20" fillId="52" borderId="0" xfId="26023" applyNumberFormat="1" applyFont="1" applyFill="1" applyBorder="1" applyAlignment="1" applyProtection="1">
      <alignment horizontal="left"/>
      <protection locked="0"/>
    </xf>
    <xf numFmtId="3" fontId="28" fillId="14" borderId="37" xfId="23" applyNumberFormat="1" applyFont="1" applyFill="1" applyBorder="1" applyAlignment="1" applyProtection="1">
      <alignment horizontal="right"/>
      <protection locked="0"/>
    </xf>
    <xf numFmtId="49" fontId="20" fillId="55" borderId="0" xfId="23" applyNumberFormat="1" applyFont="1" applyFill="1" applyBorder="1" applyAlignment="1" applyProtection="1">
      <alignment horizontal="center"/>
      <protection locked="0"/>
    </xf>
    <xf numFmtId="49" fontId="53" fillId="55" borderId="0" xfId="26025" applyNumberFormat="1" applyFont="1" applyFill="1" applyBorder="1" applyAlignment="1" applyProtection="1">
      <alignment horizontal="left"/>
      <protection locked="0"/>
    </xf>
    <xf numFmtId="0" fontId="1" fillId="0" borderId="0" xfId="26027"/>
    <xf numFmtId="0" fontId="1" fillId="0" borderId="0" xfId="26028"/>
    <xf numFmtId="0" fontId="1" fillId="0" borderId="0" xfId="26029"/>
    <xf numFmtId="0" fontId="1" fillId="0" borderId="0" xfId="26030"/>
    <xf numFmtId="0" fontId="1" fillId="0" borderId="0" xfId="26031"/>
    <xf numFmtId="0" fontId="1" fillId="0" borderId="0" xfId="26032"/>
    <xf numFmtId="0" fontId="1" fillId="0" borderId="0" xfId="26033"/>
    <xf numFmtId="164" fontId="87" fillId="55" borderId="0" xfId="30" applyFont="1" applyFill="1" applyBorder="1" applyProtection="1">
      <protection locked="0"/>
    </xf>
    <xf numFmtId="1" fontId="28" fillId="55" borderId="0" xfId="1401" applyNumberFormat="1" applyFont="1" applyFill="1" applyBorder="1" applyAlignment="1" applyProtection="1">
      <alignment horizontal="center"/>
      <protection locked="0"/>
    </xf>
    <xf numFmtId="49" fontId="20" fillId="59" borderId="0" xfId="23" applyNumberFormat="1" applyFont="1" applyFill="1" applyBorder="1" applyAlignment="1" applyProtection="1">
      <protection locked="0"/>
    </xf>
    <xf numFmtId="49" fontId="82" fillId="59" borderId="0" xfId="23" applyNumberFormat="1" applyFont="1" applyFill="1" applyBorder="1" applyAlignment="1" applyProtection="1">
      <alignment horizontal="right"/>
      <protection locked="0"/>
    </xf>
    <xf numFmtId="49" fontId="20" fillId="60" borderId="0" xfId="23" applyNumberFormat="1" applyFont="1" applyFill="1" applyBorder="1" applyAlignment="1" applyProtection="1">
      <alignment horizontal="center"/>
      <protection locked="0"/>
    </xf>
    <xf numFmtId="3" fontId="20" fillId="0" borderId="15" xfId="23" applyNumberFormat="1" applyFont="1" applyFill="1" applyBorder="1" applyAlignment="1" applyProtection="1">
      <alignment horizontal="right"/>
      <protection locked="0"/>
    </xf>
    <xf numFmtId="3" fontId="20" fillId="0" borderId="37" xfId="23" applyNumberFormat="1" applyFont="1" applyFill="1" applyBorder="1" applyAlignment="1" applyProtection="1">
      <alignment horizontal="right"/>
      <protection locked="0"/>
    </xf>
    <xf numFmtId="49" fontId="20" fillId="61" borderId="0" xfId="23" applyNumberFormat="1" applyFont="1" applyFill="1" applyBorder="1" applyAlignment="1" applyProtection="1">
      <protection locked="0"/>
    </xf>
    <xf numFmtId="49" fontId="82" fillId="61" borderId="0" xfId="23" applyNumberFormat="1" applyFont="1" applyFill="1" applyBorder="1" applyAlignment="1" applyProtection="1">
      <alignment horizontal="right"/>
      <protection locked="0"/>
    </xf>
    <xf numFmtId="49" fontId="20" fillId="62" borderId="0" xfId="23" applyNumberFormat="1" applyFont="1" applyFill="1" applyBorder="1" applyAlignment="1" applyProtection="1">
      <protection locked="0"/>
    </xf>
    <xf numFmtId="49" fontId="82" fillId="62" borderId="0" xfId="23" applyNumberFormat="1" applyFont="1" applyFill="1" applyBorder="1" applyAlignment="1" applyProtection="1">
      <alignment horizontal="right"/>
      <protection locked="0"/>
    </xf>
    <xf numFmtId="49" fontId="20" fillId="5" borderId="0" xfId="23" applyNumberFormat="1" applyFont="1" applyFill="1" applyBorder="1" applyAlignment="1" applyProtection="1">
      <protection locked="0"/>
    </xf>
    <xf numFmtId="49" fontId="82" fillId="5" borderId="0" xfId="23" applyNumberFormat="1" applyFont="1" applyFill="1" applyBorder="1" applyAlignment="1" applyProtection="1">
      <protection locked="0"/>
    </xf>
    <xf numFmtId="49" fontId="20" fillId="63" borderId="0" xfId="23" applyNumberFormat="1" applyFont="1" applyFill="1" applyBorder="1" applyAlignment="1" applyProtection="1">
      <protection locked="0"/>
    </xf>
    <xf numFmtId="49" fontId="82" fillId="63" borderId="0" xfId="23" applyNumberFormat="1" applyFont="1" applyFill="1" applyBorder="1" applyAlignment="1" applyProtection="1">
      <protection locked="0"/>
    </xf>
    <xf numFmtId="49" fontId="0" fillId="55" borderId="0" xfId="23" applyNumberFormat="1" applyFont="1" applyFill="1" applyBorder="1" applyAlignment="1" applyProtection="1">
      <alignment horizontal="center"/>
      <protection locked="0"/>
    </xf>
    <xf numFmtId="0" fontId="20" fillId="60" borderId="0" xfId="23" applyNumberFormat="1" applyFont="1" applyFill="1" applyBorder="1" applyAlignment="1" applyProtection="1">
      <alignment horizontal="center"/>
      <protection locked="0"/>
    </xf>
    <xf numFmtId="165" fontId="20" fillId="0" borderId="37" xfId="23" applyNumberFormat="1" applyFont="1" applyFill="1" applyBorder="1" applyAlignment="1" applyProtection="1">
      <alignment horizontal="right"/>
      <protection locked="0"/>
    </xf>
    <xf numFmtId="49" fontId="20" fillId="55" borderId="0" xfId="26023" applyNumberFormat="1" applyFont="1" applyFill="1" applyBorder="1" applyAlignment="1" applyProtection="1">
      <alignment horizontal="center"/>
      <protection locked="0"/>
    </xf>
    <xf numFmtId="49" fontId="20" fillId="55" borderId="0" xfId="26023" applyNumberFormat="1" applyFont="1" applyFill="1" applyBorder="1" applyAlignment="1" applyProtection="1">
      <alignment horizontal="left"/>
      <protection locked="0"/>
    </xf>
    <xf numFmtId="1" fontId="20" fillId="55" borderId="0" xfId="26023" applyNumberFormat="1" applyFont="1" applyFill="1" applyBorder="1" applyAlignment="1" applyProtection="1">
      <alignment horizontal="center"/>
      <protection locked="0"/>
    </xf>
    <xf numFmtId="49" fontId="54" fillId="55" borderId="0" xfId="30" applyNumberFormat="1" applyFont="1" applyFill="1" applyBorder="1" applyAlignment="1" applyProtection="1">
      <alignment horizontal="left"/>
      <protection locked="0"/>
    </xf>
    <xf numFmtId="1" fontId="20" fillId="55" borderId="0" xfId="30" applyNumberFormat="1" applyFont="1" applyFill="1" applyBorder="1" applyAlignment="1" applyProtection="1">
      <alignment horizontal="center"/>
      <protection locked="0"/>
    </xf>
    <xf numFmtId="49" fontId="54" fillId="55" borderId="0" xfId="26025" applyNumberFormat="1" applyFont="1" applyFill="1" applyBorder="1" applyAlignment="1" applyProtection="1">
      <alignment horizontal="left"/>
      <protection locked="0"/>
    </xf>
    <xf numFmtId="164" fontId="20" fillId="55" borderId="0" xfId="30" applyFont="1" applyFill="1" applyBorder="1" applyProtection="1">
      <protection locked="0"/>
    </xf>
    <xf numFmtId="49" fontId="20" fillId="41" borderId="0" xfId="23" applyNumberFormat="1" applyFont="1" applyFill="1" applyBorder="1" applyAlignment="1" applyProtection="1">
      <alignment horizontal="center" vertical="center"/>
      <protection locked="0"/>
    </xf>
    <xf numFmtId="49" fontId="20" fillId="62" borderId="0" xfId="0" applyNumberFormat="1" applyFont="1" applyFill="1" applyBorder="1" applyAlignment="1">
      <alignment horizontal="left" wrapText="1"/>
    </xf>
    <xf numFmtId="49" fontId="20" fillId="41" borderId="0" xfId="111" applyNumberFormat="1" applyFont="1" applyFill="1" applyBorder="1" applyAlignment="1" applyProtection="1">
      <alignment horizontal="center"/>
      <protection locked="0"/>
    </xf>
    <xf numFmtId="49" fontId="20" fillId="64" borderId="0" xfId="0" applyNumberFormat="1" applyFont="1" applyFill="1" applyBorder="1" applyAlignment="1">
      <alignment horizontal="left" wrapText="1"/>
    </xf>
    <xf numFmtId="0" fontId="20" fillId="41" borderId="0" xfId="111" applyNumberFormat="1" applyFont="1" applyFill="1" applyBorder="1" applyAlignment="1" applyProtection="1">
      <alignment horizontal="center"/>
      <protection locked="0"/>
    </xf>
    <xf numFmtId="49" fontId="20" fillId="12" borderId="0" xfId="0" applyNumberFormat="1" applyFont="1" applyFill="1" applyBorder="1" applyAlignment="1">
      <alignment horizontal="left" wrapText="1"/>
    </xf>
    <xf numFmtId="49" fontId="20" fillId="65" borderId="0" xfId="0" applyNumberFormat="1" applyFont="1" applyFill="1" applyBorder="1" applyAlignment="1">
      <alignment horizontal="left" wrapText="1"/>
    </xf>
    <xf numFmtId="3" fontId="28" fillId="14" borderId="15" xfId="23" applyNumberFormat="1" applyFont="1" applyFill="1" applyBorder="1" applyAlignment="1" applyProtection="1">
      <alignment horizontal="right"/>
      <protection locked="0"/>
    </xf>
    <xf numFmtId="3" fontId="45" fillId="8" borderId="15" xfId="23" applyNumberFormat="1" applyFont="1" applyFill="1" applyBorder="1" applyAlignment="1" applyProtection="1">
      <alignment horizontal="right"/>
      <protection locked="0"/>
    </xf>
    <xf numFmtId="3" fontId="50" fillId="0" borderId="15" xfId="23" applyNumberFormat="1" applyFont="1" applyFill="1" applyBorder="1" applyAlignment="1" applyProtection="1">
      <alignment horizontal="right"/>
      <protection locked="0"/>
    </xf>
    <xf numFmtId="3" fontId="45" fillId="8" borderId="37" xfId="23" applyNumberFormat="1" applyFont="1" applyFill="1" applyBorder="1" applyAlignment="1" applyProtection="1">
      <alignment horizontal="right"/>
      <protection locked="0"/>
    </xf>
    <xf numFmtId="3" fontId="20" fillId="63" borderId="0" xfId="5" applyFont="1" applyFill="1" applyBorder="1" applyAlignment="1" applyProtection="1">
      <protection locked="0"/>
    </xf>
    <xf numFmtId="49" fontId="20" fillId="66" borderId="0" xfId="23" applyNumberFormat="1" applyFont="1" applyFill="1" applyBorder="1" applyAlignment="1" applyProtection="1">
      <alignment horizontal="left"/>
      <protection locked="0"/>
    </xf>
    <xf numFmtId="0" fontId="42" fillId="55" borderId="0" xfId="30" applyNumberFormat="1" applyFont="1" applyFill="1" applyBorder="1" applyAlignment="1" applyProtection="1">
      <alignment horizontal="center"/>
      <protection locked="0"/>
    </xf>
    <xf numFmtId="1" fontId="20" fillId="3" borderId="0" xfId="5" quotePrefix="1" applyNumberFormat="1" applyFont="1" applyFill="1" applyBorder="1" applyAlignment="1" applyProtection="1">
      <alignment horizontal="center"/>
      <protection locked="0"/>
    </xf>
    <xf numFmtId="4" fontId="20" fillId="0" borderId="0" xfId="0" applyNumberFormat="1" applyFont="1" applyBorder="1" applyAlignment="1">
      <alignment horizontal="right"/>
    </xf>
    <xf numFmtId="4" fontId="20" fillId="0" borderId="4" xfId="0" applyNumberFormat="1" applyFont="1" applyBorder="1" applyAlignment="1">
      <alignment horizontal="right"/>
    </xf>
    <xf numFmtId="43" fontId="20" fillId="0" borderId="0" xfId="0" applyNumberFormat="1" applyFont="1" applyFill="1"/>
    <xf numFmtId="43" fontId="20" fillId="0" borderId="7" xfId="0" applyNumberFormat="1" applyFont="1" applyFill="1" applyBorder="1"/>
    <xf numFmtId="3" fontId="28" fillId="14" borderId="81" xfId="23" applyNumberFormat="1" applyFont="1" applyFill="1" applyBorder="1" applyAlignment="1" applyProtection="1">
      <alignment horizontal="right"/>
      <protection locked="0"/>
    </xf>
    <xf numFmtId="3" fontId="42" fillId="14" borderId="81" xfId="23" applyNumberFormat="1" applyFont="1" applyFill="1" applyBorder="1" applyAlignment="1" applyProtection="1">
      <alignment horizontal="right"/>
      <protection locked="0"/>
    </xf>
    <xf numFmtId="3" fontId="88" fillId="14" borderId="0" xfId="26034" applyNumberFormat="1" applyFill="1"/>
    <xf numFmtId="3" fontId="88" fillId="14" borderId="37" xfId="26035" applyNumberFormat="1" applyFill="1" applyBorder="1"/>
    <xf numFmtId="3" fontId="88" fillId="14" borderId="37" xfId="26036" applyNumberFormat="1" applyFill="1" applyBorder="1"/>
    <xf numFmtId="3" fontId="88" fillId="0" borderId="37" xfId="26037" applyNumberFormat="1" applyBorder="1"/>
    <xf numFmtId="3" fontId="88" fillId="14" borderId="37" xfId="26037" applyNumberFormat="1" applyFill="1" applyBorder="1"/>
    <xf numFmtId="3" fontId="88" fillId="14" borderId="37" xfId="26038" applyNumberFormat="1" applyFill="1" applyBorder="1"/>
    <xf numFmtId="170" fontId="44" fillId="14" borderId="4" xfId="1" applyNumberFormat="1" applyFont="1" applyFill="1" applyBorder="1" applyAlignment="1">
      <alignment horizontal="center"/>
    </xf>
    <xf numFmtId="17" fontId="0" fillId="0" borderId="0" xfId="0" quotePrefix="1" applyNumberFormat="1" applyFill="1" applyAlignment="1">
      <alignment horizontal="right"/>
    </xf>
    <xf numFmtId="37" fontId="0" fillId="0" borderId="57" xfId="0" applyNumberFormat="1" applyBorder="1" applyAlignment="1" applyProtection="1">
      <alignment horizontal="left" vertical="top" wrapText="1"/>
    </xf>
    <xf numFmtId="37" fontId="0" fillId="0" borderId="0" xfId="0" applyNumberFormat="1" applyBorder="1" applyAlignment="1" applyProtection="1">
      <alignment horizontal="left" vertical="top" wrapText="1"/>
    </xf>
    <xf numFmtId="3" fontId="18" fillId="0" borderId="0" xfId="0" applyFont="1" applyBorder="1" applyAlignment="1">
      <alignment wrapText="1"/>
    </xf>
    <xf numFmtId="3" fontId="0" fillId="0" borderId="0" xfId="0" applyAlignment="1">
      <alignment wrapText="1"/>
    </xf>
    <xf numFmtId="37" fontId="27" fillId="0" borderId="0" xfId="0" applyNumberFormat="1" applyFont="1" applyAlignment="1" applyProtection="1">
      <alignment horizontal="center"/>
    </xf>
    <xf numFmtId="37" fontId="23" fillId="0" borderId="0" xfId="0" applyNumberFormat="1" applyFont="1" applyAlignment="1" applyProtection="1">
      <alignment horizontal="center"/>
    </xf>
    <xf numFmtId="37" fontId="29" fillId="0" borderId="11" xfId="0" applyNumberFormat="1" applyFont="1" applyBorder="1" applyAlignment="1" applyProtection="1">
      <alignment horizontal="center"/>
    </xf>
    <xf numFmtId="3" fontId="19" fillId="0" borderId="11" xfId="0" applyFont="1" applyBorder="1" applyAlignment="1">
      <alignment horizontal="center"/>
    </xf>
    <xf numFmtId="3" fontId="18" fillId="0" borderId="0" xfId="0" applyFont="1" applyBorder="1"/>
    <xf numFmtId="37" fontId="0" fillId="0" borderId="6" xfId="0" applyNumberFormat="1" applyBorder="1" applyAlignment="1" applyProtection="1">
      <alignment horizontal="left" vertical="top" wrapText="1"/>
    </xf>
    <xf numFmtId="37" fontId="24" fillId="0" borderId="6" xfId="0" applyNumberFormat="1" applyFont="1" applyBorder="1" applyAlignment="1" applyProtection="1">
      <alignment horizontal="left" vertical="top" wrapText="1"/>
    </xf>
    <xf numFmtId="3" fontId="0" fillId="0" borderId="6" xfId="0" applyBorder="1" applyAlignment="1">
      <alignment horizontal="left" vertical="top" wrapText="1"/>
    </xf>
    <xf numFmtId="37" fontId="0" fillId="0" borderId="0" xfId="0" applyNumberFormat="1" applyFont="1" applyBorder="1" applyAlignment="1" applyProtection="1">
      <alignment horizontal="left" vertical="top" wrapText="1"/>
    </xf>
    <xf numFmtId="3" fontId="24" fillId="0" borderId="0" xfId="0" applyFont="1" applyAlignment="1"/>
    <xf numFmtId="165" fontId="51" fillId="0" borderId="27" xfId="23" applyNumberFormat="1" applyFont="1" applyFill="1" applyBorder="1" applyAlignment="1" applyProtection="1">
      <alignment horizontal="center"/>
      <protection locked="0"/>
    </xf>
    <xf numFmtId="165" fontId="51" fillId="0" borderId="22" xfId="23" applyNumberFormat="1" applyFont="1" applyFill="1" applyBorder="1" applyAlignment="1" applyProtection="1">
      <alignment horizontal="center"/>
      <protection locked="0"/>
    </xf>
    <xf numFmtId="4" fontId="89" fillId="0" borderId="0" xfId="0" applyNumberFormat="1" applyFont="1"/>
    <xf numFmtId="3" fontId="20" fillId="0" borderId="3" xfId="0" applyFont="1" applyBorder="1" applyAlignment="1">
      <alignment wrapText="1"/>
    </xf>
    <xf numFmtId="3" fontId="20" fillId="0" borderId="3" xfId="0" applyFont="1" applyBorder="1" applyAlignment="1">
      <alignment horizontal="center"/>
    </xf>
    <xf numFmtId="3" fontId="20" fillId="0" borderId="4" xfId="0" applyFont="1" applyBorder="1"/>
    <xf numFmtId="3" fontId="20" fillId="0" borderId="4" xfId="0" applyFont="1" applyFill="1" applyBorder="1"/>
    <xf numFmtId="3" fontId="20" fillId="0" borderId="5" xfId="0" applyFont="1" applyBorder="1"/>
    <xf numFmtId="4" fontId="89" fillId="0" borderId="3" xfId="0" applyNumberFormat="1" applyFont="1" applyBorder="1"/>
    <xf numFmtId="3" fontId="45" fillId="0" borderId="0" xfId="0" applyFont="1"/>
    <xf numFmtId="166" fontId="89" fillId="0" borderId="0" xfId="0" applyNumberFormat="1" applyFont="1" applyAlignment="1">
      <alignment vertical="center"/>
    </xf>
    <xf numFmtId="166" fontId="89" fillId="0" borderId="3" xfId="0" applyNumberFormat="1" applyFont="1" applyBorder="1" applyAlignment="1">
      <alignment vertical="center"/>
    </xf>
    <xf numFmtId="166" fontId="89" fillId="0" borderId="0" xfId="0" applyNumberFormat="1" applyFont="1"/>
    <xf numFmtId="4" fontId="89" fillId="0" borderId="16" xfId="0" applyNumberFormat="1" applyFont="1" applyBorder="1"/>
  </cellXfs>
  <cellStyles count="26039">
    <cellStyle name="20% - Accent1 2" xfId="993"/>
    <cellStyle name="20% - Accent2 2" xfId="994"/>
    <cellStyle name="20% - Accent3 2" xfId="995"/>
    <cellStyle name="20% - Accent4 2" xfId="996"/>
    <cellStyle name="20% - Accent5 2" xfId="997"/>
    <cellStyle name="20% - Accent6 2" xfId="998"/>
    <cellStyle name="40% - Accent1 2" xfId="999"/>
    <cellStyle name="40% - Accent2 2" xfId="1000"/>
    <cellStyle name="40% - Accent3 2" xfId="1001"/>
    <cellStyle name="40% - Accent4 2" xfId="1002"/>
    <cellStyle name="40% - Accent5 2" xfId="1003"/>
    <cellStyle name="40% - Accent6 2" xfId="1004"/>
    <cellStyle name="60% - Accent1 2" xfId="1005"/>
    <cellStyle name="60% - Accent2 2" xfId="1006"/>
    <cellStyle name="60% - Accent3 2" xfId="1007"/>
    <cellStyle name="60% - Accent4 2" xfId="1008"/>
    <cellStyle name="60% - Accent5 2" xfId="1009"/>
    <cellStyle name="60% - Accent6 2" xfId="1010"/>
    <cellStyle name="Accent1 2" xfId="1011"/>
    <cellStyle name="Accent2 2" xfId="1012"/>
    <cellStyle name="Accent3 2" xfId="1013"/>
    <cellStyle name="Accent4 2" xfId="1014"/>
    <cellStyle name="Accent5 2" xfId="1015"/>
    <cellStyle name="Accent6 2" xfId="1016"/>
    <cellStyle name="Bad 2" xfId="1017"/>
    <cellStyle name="Calculation 2" xfId="1018"/>
    <cellStyle name="Calculation 3" xfId="1042"/>
    <cellStyle name="Check Cell 2" xfId="1019"/>
    <cellStyle name="Comma" xfId="1" builtinId="3"/>
    <cellStyle name="Comma 2" xfId="23"/>
    <cellStyle name="Comma 2 2" xfId="111"/>
    <cellStyle name="Comma 2 3" xfId="69"/>
    <cellStyle name="Comma 2 4" xfId="1020"/>
    <cellStyle name="Comma 3" xfId="48"/>
    <cellStyle name="Comma 3 2" xfId="25"/>
    <cellStyle name="Comma 4" xfId="38"/>
    <cellStyle name="Comma 5" xfId="49"/>
    <cellStyle name="Comma 5 10" xfId="312"/>
    <cellStyle name="Comma 5 10 2" xfId="627"/>
    <cellStyle name="Comma 5 10 2 2" xfId="3114"/>
    <cellStyle name="Comma 5 10 2 2 2" xfId="12259"/>
    <cellStyle name="Comma 5 10 2 2 2 2" xfId="22477"/>
    <cellStyle name="Comma 5 10 2 2 3" xfId="8681"/>
    <cellStyle name="Comma 5 10 2 2 4" xfId="17470"/>
    <cellStyle name="Comma 5 10 2 3" xfId="4443"/>
    <cellStyle name="Comma 5 10 2 3 2" xfId="13283"/>
    <cellStyle name="Comma 5 10 2 3 2 2" xfId="23534"/>
    <cellStyle name="Comma 5 10 2 3 3" xfId="9704"/>
    <cellStyle name="Comma 5 10 2 3 4" xfId="18527"/>
    <cellStyle name="Comma 5 10 2 4" xfId="2223"/>
    <cellStyle name="Comma 5 10 2 4 2" xfId="11590"/>
    <cellStyle name="Comma 5 10 2 4 3" xfId="21594"/>
    <cellStyle name="Comma 5 10 2 5" xfId="5901"/>
    <cellStyle name="Comma 5 10 2 5 2" xfId="14728"/>
    <cellStyle name="Comma 5 10 2 5 3" xfId="24979"/>
    <cellStyle name="Comma 5 10 2 6" xfId="7345"/>
    <cellStyle name="Comma 5 10 2 6 2" xfId="20076"/>
    <cellStyle name="Comma 5 10 2 7" xfId="16587"/>
    <cellStyle name="Comma 5 10 3" xfId="1084"/>
    <cellStyle name="Comma 5 10 3 2" xfId="3514"/>
    <cellStyle name="Comma 5 10 3 2 2" xfId="12652"/>
    <cellStyle name="Comma 5 10 3 2 2 2" xfId="22871"/>
    <cellStyle name="Comma 5 10 3 2 3" xfId="9074"/>
    <cellStyle name="Comma 5 10 3 2 4" xfId="17864"/>
    <cellStyle name="Comma 5 10 3 3" xfId="4792"/>
    <cellStyle name="Comma 5 10 3 3 2" xfId="13631"/>
    <cellStyle name="Comma 5 10 3 3 2 2" xfId="23882"/>
    <cellStyle name="Comma 5 10 3 3 3" xfId="10052"/>
    <cellStyle name="Comma 5 10 3 3 4" xfId="18875"/>
    <cellStyle name="Comma 5 10 3 4" xfId="2591"/>
    <cellStyle name="Comma 5 10 3 4 2" xfId="11957"/>
    <cellStyle name="Comma 5 10 3 4 3" xfId="21961"/>
    <cellStyle name="Comma 5 10 3 5" xfId="6249"/>
    <cellStyle name="Comma 5 10 3 5 2" xfId="15076"/>
    <cellStyle name="Comma 5 10 3 5 3" xfId="25327"/>
    <cellStyle name="Comma 5 10 3 6" xfId="7695"/>
    <cellStyle name="Comma 5 10 3 6 2" xfId="20470"/>
    <cellStyle name="Comma 5 10 3 7" xfId="16954"/>
    <cellStyle name="Comma 5 10 4" xfId="2799"/>
    <cellStyle name="Comma 5 10 4 2" xfId="5177"/>
    <cellStyle name="Comma 5 10 4 2 2" xfId="14016"/>
    <cellStyle name="Comma 5 10 4 2 2 2" xfId="24267"/>
    <cellStyle name="Comma 5 10 4 2 3" xfId="10437"/>
    <cellStyle name="Comma 5 10 4 2 4" xfId="19260"/>
    <cellStyle name="Comma 5 10 4 3" xfId="6634"/>
    <cellStyle name="Comma 5 10 4 3 2" xfId="15461"/>
    <cellStyle name="Comma 5 10 4 3 3" xfId="25712"/>
    <cellStyle name="Comma 5 10 4 4" xfId="8080"/>
    <cellStyle name="Comma 5 10 4 4 2" xfId="22162"/>
    <cellStyle name="Comma 5 10 4 5" xfId="17155"/>
    <cellStyle name="Comma 5 10 5" xfId="4131"/>
    <cellStyle name="Comma 5 10 5 2" xfId="12971"/>
    <cellStyle name="Comma 5 10 5 2 2" xfId="23222"/>
    <cellStyle name="Comma 5 10 5 3" xfId="9392"/>
    <cellStyle name="Comma 5 10 5 4" xfId="18215"/>
    <cellStyle name="Comma 5 10 6" xfId="1908"/>
    <cellStyle name="Comma 5 10 6 2" xfId="11275"/>
    <cellStyle name="Comma 5 10 6 3" xfId="21279"/>
    <cellStyle name="Comma 5 10 7" xfId="5591"/>
    <cellStyle name="Comma 5 10 7 2" xfId="14418"/>
    <cellStyle name="Comma 5 10 7 3" xfId="24669"/>
    <cellStyle name="Comma 5 10 8" xfId="7035"/>
    <cellStyle name="Comma 5 10 8 2" xfId="19761"/>
    <cellStyle name="Comma 5 10 9" xfId="16272"/>
    <cellStyle name="Comma 5 11" xfId="626"/>
    <cellStyle name="Comma 5 11 2" xfId="3113"/>
    <cellStyle name="Comma 5 11 2 2" xfId="12258"/>
    <cellStyle name="Comma 5 11 2 2 2" xfId="22476"/>
    <cellStyle name="Comma 5 11 2 3" xfId="8680"/>
    <cellStyle name="Comma 5 11 2 4" xfId="17469"/>
    <cellStyle name="Comma 5 11 3" xfId="4442"/>
    <cellStyle name="Comma 5 11 3 2" xfId="13282"/>
    <cellStyle name="Comma 5 11 3 2 2" xfId="23533"/>
    <cellStyle name="Comma 5 11 3 3" xfId="9703"/>
    <cellStyle name="Comma 5 11 3 4" xfId="18526"/>
    <cellStyle name="Comma 5 11 4" xfId="2222"/>
    <cellStyle name="Comma 5 11 4 2" xfId="11589"/>
    <cellStyle name="Comma 5 11 4 3" xfId="21593"/>
    <cellStyle name="Comma 5 11 5" xfId="5900"/>
    <cellStyle name="Comma 5 11 5 2" xfId="14727"/>
    <cellStyle name="Comma 5 11 5 3" xfId="24978"/>
    <cellStyle name="Comma 5 11 6" xfId="7344"/>
    <cellStyle name="Comma 5 11 6 2" xfId="20075"/>
    <cellStyle name="Comma 5 11 7" xfId="16586"/>
    <cellStyle name="Comma 5 12" xfId="1052"/>
    <cellStyle name="Comma 5 12 2" xfId="3482"/>
    <cellStyle name="Comma 5 12 2 2" xfId="12620"/>
    <cellStyle name="Comma 5 12 2 2 2" xfId="22839"/>
    <cellStyle name="Comma 5 12 2 3" xfId="9042"/>
    <cellStyle name="Comma 5 12 2 4" xfId="17832"/>
    <cellStyle name="Comma 5 12 3" xfId="4791"/>
    <cellStyle name="Comma 5 12 3 2" xfId="13630"/>
    <cellStyle name="Comma 5 12 3 2 2" xfId="23881"/>
    <cellStyle name="Comma 5 12 3 3" xfId="10051"/>
    <cellStyle name="Comma 5 12 3 4" xfId="18874"/>
    <cellStyle name="Comma 5 12 4" xfId="1717"/>
    <cellStyle name="Comma 5 12 4 2" xfId="11096"/>
    <cellStyle name="Comma 5 12 4 3" xfId="21100"/>
    <cellStyle name="Comma 5 12 5" xfId="6248"/>
    <cellStyle name="Comma 5 12 5 2" xfId="15075"/>
    <cellStyle name="Comma 5 12 5 3" xfId="25326"/>
    <cellStyle name="Comma 5 12 6" xfId="7694"/>
    <cellStyle name="Comma 5 12 6 2" xfId="20438"/>
    <cellStyle name="Comma 5 12 7" xfId="16093"/>
    <cellStyle name="Comma 5 13" xfId="2617"/>
    <cellStyle name="Comma 5 13 2" xfId="5145"/>
    <cellStyle name="Comma 5 13 2 2" xfId="13984"/>
    <cellStyle name="Comma 5 13 2 2 2" xfId="24235"/>
    <cellStyle name="Comma 5 13 2 3" xfId="10405"/>
    <cellStyle name="Comma 5 13 2 4" xfId="19228"/>
    <cellStyle name="Comma 5 13 3" xfId="6602"/>
    <cellStyle name="Comma 5 13 3 2" xfId="15429"/>
    <cellStyle name="Comma 5 13 3 3" xfId="25680"/>
    <cellStyle name="Comma 5 13 4" xfId="8048"/>
    <cellStyle name="Comma 5 13 4 2" xfId="21983"/>
    <cellStyle name="Comma 5 13 5" xfId="16976"/>
    <cellStyle name="Comma 5 14" xfId="4099"/>
    <cellStyle name="Comma 5 14 2" xfId="5559"/>
    <cellStyle name="Comma 5 14 2 2" xfId="14386"/>
    <cellStyle name="Comma 5 14 2 3" xfId="24637"/>
    <cellStyle name="Comma 5 14 3" xfId="7003"/>
    <cellStyle name="Comma 5 14 3 2" xfId="23190"/>
    <cellStyle name="Comma 5 14 4" xfId="18183"/>
    <cellStyle name="Comma 5 15" xfId="1405"/>
    <cellStyle name="Comma 5 15 2" xfId="10784"/>
    <cellStyle name="Comma 5 15 3" xfId="20788"/>
    <cellStyle name="Comma 5 16" xfId="5517"/>
    <cellStyle name="Comma 5 16 2" xfId="14346"/>
    <cellStyle name="Comma 5 16 3" xfId="24597"/>
    <cellStyle name="Comma 5 17" xfId="6958"/>
    <cellStyle name="Comma 5 17 2" xfId="19583"/>
    <cellStyle name="Comma 5 18" xfId="15781"/>
    <cellStyle name="Comma 5 2" xfId="50"/>
    <cellStyle name="Comma 5 2 10" xfId="628"/>
    <cellStyle name="Comma 5 2 10 2" xfId="3115"/>
    <cellStyle name="Comma 5 2 10 2 2" xfId="12260"/>
    <cellStyle name="Comma 5 2 10 2 2 2" xfId="22478"/>
    <cellStyle name="Comma 5 2 10 2 3" xfId="8682"/>
    <cellStyle name="Comma 5 2 10 2 4" xfId="17471"/>
    <cellStyle name="Comma 5 2 10 3" xfId="4444"/>
    <cellStyle name="Comma 5 2 10 3 2" xfId="13284"/>
    <cellStyle name="Comma 5 2 10 3 2 2" xfId="23535"/>
    <cellStyle name="Comma 5 2 10 3 3" xfId="9705"/>
    <cellStyle name="Comma 5 2 10 3 4" xfId="18528"/>
    <cellStyle name="Comma 5 2 10 4" xfId="2224"/>
    <cellStyle name="Comma 5 2 10 4 2" xfId="11591"/>
    <cellStyle name="Comma 5 2 10 4 3" xfId="21595"/>
    <cellStyle name="Comma 5 2 10 5" xfId="5902"/>
    <cellStyle name="Comma 5 2 10 5 2" xfId="14729"/>
    <cellStyle name="Comma 5 2 10 5 3" xfId="24980"/>
    <cellStyle name="Comma 5 2 10 6" xfId="7346"/>
    <cellStyle name="Comma 5 2 10 6 2" xfId="20077"/>
    <cellStyle name="Comma 5 2 10 7" xfId="16588"/>
    <cellStyle name="Comma 5 2 11" xfId="1053"/>
    <cellStyle name="Comma 5 2 11 2" xfId="3483"/>
    <cellStyle name="Comma 5 2 11 2 2" xfId="12621"/>
    <cellStyle name="Comma 5 2 11 2 2 2" xfId="22840"/>
    <cellStyle name="Comma 5 2 11 2 3" xfId="9043"/>
    <cellStyle name="Comma 5 2 11 2 4" xfId="17833"/>
    <cellStyle name="Comma 5 2 11 3" xfId="4793"/>
    <cellStyle name="Comma 5 2 11 3 2" xfId="13632"/>
    <cellStyle name="Comma 5 2 11 3 2 2" xfId="23883"/>
    <cellStyle name="Comma 5 2 11 3 3" xfId="10053"/>
    <cellStyle name="Comma 5 2 11 3 4" xfId="18876"/>
    <cellStyle name="Comma 5 2 11 4" xfId="1718"/>
    <cellStyle name="Comma 5 2 11 4 2" xfId="11097"/>
    <cellStyle name="Comma 5 2 11 4 3" xfId="21101"/>
    <cellStyle name="Comma 5 2 11 5" xfId="6250"/>
    <cellStyle name="Comma 5 2 11 5 2" xfId="15077"/>
    <cellStyle name="Comma 5 2 11 5 3" xfId="25328"/>
    <cellStyle name="Comma 5 2 11 6" xfId="7696"/>
    <cellStyle name="Comma 5 2 11 6 2" xfId="20439"/>
    <cellStyle name="Comma 5 2 11 7" xfId="16094"/>
    <cellStyle name="Comma 5 2 12" xfId="2618"/>
    <cellStyle name="Comma 5 2 12 2" xfId="5146"/>
    <cellStyle name="Comma 5 2 12 2 2" xfId="13985"/>
    <cellStyle name="Comma 5 2 12 2 2 2" xfId="24236"/>
    <cellStyle name="Comma 5 2 12 2 3" xfId="10406"/>
    <cellStyle name="Comma 5 2 12 2 4" xfId="19229"/>
    <cellStyle name="Comma 5 2 12 3" xfId="6603"/>
    <cellStyle name="Comma 5 2 12 3 2" xfId="15430"/>
    <cellStyle name="Comma 5 2 12 3 3" xfId="25681"/>
    <cellStyle name="Comma 5 2 12 4" xfId="8049"/>
    <cellStyle name="Comma 5 2 12 4 2" xfId="21984"/>
    <cellStyle name="Comma 5 2 12 5" xfId="16977"/>
    <cellStyle name="Comma 5 2 13" xfId="4100"/>
    <cellStyle name="Comma 5 2 13 2" xfId="5560"/>
    <cellStyle name="Comma 5 2 13 2 2" xfId="14387"/>
    <cellStyle name="Comma 5 2 13 2 3" xfId="24638"/>
    <cellStyle name="Comma 5 2 13 3" xfId="7004"/>
    <cellStyle name="Comma 5 2 13 3 2" xfId="23191"/>
    <cellStyle name="Comma 5 2 13 4" xfId="18184"/>
    <cellStyle name="Comma 5 2 14" xfId="1406"/>
    <cellStyle name="Comma 5 2 14 2" xfId="10785"/>
    <cellStyle name="Comma 5 2 14 3" xfId="20789"/>
    <cellStyle name="Comma 5 2 15" xfId="5518"/>
    <cellStyle name="Comma 5 2 15 2" xfId="14347"/>
    <cellStyle name="Comma 5 2 15 3" xfId="24598"/>
    <cellStyle name="Comma 5 2 16" xfId="6959"/>
    <cellStyle name="Comma 5 2 16 2" xfId="19584"/>
    <cellStyle name="Comma 5 2 17" xfId="15782"/>
    <cellStyle name="Comma 5 2 2" xfId="121"/>
    <cellStyle name="Comma 5 2 2 10" xfId="4112"/>
    <cellStyle name="Comma 5 2 2 10 2" xfId="5572"/>
    <cellStyle name="Comma 5 2 2 10 2 2" xfId="14399"/>
    <cellStyle name="Comma 5 2 2 10 2 3" xfId="24650"/>
    <cellStyle name="Comma 5 2 2 10 3" xfId="7016"/>
    <cellStyle name="Comma 5 2 2 10 3 2" xfId="23203"/>
    <cellStyle name="Comma 5 2 2 10 4" xfId="18196"/>
    <cellStyle name="Comma 5 2 2 11" xfId="1431"/>
    <cellStyle name="Comma 5 2 2 11 2" xfId="10810"/>
    <cellStyle name="Comma 5 2 2 11 3" xfId="20814"/>
    <cellStyle name="Comma 5 2 2 12" xfId="5540"/>
    <cellStyle name="Comma 5 2 2 12 2" xfId="14369"/>
    <cellStyle name="Comma 5 2 2 12 3" xfId="24620"/>
    <cellStyle name="Comma 5 2 2 13" xfId="6986"/>
    <cellStyle name="Comma 5 2 2 13 2" xfId="19597"/>
    <cellStyle name="Comma 5 2 2 14" xfId="15807"/>
    <cellStyle name="Comma 5 2 2 2" xfId="165"/>
    <cellStyle name="Comma 5 2 2 2 10" xfId="5674"/>
    <cellStyle name="Comma 5 2 2 2 10 2" xfId="14501"/>
    <cellStyle name="Comma 5 2 2 2 10 3" xfId="24752"/>
    <cellStyle name="Comma 5 2 2 2 11" xfId="7118"/>
    <cellStyle name="Comma 5 2 2 2 11 2" xfId="19627"/>
    <cellStyle name="Comma 5 2 2 2 12" xfId="15864"/>
    <cellStyle name="Comma 5 2 2 2 2" xfId="277"/>
    <cellStyle name="Comma 5 2 2 2 2 10" xfId="16068"/>
    <cellStyle name="Comma 5 2 2 2 2 2" xfId="599"/>
    <cellStyle name="Comma 5 2 2 2 2 2 2" xfId="3086"/>
    <cellStyle name="Comma 5 2 2 2 2 2 2 2" xfId="12235"/>
    <cellStyle name="Comma 5 2 2 2 2 2 2 2 2" xfId="22449"/>
    <cellStyle name="Comma 5 2 2 2 2 2 2 3" xfId="8657"/>
    <cellStyle name="Comma 5 2 2 2 2 2 2 4" xfId="17442"/>
    <cellStyle name="Comma 5 2 2 2 2 2 3" xfId="4447"/>
    <cellStyle name="Comma 5 2 2 2 2 2 3 2" xfId="13287"/>
    <cellStyle name="Comma 5 2 2 2 2 2 3 2 2" xfId="23538"/>
    <cellStyle name="Comma 5 2 2 2 2 2 3 3" xfId="9708"/>
    <cellStyle name="Comma 5 2 2 2 2 2 3 4" xfId="18531"/>
    <cellStyle name="Comma 5 2 2 2 2 2 4" xfId="2195"/>
    <cellStyle name="Comma 5 2 2 2 2 2 4 2" xfId="11562"/>
    <cellStyle name="Comma 5 2 2 2 2 2 4 3" xfId="21566"/>
    <cellStyle name="Comma 5 2 2 2 2 2 5" xfId="5905"/>
    <cellStyle name="Comma 5 2 2 2 2 2 5 2" xfId="14732"/>
    <cellStyle name="Comma 5 2 2 2 2 2 5 3" xfId="24983"/>
    <cellStyle name="Comma 5 2 2 2 2 2 6" xfId="7349"/>
    <cellStyle name="Comma 5 2 2 2 2 2 6 2" xfId="20048"/>
    <cellStyle name="Comma 5 2 2 2 2 2 7" xfId="16559"/>
    <cellStyle name="Comma 5 2 2 2 2 3" xfId="631"/>
    <cellStyle name="Comma 5 2 2 2 2 3 2" xfId="3118"/>
    <cellStyle name="Comma 5 2 2 2 2 3 2 2" xfId="12263"/>
    <cellStyle name="Comma 5 2 2 2 2 3 2 2 2" xfId="22481"/>
    <cellStyle name="Comma 5 2 2 2 2 3 2 3" xfId="8685"/>
    <cellStyle name="Comma 5 2 2 2 2 3 2 4" xfId="17474"/>
    <cellStyle name="Comma 5 2 2 2 2 3 3" xfId="4796"/>
    <cellStyle name="Comma 5 2 2 2 2 3 3 2" xfId="13635"/>
    <cellStyle name="Comma 5 2 2 2 2 3 3 2 2" xfId="23886"/>
    <cellStyle name="Comma 5 2 2 2 2 3 3 3" xfId="10056"/>
    <cellStyle name="Comma 5 2 2 2 2 3 3 4" xfId="18879"/>
    <cellStyle name="Comma 5 2 2 2 2 3 4" xfId="2227"/>
    <cellStyle name="Comma 5 2 2 2 2 3 4 2" xfId="11594"/>
    <cellStyle name="Comma 5 2 2 2 2 3 4 3" xfId="21598"/>
    <cellStyle name="Comma 5 2 2 2 2 3 5" xfId="6253"/>
    <cellStyle name="Comma 5 2 2 2 2 3 5 2" xfId="15080"/>
    <cellStyle name="Comma 5 2 2 2 2 3 5 3" xfId="25331"/>
    <cellStyle name="Comma 5 2 2 2 2 3 6" xfId="7699"/>
    <cellStyle name="Comma 5 2 2 2 2 3 6 2" xfId="20080"/>
    <cellStyle name="Comma 5 2 2 2 2 3 7" xfId="16591"/>
    <cellStyle name="Comma 5 2 2 2 2 4" xfId="1371"/>
    <cellStyle name="Comma 5 2 2 2 2 4 2" xfId="3801"/>
    <cellStyle name="Comma 5 2 2 2 2 4 2 2" xfId="12939"/>
    <cellStyle name="Comma 5 2 2 2 2 4 2 2 2" xfId="23158"/>
    <cellStyle name="Comma 5 2 2 2 2 4 2 3" xfId="9360"/>
    <cellStyle name="Comma 5 2 2 2 2 4 2 4" xfId="18151"/>
    <cellStyle name="Comma 5 2 2 2 2 4 3" xfId="5464"/>
    <cellStyle name="Comma 5 2 2 2 2 4 3 2" xfId="14303"/>
    <cellStyle name="Comma 5 2 2 2 2 4 3 2 2" xfId="24554"/>
    <cellStyle name="Comma 5 2 2 2 2 4 3 3" xfId="10724"/>
    <cellStyle name="Comma 5 2 2 2 2 4 3 4" xfId="19547"/>
    <cellStyle name="Comma 5 2 2 2 2 4 4" xfId="1875"/>
    <cellStyle name="Comma 5 2 2 2 2 4 4 2" xfId="11245"/>
    <cellStyle name="Comma 5 2 2 2 2 4 4 3" xfId="21249"/>
    <cellStyle name="Comma 5 2 2 2 2 4 5" xfId="6921"/>
    <cellStyle name="Comma 5 2 2 2 2 4 5 2" xfId="15748"/>
    <cellStyle name="Comma 5 2 2 2 2 4 5 3" xfId="25999"/>
    <cellStyle name="Comma 5 2 2 2 2 4 6" xfId="8367"/>
    <cellStyle name="Comma 5 2 2 2 2 4 6 2" xfId="20757"/>
    <cellStyle name="Comma 5 2 2 2 2 4 7" xfId="16242"/>
    <cellStyle name="Comma 5 2 2 2 2 5" xfId="2769"/>
    <cellStyle name="Comma 5 2 2 2 2 5 2" xfId="12088"/>
    <cellStyle name="Comma 5 2 2 2 2 5 2 2" xfId="22132"/>
    <cellStyle name="Comma 5 2 2 2 2 5 3" xfId="8422"/>
    <cellStyle name="Comma 5 2 2 2 2 5 4" xfId="17125"/>
    <cellStyle name="Comma 5 2 2 2 2 6" xfId="4420"/>
    <cellStyle name="Comma 5 2 2 2 2 6 2" xfId="13260"/>
    <cellStyle name="Comma 5 2 2 2 2 6 2 2" xfId="23511"/>
    <cellStyle name="Comma 5 2 2 2 2 6 3" xfId="9681"/>
    <cellStyle name="Comma 5 2 2 2 2 6 4" xfId="18504"/>
    <cellStyle name="Comma 5 2 2 2 2 7" xfId="1692"/>
    <cellStyle name="Comma 5 2 2 2 2 7 2" xfId="11071"/>
    <cellStyle name="Comma 5 2 2 2 2 7 3" xfId="21075"/>
    <cellStyle name="Comma 5 2 2 2 2 8" xfId="5878"/>
    <cellStyle name="Comma 5 2 2 2 2 8 2" xfId="14705"/>
    <cellStyle name="Comma 5 2 2 2 2 8 3" xfId="24956"/>
    <cellStyle name="Comma 5 2 2 2 2 9" xfId="7322"/>
    <cellStyle name="Comma 5 2 2 2 2 9 2" xfId="19731"/>
    <cellStyle name="Comma 5 2 2 2 3" xfId="495"/>
    <cellStyle name="Comma 5 2 2 2 3 2" xfId="632"/>
    <cellStyle name="Comma 5 2 2 2 3 2 2" xfId="3119"/>
    <cellStyle name="Comma 5 2 2 2 3 2 2 2" xfId="12264"/>
    <cellStyle name="Comma 5 2 2 2 3 2 2 2 2" xfId="22482"/>
    <cellStyle name="Comma 5 2 2 2 3 2 2 3" xfId="8686"/>
    <cellStyle name="Comma 5 2 2 2 3 2 2 4" xfId="17475"/>
    <cellStyle name="Comma 5 2 2 2 3 2 3" xfId="4448"/>
    <cellStyle name="Comma 5 2 2 2 3 2 3 2" xfId="13288"/>
    <cellStyle name="Comma 5 2 2 2 3 2 3 2 2" xfId="23539"/>
    <cellStyle name="Comma 5 2 2 2 3 2 3 3" xfId="9709"/>
    <cellStyle name="Comma 5 2 2 2 3 2 3 4" xfId="18532"/>
    <cellStyle name="Comma 5 2 2 2 3 2 4" xfId="2228"/>
    <cellStyle name="Comma 5 2 2 2 3 2 4 2" xfId="11595"/>
    <cellStyle name="Comma 5 2 2 2 3 2 4 3" xfId="21599"/>
    <cellStyle name="Comma 5 2 2 2 3 2 5" xfId="5906"/>
    <cellStyle name="Comma 5 2 2 2 3 2 5 2" xfId="14733"/>
    <cellStyle name="Comma 5 2 2 2 3 2 5 3" xfId="24984"/>
    <cellStyle name="Comma 5 2 2 2 3 2 6" xfId="7350"/>
    <cellStyle name="Comma 5 2 2 2 3 2 6 2" xfId="20081"/>
    <cellStyle name="Comma 5 2 2 2 3 2 7" xfId="16592"/>
    <cellStyle name="Comma 5 2 2 2 3 3" xfId="1267"/>
    <cellStyle name="Comma 5 2 2 2 3 3 2" xfId="3697"/>
    <cellStyle name="Comma 5 2 2 2 3 3 2 2" xfId="12835"/>
    <cellStyle name="Comma 5 2 2 2 3 3 2 2 2" xfId="23054"/>
    <cellStyle name="Comma 5 2 2 2 3 3 2 3" xfId="9256"/>
    <cellStyle name="Comma 5 2 2 2 3 3 2 4" xfId="18047"/>
    <cellStyle name="Comma 5 2 2 2 3 3 3" xfId="4797"/>
    <cellStyle name="Comma 5 2 2 2 3 3 3 2" xfId="13636"/>
    <cellStyle name="Comma 5 2 2 2 3 3 3 2 2" xfId="23887"/>
    <cellStyle name="Comma 5 2 2 2 3 3 3 3" xfId="10057"/>
    <cellStyle name="Comma 5 2 2 2 3 3 3 4" xfId="18880"/>
    <cellStyle name="Comma 5 2 2 2 3 3 4" xfId="2091"/>
    <cellStyle name="Comma 5 2 2 2 3 3 4 2" xfId="11458"/>
    <cellStyle name="Comma 5 2 2 2 3 3 4 3" xfId="21462"/>
    <cellStyle name="Comma 5 2 2 2 3 3 5" xfId="6254"/>
    <cellStyle name="Comma 5 2 2 2 3 3 5 2" xfId="15081"/>
    <cellStyle name="Comma 5 2 2 2 3 3 5 3" xfId="25332"/>
    <cellStyle name="Comma 5 2 2 2 3 3 6" xfId="7700"/>
    <cellStyle name="Comma 5 2 2 2 3 3 6 2" xfId="20653"/>
    <cellStyle name="Comma 5 2 2 2 3 3 7" xfId="16455"/>
    <cellStyle name="Comma 5 2 2 2 3 4" xfId="2982"/>
    <cellStyle name="Comma 5 2 2 2 3 4 2" xfId="5360"/>
    <cellStyle name="Comma 5 2 2 2 3 4 2 2" xfId="14199"/>
    <cellStyle name="Comma 5 2 2 2 3 4 2 2 2" xfId="24450"/>
    <cellStyle name="Comma 5 2 2 2 3 4 2 3" xfId="10620"/>
    <cellStyle name="Comma 5 2 2 2 3 4 2 4" xfId="19443"/>
    <cellStyle name="Comma 5 2 2 2 3 4 3" xfId="6817"/>
    <cellStyle name="Comma 5 2 2 2 3 4 3 2" xfId="15644"/>
    <cellStyle name="Comma 5 2 2 2 3 4 3 3" xfId="25895"/>
    <cellStyle name="Comma 5 2 2 2 3 4 4" xfId="8263"/>
    <cellStyle name="Comma 5 2 2 2 3 4 4 2" xfId="22345"/>
    <cellStyle name="Comma 5 2 2 2 3 4 5" xfId="17338"/>
    <cellStyle name="Comma 5 2 2 2 3 5" xfId="4316"/>
    <cellStyle name="Comma 5 2 2 2 3 5 2" xfId="13156"/>
    <cellStyle name="Comma 5 2 2 2 3 5 2 2" xfId="23407"/>
    <cellStyle name="Comma 5 2 2 2 3 5 3" xfId="9577"/>
    <cellStyle name="Comma 5 2 2 2 3 5 4" xfId="18400"/>
    <cellStyle name="Comma 5 2 2 2 3 6" xfId="1588"/>
    <cellStyle name="Comma 5 2 2 2 3 6 2" xfId="10967"/>
    <cellStyle name="Comma 5 2 2 2 3 6 3" xfId="20971"/>
    <cellStyle name="Comma 5 2 2 2 3 7" xfId="5774"/>
    <cellStyle name="Comma 5 2 2 2 3 7 2" xfId="14601"/>
    <cellStyle name="Comma 5 2 2 2 3 7 3" xfId="24852"/>
    <cellStyle name="Comma 5 2 2 2 3 8" xfId="7218"/>
    <cellStyle name="Comma 5 2 2 2 3 8 2" xfId="19944"/>
    <cellStyle name="Comma 5 2 2 2 3 9" xfId="15964"/>
    <cellStyle name="Comma 5 2 2 2 4" xfId="395"/>
    <cellStyle name="Comma 5 2 2 2 4 2" xfId="2882"/>
    <cellStyle name="Comma 5 2 2 2 4 2 2" xfId="12172"/>
    <cellStyle name="Comma 5 2 2 2 4 2 2 2" xfId="22245"/>
    <cellStyle name="Comma 5 2 2 2 4 2 3" xfId="8419"/>
    <cellStyle name="Comma 5 2 2 2 4 2 4" xfId="17238"/>
    <cellStyle name="Comma 5 2 2 2 4 3" xfId="4446"/>
    <cellStyle name="Comma 5 2 2 2 4 3 2" xfId="13286"/>
    <cellStyle name="Comma 5 2 2 2 4 3 2 2" xfId="23537"/>
    <cellStyle name="Comma 5 2 2 2 4 3 3" xfId="9707"/>
    <cellStyle name="Comma 5 2 2 2 4 3 4" xfId="18530"/>
    <cellStyle name="Comma 5 2 2 2 4 4" xfId="1991"/>
    <cellStyle name="Comma 5 2 2 2 4 4 2" xfId="11358"/>
    <cellStyle name="Comma 5 2 2 2 4 4 3" xfId="21362"/>
    <cellStyle name="Comma 5 2 2 2 4 5" xfId="5904"/>
    <cellStyle name="Comma 5 2 2 2 4 5 2" xfId="14731"/>
    <cellStyle name="Comma 5 2 2 2 4 5 3" xfId="24982"/>
    <cellStyle name="Comma 5 2 2 2 4 6" xfId="7348"/>
    <cellStyle name="Comma 5 2 2 2 4 6 2" xfId="19844"/>
    <cellStyle name="Comma 5 2 2 2 4 7" xfId="16355"/>
    <cellStyle name="Comma 5 2 2 2 5" xfId="630"/>
    <cellStyle name="Comma 5 2 2 2 5 2" xfId="3117"/>
    <cellStyle name="Comma 5 2 2 2 5 2 2" xfId="12262"/>
    <cellStyle name="Comma 5 2 2 2 5 2 2 2" xfId="22480"/>
    <cellStyle name="Comma 5 2 2 2 5 2 3" xfId="8684"/>
    <cellStyle name="Comma 5 2 2 2 5 2 4" xfId="17473"/>
    <cellStyle name="Comma 5 2 2 2 5 3" xfId="4795"/>
    <cellStyle name="Comma 5 2 2 2 5 3 2" xfId="13634"/>
    <cellStyle name="Comma 5 2 2 2 5 3 2 2" xfId="23885"/>
    <cellStyle name="Comma 5 2 2 2 5 3 3" xfId="10055"/>
    <cellStyle name="Comma 5 2 2 2 5 3 4" xfId="18878"/>
    <cellStyle name="Comma 5 2 2 2 5 4" xfId="2226"/>
    <cellStyle name="Comma 5 2 2 2 5 4 2" xfId="11593"/>
    <cellStyle name="Comma 5 2 2 2 5 4 3" xfId="21597"/>
    <cellStyle name="Comma 5 2 2 2 5 5" xfId="6252"/>
    <cellStyle name="Comma 5 2 2 2 5 5 2" xfId="15079"/>
    <cellStyle name="Comma 5 2 2 2 5 5 3" xfId="25330"/>
    <cellStyle name="Comma 5 2 2 2 5 6" xfId="7698"/>
    <cellStyle name="Comma 5 2 2 2 5 6 2" xfId="20079"/>
    <cellStyle name="Comma 5 2 2 2 5 7" xfId="16590"/>
    <cellStyle name="Comma 5 2 2 2 6" xfId="1167"/>
    <cellStyle name="Comma 5 2 2 2 6 2" xfId="3597"/>
    <cellStyle name="Comma 5 2 2 2 6 2 2" xfId="12735"/>
    <cellStyle name="Comma 5 2 2 2 6 2 2 2" xfId="22954"/>
    <cellStyle name="Comma 5 2 2 2 6 2 3" xfId="9156"/>
    <cellStyle name="Comma 5 2 2 2 6 2 4" xfId="17947"/>
    <cellStyle name="Comma 5 2 2 2 6 3" xfId="5260"/>
    <cellStyle name="Comma 5 2 2 2 6 3 2" xfId="14099"/>
    <cellStyle name="Comma 5 2 2 2 6 3 2 2" xfId="24350"/>
    <cellStyle name="Comma 5 2 2 2 6 3 3" xfId="10520"/>
    <cellStyle name="Comma 5 2 2 2 6 3 4" xfId="19343"/>
    <cellStyle name="Comma 5 2 2 2 6 4" xfId="1768"/>
    <cellStyle name="Comma 5 2 2 2 6 4 2" xfId="11141"/>
    <cellStyle name="Comma 5 2 2 2 6 4 3" xfId="21145"/>
    <cellStyle name="Comma 5 2 2 2 6 5" xfId="6717"/>
    <cellStyle name="Comma 5 2 2 2 6 5 2" xfId="15544"/>
    <cellStyle name="Comma 5 2 2 2 6 5 3" xfId="25795"/>
    <cellStyle name="Comma 5 2 2 2 6 6" xfId="8163"/>
    <cellStyle name="Comma 5 2 2 2 6 6 2" xfId="20553"/>
    <cellStyle name="Comma 5 2 2 2 6 7" xfId="16138"/>
    <cellStyle name="Comma 5 2 2 2 7" xfId="2665"/>
    <cellStyle name="Comma 5 2 2 2 7 2" xfId="11987"/>
    <cellStyle name="Comma 5 2 2 2 7 2 2" xfId="22028"/>
    <cellStyle name="Comma 5 2 2 2 7 3" xfId="8511"/>
    <cellStyle name="Comma 5 2 2 2 7 4" xfId="17021"/>
    <cellStyle name="Comma 5 2 2 2 8" xfId="4216"/>
    <cellStyle name="Comma 5 2 2 2 8 2" xfId="13056"/>
    <cellStyle name="Comma 5 2 2 2 8 2 2" xfId="23307"/>
    <cellStyle name="Comma 5 2 2 2 8 3" xfId="9477"/>
    <cellStyle name="Comma 5 2 2 2 8 4" xfId="18300"/>
    <cellStyle name="Comma 5 2 2 2 9" xfId="1488"/>
    <cellStyle name="Comma 5 2 2 2 9 2" xfId="10867"/>
    <cellStyle name="Comma 5 2 2 2 9 3" xfId="20871"/>
    <cellStyle name="Comma 5 2 2 3" xfId="212"/>
    <cellStyle name="Comma 5 2 2 3 10" xfId="7161"/>
    <cellStyle name="Comma 5 2 2 3 10 2" xfId="19670"/>
    <cellStyle name="Comma 5 2 2 3 11" xfId="15907"/>
    <cellStyle name="Comma 5 2 2 3 2" xfId="538"/>
    <cellStyle name="Comma 5 2 2 3 2 2" xfId="634"/>
    <cellStyle name="Comma 5 2 2 3 2 2 2" xfId="3121"/>
    <cellStyle name="Comma 5 2 2 3 2 2 2 2" xfId="12266"/>
    <cellStyle name="Comma 5 2 2 3 2 2 2 2 2" xfId="22484"/>
    <cellStyle name="Comma 5 2 2 3 2 2 2 3" xfId="8688"/>
    <cellStyle name="Comma 5 2 2 3 2 2 2 4" xfId="17477"/>
    <cellStyle name="Comma 5 2 2 3 2 2 3" xfId="4450"/>
    <cellStyle name="Comma 5 2 2 3 2 2 3 2" xfId="13290"/>
    <cellStyle name="Comma 5 2 2 3 2 2 3 2 2" xfId="23541"/>
    <cellStyle name="Comma 5 2 2 3 2 2 3 3" xfId="9711"/>
    <cellStyle name="Comma 5 2 2 3 2 2 3 4" xfId="18534"/>
    <cellStyle name="Comma 5 2 2 3 2 2 4" xfId="2230"/>
    <cellStyle name="Comma 5 2 2 3 2 2 4 2" xfId="11597"/>
    <cellStyle name="Comma 5 2 2 3 2 2 4 3" xfId="21601"/>
    <cellStyle name="Comma 5 2 2 3 2 2 5" xfId="5908"/>
    <cellStyle name="Comma 5 2 2 3 2 2 5 2" xfId="14735"/>
    <cellStyle name="Comma 5 2 2 3 2 2 5 3" xfId="24986"/>
    <cellStyle name="Comma 5 2 2 3 2 2 6" xfId="7352"/>
    <cellStyle name="Comma 5 2 2 3 2 2 6 2" xfId="20083"/>
    <cellStyle name="Comma 5 2 2 3 2 2 7" xfId="16594"/>
    <cellStyle name="Comma 5 2 2 3 2 3" xfId="1310"/>
    <cellStyle name="Comma 5 2 2 3 2 3 2" xfId="3740"/>
    <cellStyle name="Comma 5 2 2 3 2 3 2 2" xfId="12878"/>
    <cellStyle name="Comma 5 2 2 3 2 3 2 2 2" xfId="23097"/>
    <cellStyle name="Comma 5 2 2 3 2 3 2 3" xfId="9299"/>
    <cellStyle name="Comma 5 2 2 3 2 3 2 4" xfId="18090"/>
    <cellStyle name="Comma 5 2 2 3 2 3 3" xfId="4799"/>
    <cellStyle name="Comma 5 2 2 3 2 3 3 2" xfId="13638"/>
    <cellStyle name="Comma 5 2 2 3 2 3 3 2 2" xfId="23889"/>
    <cellStyle name="Comma 5 2 2 3 2 3 3 3" xfId="10059"/>
    <cellStyle name="Comma 5 2 2 3 2 3 3 4" xfId="18882"/>
    <cellStyle name="Comma 5 2 2 3 2 3 4" xfId="2134"/>
    <cellStyle name="Comma 5 2 2 3 2 3 4 2" xfId="11501"/>
    <cellStyle name="Comma 5 2 2 3 2 3 4 3" xfId="21505"/>
    <cellStyle name="Comma 5 2 2 3 2 3 5" xfId="6256"/>
    <cellStyle name="Comma 5 2 2 3 2 3 5 2" xfId="15083"/>
    <cellStyle name="Comma 5 2 2 3 2 3 5 3" xfId="25334"/>
    <cellStyle name="Comma 5 2 2 3 2 3 6" xfId="7702"/>
    <cellStyle name="Comma 5 2 2 3 2 3 6 2" xfId="20696"/>
    <cellStyle name="Comma 5 2 2 3 2 3 7" xfId="16498"/>
    <cellStyle name="Comma 5 2 2 3 2 4" xfId="3025"/>
    <cellStyle name="Comma 5 2 2 3 2 4 2" xfId="5403"/>
    <cellStyle name="Comma 5 2 2 3 2 4 2 2" xfId="14242"/>
    <cellStyle name="Comma 5 2 2 3 2 4 2 2 2" xfId="24493"/>
    <cellStyle name="Comma 5 2 2 3 2 4 2 3" xfId="10663"/>
    <cellStyle name="Comma 5 2 2 3 2 4 2 4" xfId="19486"/>
    <cellStyle name="Comma 5 2 2 3 2 4 3" xfId="6860"/>
    <cellStyle name="Comma 5 2 2 3 2 4 3 2" xfId="15687"/>
    <cellStyle name="Comma 5 2 2 3 2 4 3 3" xfId="25938"/>
    <cellStyle name="Comma 5 2 2 3 2 4 4" xfId="8306"/>
    <cellStyle name="Comma 5 2 2 3 2 4 4 2" xfId="22388"/>
    <cellStyle name="Comma 5 2 2 3 2 4 5" xfId="17381"/>
    <cellStyle name="Comma 5 2 2 3 2 5" xfId="4359"/>
    <cellStyle name="Comma 5 2 2 3 2 5 2" xfId="13199"/>
    <cellStyle name="Comma 5 2 2 3 2 5 2 2" xfId="23450"/>
    <cellStyle name="Comma 5 2 2 3 2 5 3" xfId="9620"/>
    <cellStyle name="Comma 5 2 2 3 2 5 4" xfId="18443"/>
    <cellStyle name="Comma 5 2 2 3 2 6" xfId="1631"/>
    <cellStyle name="Comma 5 2 2 3 2 6 2" xfId="11010"/>
    <cellStyle name="Comma 5 2 2 3 2 6 3" xfId="21014"/>
    <cellStyle name="Comma 5 2 2 3 2 7" xfId="5817"/>
    <cellStyle name="Comma 5 2 2 3 2 7 2" xfId="14644"/>
    <cellStyle name="Comma 5 2 2 3 2 7 3" xfId="24895"/>
    <cellStyle name="Comma 5 2 2 3 2 8" xfId="7261"/>
    <cellStyle name="Comma 5 2 2 3 2 8 2" xfId="19987"/>
    <cellStyle name="Comma 5 2 2 3 2 9" xfId="16007"/>
    <cellStyle name="Comma 5 2 2 3 3" xfId="438"/>
    <cellStyle name="Comma 5 2 2 3 3 2" xfId="2925"/>
    <cellStyle name="Comma 5 2 2 3 3 2 2" xfId="12215"/>
    <cellStyle name="Comma 5 2 2 3 3 2 2 2" xfId="22288"/>
    <cellStyle name="Comma 5 2 2 3 3 2 3" xfId="8398"/>
    <cellStyle name="Comma 5 2 2 3 3 2 4" xfId="17281"/>
    <cellStyle name="Comma 5 2 2 3 3 3" xfId="4449"/>
    <cellStyle name="Comma 5 2 2 3 3 3 2" xfId="13289"/>
    <cellStyle name="Comma 5 2 2 3 3 3 2 2" xfId="23540"/>
    <cellStyle name="Comma 5 2 2 3 3 3 3" xfId="9710"/>
    <cellStyle name="Comma 5 2 2 3 3 3 4" xfId="18533"/>
    <cellStyle name="Comma 5 2 2 3 3 4" xfId="2034"/>
    <cellStyle name="Comma 5 2 2 3 3 4 2" xfId="11401"/>
    <cellStyle name="Comma 5 2 2 3 3 4 3" xfId="21405"/>
    <cellStyle name="Comma 5 2 2 3 3 5" xfId="5907"/>
    <cellStyle name="Comma 5 2 2 3 3 5 2" xfId="14734"/>
    <cellStyle name="Comma 5 2 2 3 3 5 3" xfId="24985"/>
    <cellStyle name="Comma 5 2 2 3 3 6" xfId="7351"/>
    <cellStyle name="Comma 5 2 2 3 3 6 2" xfId="19887"/>
    <cellStyle name="Comma 5 2 2 3 3 7" xfId="16398"/>
    <cellStyle name="Comma 5 2 2 3 4" xfId="633"/>
    <cellStyle name="Comma 5 2 2 3 4 2" xfId="3120"/>
    <cellStyle name="Comma 5 2 2 3 4 2 2" xfId="12265"/>
    <cellStyle name="Comma 5 2 2 3 4 2 2 2" xfId="22483"/>
    <cellStyle name="Comma 5 2 2 3 4 2 3" xfId="8687"/>
    <cellStyle name="Comma 5 2 2 3 4 2 4" xfId="17476"/>
    <cellStyle name="Comma 5 2 2 3 4 3" xfId="4798"/>
    <cellStyle name="Comma 5 2 2 3 4 3 2" xfId="13637"/>
    <cellStyle name="Comma 5 2 2 3 4 3 2 2" xfId="23888"/>
    <cellStyle name="Comma 5 2 2 3 4 3 3" xfId="10058"/>
    <cellStyle name="Comma 5 2 2 3 4 3 4" xfId="18881"/>
    <cellStyle name="Comma 5 2 2 3 4 4" xfId="2229"/>
    <cellStyle name="Comma 5 2 2 3 4 4 2" xfId="11596"/>
    <cellStyle name="Comma 5 2 2 3 4 4 3" xfId="21600"/>
    <cellStyle name="Comma 5 2 2 3 4 5" xfId="6255"/>
    <cellStyle name="Comma 5 2 2 3 4 5 2" xfId="15082"/>
    <cellStyle name="Comma 5 2 2 3 4 5 3" xfId="25333"/>
    <cellStyle name="Comma 5 2 2 3 4 6" xfId="7701"/>
    <cellStyle name="Comma 5 2 2 3 4 6 2" xfId="20082"/>
    <cellStyle name="Comma 5 2 2 3 4 7" xfId="16593"/>
    <cellStyle name="Comma 5 2 2 3 5" xfId="1210"/>
    <cellStyle name="Comma 5 2 2 3 5 2" xfId="3640"/>
    <cellStyle name="Comma 5 2 2 3 5 2 2" xfId="12778"/>
    <cellStyle name="Comma 5 2 2 3 5 2 2 2" xfId="22997"/>
    <cellStyle name="Comma 5 2 2 3 5 2 3" xfId="9199"/>
    <cellStyle name="Comma 5 2 2 3 5 2 4" xfId="17990"/>
    <cellStyle name="Comma 5 2 2 3 5 3" xfId="5303"/>
    <cellStyle name="Comma 5 2 2 3 5 3 2" xfId="14142"/>
    <cellStyle name="Comma 5 2 2 3 5 3 2 2" xfId="24393"/>
    <cellStyle name="Comma 5 2 2 3 5 3 3" xfId="10563"/>
    <cellStyle name="Comma 5 2 2 3 5 3 4" xfId="19386"/>
    <cellStyle name="Comma 5 2 2 3 5 4" xfId="1814"/>
    <cellStyle name="Comma 5 2 2 3 5 4 2" xfId="11184"/>
    <cellStyle name="Comma 5 2 2 3 5 4 3" xfId="21188"/>
    <cellStyle name="Comma 5 2 2 3 5 5" xfId="6760"/>
    <cellStyle name="Comma 5 2 2 3 5 5 2" xfId="15587"/>
    <cellStyle name="Comma 5 2 2 3 5 5 3" xfId="25838"/>
    <cellStyle name="Comma 5 2 2 3 5 6" xfId="8206"/>
    <cellStyle name="Comma 5 2 2 3 5 6 2" xfId="20596"/>
    <cellStyle name="Comma 5 2 2 3 5 7" xfId="16181"/>
    <cellStyle name="Comma 5 2 2 3 6" xfId="2708"/>
    <cellStyle name="Comma 5 2 2 3 6 2" xfId="12027"/>
    <cellStyle name="Comma 5 2 2 3 6 2 2" xfId="22071"/>
    <cellStyle name="Comma 5 2 2 3 6 3" xfId="8566"/>
    <cellStyle name="Comma 5 2 2 3 6 4" xfId="17064"/>
    <cellStyle name="Comma 5 2 2 3 7" xfId="4259"/>
    <cellStyle name="Comma 5 2 2 3 7 2" xfId="13099"/>
    <cellStyle name="Comma 5 2 2 3 7 2 2" xfId="23350"/>
    <cellStyle name="Comma 5 2 2 3 7 3" xfId="9520"/>
    <cellStyle name="Comma 5 2 2 3 7 4" xfId="18343"/>
    <cellStyle name="Comma 5 2 2 3 8" xfId="1531"/>
    <cellStyle name="Comma 5 2 2 3 8 2" xfId="10910"/>
    <cellStyle name="Comma 5 2 2 3 8 3" xfId="20914"/>
    <cellStyle name="Comma 5 2 2 3 9" xfId="5717"/>
    <cellStyle name="Comma 5 2 2 3 9 2" xfId="14544"/>
    <cellStyle name="Comma 5 2 2 3 9 3" xfId="24795"/>
    <cellStyle name="Comma 5 2 2 4" xfId="247"/>
    <cellStyle name="Comma 5 2 2 4 10" xfId="7088"/>
    <cellStyle name="Comma 5 2 2 4 10 2" xfId="19702"/>
    <cellStyle name="Comma 5 2 2 4 11" xfId="15834"/>
    <cellStyle name="Comma 5 2 2 4 2" xfId="570"/>
    <cellStyle name="Comma 5 2 2 4 2 2" xfId="636"/>
    <cellStyle name="Comma 5 2 2 4 2 2 2" xfId="3123"/>
    <cellStyle name="Comma 5 2 2 4 2 2 2 2" xfId="12268"/>
    <cellStyle name="Comma 5 2 2 4 2 2 2 2 2" xfId="22486"/>
    <cellStyle name="Comma 5 2 2 4 2 2 2 3" xfId="8690"/>
    <cellStyle name="Comma 5 2 2 4 2 2 2 4" xfId="17479"/>
    <cellStyle name="Comma 5 2 2 4 2 2 3" xfId="4452"/>
    <cellStyle name="Comma 5 2 2 4 2 2 3 2" xfId="13292"/>
    <cellStyle name="Comma 5 2 2 4 2 2 3 2 2" xfId="23543"/>
    <cellStyle name="Comma 5 2 2 4 2 2 3 3" xfId="9713"/>
    <cellStyle name="Comma 5 2 2 4 2 2 3 4" xfId="18536"/>
    <cellStyle name="Comma 5 2 2 4 2 2 4" xfId="2232"/>
    <cellStyle name="Comma 5 2 2 4 2 2 4 2" xfId="11599"/>
    <cellStyle name="Comma 5 2 2 4 2 2 4 3" xfId="21603"/>
    <cellStyle name="Comma 5 2 2 4 2 2 5" xfId="5910"/>
    <cellStyle name="Comma 5 2 2 4 2 2 5 2" xfId="14737"/>
    <cellStyle name="Comma 5 2 2 4 2 2 5 3" xfId="24988"/>
    <cellStyle name="Comma 5 2 2 4 2 2 6" xfId="7354"/>
    <cellStyle name="Comma 5 2 2 4 2 2 6 2" xfId="20085"/>
    <cellStyle name="Comma 5 2 2 4 2 2 7" xfId="16596"/>
    <cellStyle name="Comma 5 2 2 4 2 3" xfId="1342"/>
    <cellStyle name="Comma 5 2 2 4 2 3 2" xfId="3772"/>
    <cellStyle name="Comma 5 2 2 4 2 3 2 2" xfId="12910"/>
    <cellStyle name="Comma 5 2 2 4 2 3 2 2 2" xfId="23129"/>
    <cellStyle name="Comma 5 2 2 4 2 3 2 3" xfId="9331"/>
    <cellStyle name="Comma 5 2 2 4 2 3 2 4" xfId="18122"/>
    <cellStyle name="Comma 5 2 2 4 2 3 3" xfId="4801"/>
    <cellStyle name="Comma 5 2 2 4 2 3 3 2" xfId="13640"/>
    <cellStyle name="Comma 5 2 2 4 2 3 3 2 2" xfId="23891"/>
    <cellStyle name="Comma 5 2 2 4 2 3 3 3" xfId="10061"/>
    <cellStyle name="Comma 5 2 2 4 2 3 3 4" xfId="18884"/>
    <cellStyle name="Comma 5 2 2 4 2 3 4" xfId="2166"/>
    <cellStyle name="Comma 5 2 2 4 2 3 4 2" xfId="11533"/>
    <cellStyle name="Comma 5 2 2 4 2 3 4 3" xfId="21537"/>
    <cellStyle name="Comma 5 2 2 4 2 3 5" xfId="6258"/>
    <cellStyle name="Comma 5 2 2 4 2 3 5 2" xfId="15085"/>
    <cellStyle name="Comma 5 2 2 4 2 3 5 3" xfId="25336"/>
    <cellStyle name="Comma 5 2 2 4 2 3 6" xfId="7704"/>
    <cellStyle name="Comma 5 2 2 4 2 3 6 2" xfId="20728"/>
    <cellStyle name="Comma 5 2 2 4 2 3 7" xfId="16530"/>
    <cellStyle name="Comma 5 2 2 4 2 4" xfId="3057"/>
    <cellStyle name="Comma 5 2 2 4 2 4 2" xfId="5435"/>
    <cellStyle name="Comma 5 2 2 4 2 4 2 2" xfId="14274"/>
    <cellStyle name="Comma 5 2 2 4 2 4 2 2 2" xfId="24525"/>
    <cellStyle name="Comma 5 2 2 4 2 4 2 3" xfId="10695"/>
    <cellStyle name="Comma 5 2 2 4 2 4 2 4" xfId="19518"/>
    <cellStyle name="Comma 5 2 2 4 2 4 3" xfId="6892"/>
    <cellStyle name="Comma 5 2 2 4 2 4 3 2" xfId="15719"/>
    <cellStyle name="Comma 5 2 2 4 2 4 3 3" xfId="25970"/>
    <cellStyle name="Comma 5 2 2 4 2 4 4" xfId="8338"/>
    <cellStyle name="Comma 5 2 2 4 2 4 4 2" xfId="22420"/>
    <cellStyle name="Comma 5 2 2 4 2 4 5" xfId="17413"/>
    <cellStyle name="Comma 5 2 2 4 2 5" xfId="4391"/>
    <cellStyle name="Comma 5 2 2 4 2 5 2" xfId="13231"/>
    <cellStyle name="Comma 5 2 2 4 2 5 2 2" xfId="23482"/>
    <cellStyle name="Comma 5 2 2 4 2 5 3" xfId="9652"/>
    <cellStyle name="Comma 5 2 2 4 2 5 4" xfId="18475"/>
    <cellStyle name="Comma 5 2 2 4 2 6" xfId="1663"/>
    <cellStyle name="Comma 5 2 2 4 2 6 2" xfId="11042"/>
    <cellStyle name="Comma 5 2 2 4 2 6 3" xfId="21046"/>
    <cellStyle name="Comma 5 2 2 4 2 7" xfId="5849"/>
    <cellStyle name="Comma 5 2 2 4 2 7 2" xfId="14676"/>
    <cellStyle name="Comma 5 2 2 4 2 7 3" xfId="24927"/>
    <cellStyle name="Comma 5 2 2 4 2 8" xfId="7293"/>
    <cellStyle name="Comma 5 2 2 4 2 8 2" xfId="20019"/>
    <cellStyle name="Comma 5 2 2 4 2 9" xfId="16039"/>
    <cellStyle name="Comma 5 2 2 4 3" xfId="365"/>
    <cellStyle name="Comma 5 2 2 4 3 2" xfId="2852"/>
    <cellStyle name="Comma 5 2 2 4 3 2 2" xfId="12142"/>
    <cellStyle name="Comma 5 2 2 4 3 2 2 2" xfId="22215"/>
    <cellStyle name="Comma 5 2 2 4 3 2 3" xfId="8452"/>
    <cellStyle name="Comma 5 2 2 4 3 2 4" xfId="17208"/>
    <cellStyle name="Comma 5 2 2 4 3 3" xfId="4451"/>
    <cellStyle name="Comma 5 2 2 4 3 3 2" xfId="13291"/>
    <cellStyle name="Comma 5 2 2 4 3 3 2 2" xfId="23542"/>
    <cellStyle name="Comma 5 2 2 4 3 3 3" xfId="9712"/>
    <cellStyle name="Comma 5 2 2 4 3 3 4" xfId="18535"/>
    <cellStyle name="Comma 5 2 2 4 3 4" xfId="1961"/>
    <cellStyle name="Comma 5 2 2 4 3 4 2" xfId="11328"/>
    <cellStyle name="Comma 5 2 2 4 3 4 3" xfId="21332"/>
    <cellStyle name="Comma 5 2 2 4 3 5" xfId="5909"/>
    <cellStyle name="Comma 5 2 2 4 3 5 2" xfId="14736"/>
    <cellStyle name="Comma 5 2 2 4 3 5 3" xfId="24987"/>
    <cellStyle name="Comma 5 2 2 4 3 6" xfId="7353"/>
    <cellStyle name="Comma 5 2 2 4 3 6 2" xfId="19814"/>
    <cellStyle name="Comma 5 2 2 4 3 7" xfId="16325"/>
    <cellStyle name="Comma 5 2 2 4 4" xfId="635"/>
    <cellStyle name="Comma 5 2 2 4 4 2" xfId="3122"/>
    <cellStyle name="Comma 5 2 2 4 4 2 2" xfId="12267"/>
    <cellStyle name="Comma 5 2 2 4 4 2 2 2" xfId="22485"/>
    <cellStyle name="Comma 5 2 2 4 4 2 3" xfId="8689"/>
    <cellStyle name="Comma 5 2 2 4 4 2 4" xfId="17478"/>
    <cellStyle name="Comma 5 2 2 4 4 3" xfId="4800"/>
    <cellStyle name="Comma 5 2 2 4 4 3 2" xfId="13639"/>
    <cellStyle name="Comma 5 2 2 4 4 3 2 2" xfId="23890"/>
    <cellStyle name="Comma 5 2 2 4 4 3 3" xfId="10060"/>
    <cellStyle name="Comma 5 2 2 4 4 3 4" xfId="18883"/>
    <cellStyle name="Comma 5 2 2 4 4 4" xfId="2231"/>
    <cellStyle name="Comma 5 2 2 4 4 4 2" xfId="11598"/>
    <cellStyle name="Comma 5 2 2 4 4 4 3" xfId="21602"/>
    <cellStyle name="Comma 5 2 2 4 4 5" xfId="6257"/>
    <cellStyle name="Comma 5 2 2 4 4 5 2" xfId="15084"/>
    <cellStyle name="Comma 5 2 2 4 4 5 3" xfId="25335"/>
    <cellStyle name="Comma 5 2 2 4 4 6" xfId="7703"/>
    <cellStyle name="Comma 5 2 2 4 4 6 2" xfId="20084"/>
    <cellStyle name="Comma 5 2 2 4 4 7" xfId="16595"/>
    <cellStyle name="Comma 5 2 2 4 5" xfId="1137"/>
    <cellStyle name="Comma 5 2 2 4 5 2" xfId="3567"/>
    <cellStyle name="Comma 5 2 2 4 5 2 2" xfId="12705"/>
    <cellStyle name="Comma 5 2 2 4 5 2 2 2" xfId="22924"/>
    <cellStyle name="Comma 5 2 2 4 5 2 3" xfId="9126"/>
    <cellStyle name="Comma 5 2 2 4 5 2 4" xfId="17917"/>
    <cellStyle name="Comma 5 2 2 4 5 3" xfId="5230"/>
    <cellStyle name="Comma 5 2 2 4 5 3 2" xfId="14069"/>
    <cellStyle name="Comma 5 2 2 4 5 3 2 2" xfId="24320"/>
    <cellStyle name="Comma 5 2 2 4 5 3 3" xfId="10490"/>
    <cellStyle name="Comma 5 2 2 4 5 3 4" xfId="19313"/>
    <cellStyle name="Comma 5 2 2 4 5 4" xfId="1846"/>
    <cellStyle name="Comma 5 2 2 4 5 4 2" xfId="11216"/>
    <cellStyle name="Comma 5 2 2 4 5 4 3" xfId="21220"/>
    <cellStyle name="Comma 5 2 2 4 5 5" xfId="6687"/>
    <cellStyle name="Comma 5 2 2 4 5 5 2" xfId="15514"/>
    <cellStyle name="Comma 5 2 2 4 5 5 3" xfId="25765"/>
    <cellStyle name="Comma 5 2 2 4 5 6" xfId="8133"/>
    <cellStyle name="Comma 5 2 2 4 5 6 2" xfId="20523"/>
    <cellStyle name="Comma 5 2 2 4 5 7" xfId="16213"/>
    <cellStyle name="Comma 5 2 2 4 6" xfId="2740"/>
    <cellStyle name="Comma 5 2 2 4 6 2" xfId="12059"/>
    <cellStyle name="Comma 5 2 2 4 6 2 2" xfId="22103"/>
    <cellStyle name="Comma 5 2 2 4 6 3" xfId="8559"/>
    <cellStyle name="Comma 5 2 2 4 6 4" xfId="17096"/>
    <cellStyle name="Comma 5 2 2 4 7" xfId="4186"/>
    <cellStyle name="Comma 5 2 2 4 7 2" xfId="13026"/>
    <cellStyle name="Comma 5 2 2 4 7 2 2" xfId="23277"/>
    <cellStyle name="Comma 5 2 2 4 7 3" xfId="9447"/>
    <cellStyle name="Comma 5 2 2 4 7 4" xfId="18270"/>
    <cellStyle name="Comma 5 2 2 4 8" xfId="1458"/>
    <cellStyle name="Comma 5 2 2 4 8 2" xfId="10837"/>
    <cellStyle name="Comma 5 2 2 4 8 3" xfId="20841"/>
    <cellStyle name="Comma 5 2 2 4 9" xfId="5644"/>
    <cellStyle name="Comma 5 2 2 4 9 2" xfId="14471"/>
    <cellStyle name="Comma 5 2 2 4 9 3" xfId="24722"/>
    <cellStyle name="Comma 5 2 2 5" xfId="465"/>
    <cellStyle name="Comma 5 2 2 5 2" xfId="637"/>
    <cellStyle name="Comma 5 2 2 5 2 2" xfId="3124"/>
    <cellStyle name="Comma 5 2 2 5 2 2 2" xfId="12269"/>
    <cellStyle name="Comma 5 2 2 5 2 2 2 2" xfId="22487"/>
    <cellStyle name="Comma 5 2 2 5 2 2 3" xfId="8691"/>
    <cellStyle name="Comma 5 2 2 5 2 2 4" xfId="17480"/>
    <cellStyle name="Comma 5 2 2 5 2 3" xfId="4453"/>
    <cellStyle name="Comma 5 2 2 5 2 3 2" xfId="13293"/>
    <cellStyle name="Comma 5 2 2 5 2 3 2 2" xfId="23544"/>
    <cellStyle name="Comma 5 2 2 5 2 3 3" xfId="9714"/>
    <cellStyle name="Comma 5 2 2 5 2 3 4" xfId="18537"/>
    <cellStyle name="Comma 5 2 2 5 2 4" xfId="2233"/>
    <cellStyle name="Comma 5 2 2 5 2 4 2" xfId="11600"/>
    <cellStyle name="Comma 5 2 2 5 2 4 3" xfId="21604"/>
    <cellStyle name="Comma 5 2 2 5 2 5" xfId="5911"/>
    <cellStyle name="Comma 5 2 2 5 2 5 2" xfId="14738"/>
    <cellStyle name="Comma 5 2 2 5 2 5 3" xfId="24989"/>
    <cellStyle name="Comma 5 2 2 5 2 6" xfId="7355"/>
    <cellStyle name="Comma 5 2 2 5 2 6 2" xfId="20086"/>
    <cellStyle name="Comma 5 2 2 5 2 7" xfId="16597"/>
    <cellStyle name="Comma 5 2 2 5 3" xfId="1237"/>
    <cellStyle name="Comma 5 2 2 5 3 2" xfId="3667"/>
    <cellStyle name="Comma 5 2 2 5 3 2 2" xfId="12805"/>
    <cellStyle name="Comma 5 2 2 5 3 2 2 2" xfId="23024"/>
    <cellStyle name="Comma 5 2 2 5 3 2 3" xfId="9226"/>
    <cellStyle name="Comma 5 2 2 5 3 2 4" xfId="18017"/>
    <cellStyle name="Comma 5 2 2 5 3 3" xfId="4802"/>
    <cellStyle name="Comma 5 2 2 5 3 3 2" xfId="13641"/>
    <cellStyle name="Comma 5 2 2 5 3 3 2 2" xfId="23892"/>
    <cellStyle name="Comma 5 2 2 5 3 3 3" xfId="10062"/>
    <cellStyle name="Comma 5 2 2 5 3 3 4" xfId="18885"/>
    <cellStyle name="Comma 5 2 2 5 3 4" xfId="2061"/>
    <cellStyle name="Comma 5 2 2 5 3 4 2" xfId="11428"/>
    <cellStyle name="Comma 5 2 2 5 3 4 3" xfId="21432"/>
    <cellStyle name="Comma 5 2 2 5 3 5" xfId="6259"/>
    <cellStyle name="Comma 5 2 2 5 3 5 2" xfId="15086"/>
    <cellStyle name="Comma 5 2 2 5 3 5 3" xfId="25337"/>
    <cellStyle name="Comma 5 2 2 5 3 6" xfId="7705"/>
    <cellStyle name="Comma 5 2 2 5 3 6 2" xfId="20623"/>
    <cellStyle name="Comma 5 2 2 5 3 7" xfId="16425"/>
    <cellStyle name="Comma 5 2 2 5 4" xfId="2952"/>
    <cellStyle name="Comma 5 2 2 5 4 2" xfId="5330"/>
    <cellStyle name="Comma 5 2 2 5 4 2 2" xfId="14169"/>
    <cellStyle name="Comma 5 2 2 5 4 2 2 2" xfId="24420"/>
    <cellStyle name="Comma 5 2 2 5 4 2 3" xfId="10590"/>
    <cellStyle name="Comma 5 2 2 5 4 2 4" xfId="19413"/>
    <cellStyle name="Comma 5 2 2 5 4 3" xfId="6787"/>
    <cellStyle name="Comma 5 2 2 5 4 3 2" xfId="15614"/>
    <cellStyle name="Comma 5 2 2 5 4 3 3" xfId="25865"/>
    <cellStyle name="Comma 5 2 2 5 4 4" xfId="8233"/>
    <cellStyle name="Comma 5 2 2 5 4 4 2" xfId="22315"/>
    <cellStyle name="Comma 5 2 2 5 4 5" xfId="17308"/>
    <cellStyle name="Comma 5 2 2 5 5" xfId="4286"/>
    <cellStyle name="Comma 5 2 2 5 5 2" xfId="13126"/>
    <cellStyle name="Comma 5 2 2 5 5 2 2" xfId="23377"/>
    <cellStyle name="Comma 5 2 2 5 5 3" xfId="9547"/>
    <cellStyle name="Comma 5 2 2 5 5 4" xfId="18370"/>
    <cellStyle name="Comma 5 2 2 5 6" xfId="1558"/>
    <cellStyle name="Comma 5 2 2 5 6 2" xfId="10937"/>
    <cellStyle name="Comma 5 2 2 5 6 3" xfId="20941"/>
    <cellStyle name="Comma 5 2 2 5 7" xfId="5744"/>
    <cellStyle name="Comma 5 2 2 5 7 2" xfId="14571"/>
    <cellStyle name="Comma 5 2 2 5 7 3" xfId="24822"/>
    <cellStyle name="Comma 5 2 2 5 8" xfId="7188"/>
    <cellStyle name="Comma 5 2 2 5 8 2" xfId="19914"/>
    <cellStyle name="Comma 5 2 2 5 9" xfId="15934"/>
    <cellStyle name="Comma 5 2 2 6" xfId="338"/>
    <cellStyle name="Comma 5 2 2 6 2" xfId="638"/>
    <cellStyle name="Comma 5 2 2 6 2 2" xfId="3125"/>
    <cellStyle name="Comma 5 2 2 6 2 2 2" xfId="12270"/>
    <cellStyle name="Comma 5 2 2 6 2 2 2 2" xfId="22488"/>
    <cellStyle name="Comma 5 2 2 6 2 2 3" xfId="8692"/>
    <cellStyle name="Comma 5 2 2 6 2 2 4" xfId="17481"/>
    <cellStyle name="Comma 5 2 2 6 2 3" xfId="4454"/>
    <cellStyle name="Comma 5 2 2 6 2 3 2" xfId="13294"/>
    <cellStyle name="Comma 5 2 2 6 2 3 2 2" xfId="23545"/>
    <cellStyle name="Comma 5 2 2 6 2 3 3" xfId="9715"/>
    <cellStyle name="Comma 5 2 2 6 2 3 4" xfId="18538"/>
    <cellStyle name="Comma 5 2 2 6 2 4" xfId="2234"/>
    <cellStyle name="Comma 5 2 2 6 2 4 2" xfId="11601"/>
    <cellStyle name="Comma 5 2 2 6 2 4 3" xfId="21605"/>
    <cellStyle name="Comma 5 2 2 6 2 5" xfId="5912"/>
    <cellStyle name="Comma 5 2 2 6 2 5 2" xfId="14739"/>
    <cellStyle name="Comma 5 2 2 6 2 5 3" xfId="24990"/>
    <cellStyle name="Comma 5 2 2 6 2 6" xfId="7356"/>
    <cellStyle name="Comma 5 2 2 6 2 6 2" xfId="20087"/>
    <cellStyle name="Comma 5 2 2 6 2 7" xfId="16598"/>
    <cellStyle name="Comma 5 2 2 6 3" xfId="1110"/>
    <cellStyle name="Comma 5 2 2 6 3 2" xfId="3540"/>
    <cellStyle name="Comma 5 2 2 6 3 2 2" xfId="12678"/>
    <cellStyle name="Comma 5 2 2 6 3 2 2 2" xfId="22897"/>
    <cellStyle name="Comma 5 2 2 6 3 2 3" xfId="9099"/>
    <cellStyle name="Comma 5 2 2 6 3 2 4" xfId="17890"/>
    <cellStyle name="Comma 5 2 2 6 3 3" xfId="4803"/>
    <cellStyle name="Comma 5 2 2 6 3 3 2" xfId="13642"/>
    <cellStyle name="Comma 5 2 2 6 3 3 2 2" xfId="23893"/>
    <cellStyle name="Comma 5 2 2 6 3 3 3" xfId="10063"/>
    <cellStyle name="Comma 5 2 2 6 3 3 4" xfId="18886"/>
    <cellStyle name="Comma 5 2 2 6 3 4" xfId="2582"/>
    <cellStyle name="Comma 5 2 2 6 3 4 2" xfId="11948"/>
    <cellStyle name="Comma 5 2 2 6 3 4 3" xfId="21952"/>
    <cellStyle name="Comma 5 2 2 6 3 5" xfId="6260"/>
    <cellStyle name="Comma 5 2 2 6 3 5 2" xfId="15087"/>
    <cellStyle name="Comma 5 2 2 6 3 5 3" xfId="25338"/>
    <cellStyle name="Comma 5 2 2 6 3 6" xfId="7706"/>
    <cellStyle name="Comma 5 2 2 6 3 6 2" xfId="20496"/>
    <cellStyle name="Comma 5 2 2 6 3 7" xfId="16945"/>
    <cellStyle name="Comma 5 2 2 6 4" xfId="2825"/>
    <cellStyle name="Comma 5 2 2 6 4 2" xfId="5203"/>
    <cellStyle name="Comma 5 2 2 6 4 2 2" xfId="14042"/>
    <cellStyle name="Comma 5 2 2 6 4 2 2 2" xfId="24293"/>
    <cellStyle name="Comma 5 2 2 6 4 2 3" xfId="10463"/>
    <cellStyle name="Comma 5 2 2 6 4 2 4" xfId="19286"/>
    <cellStyle name="Comma 5 2 2 6 4 3" xfId="6660"/>
    <cellStyle name="Comma 5 2 2 6 4 3 2" xfId="15487"/>
    <cellStyle name="Comma 5 2 2 6 4 3 3" xfId="25738"/>
    <cellStyle name="Comma 5 2 2 6 4 4" xfId="8106"/>
    <cellStyle name="Comma 5 2 2 6 4 4 2" xfId="22188"/>
    <cellStyle name="Comma 5 2 2 6 4 5" xfId="17181"/>
    <cellStyle name="Comma 5 2 2 6 5" xfId="4157"/>
    <cellStyle name="Comma 5 2 2 6 5 2" xfId="12997"/>
    <cellStyle name="Comma 5 2 2 6 5 2 2" xfId="23248"/>
    <cellStyle name="Comma 5 2 2 6 5 3" xfId="9418"/>
    <cellStyle name="Comma 5 2 2 6 5 4" xfId="18241"/>
    <cellStyle name="Comma 5 2 2 6 6" xfId="1934"/>
    <cellStyle name="Comma 5 2 2 6 6 2" xfId="11301"/>
    <cellStyle name="Comma 5 2 2 6 6 3" xfId="21305"/>
    <cellStyle name="Comma 5 2 2 6 7" xfId="5617"/>
    <cellStyle name="Comma 5 2 2 6 7 2" xfId="14444"/>
    <cellStyle name="Comma 5 2 2 6 7 3" xfId="24695"/>
    <cellStyle name="Comma 5 2 2 6 8" xfId="7061"/>
    <cellStyle name="Comma 5 2 2 6 8 2" xfId="19787"/>
    <cellStyle name="Comma 5 2 2 6 9" xfId="16298"/>
    <cellStyle name="Comma 5 2 2 7" xfId="629"/>
    <cellStyle name="Comma 5 2 2 7 2" xfId="3116"/>
    <cellStyle name="Comma 5 2 2 7 2 2" xfId="12261"/>
    <cellStyle name="Comma 5 2 2 7 2 2 2" xfId="22479"/>
    <cellStyle name="Comma 5 2 2 7 2 3" xfId="8683"/>
    <cellStyle name="Comma 5 2 2 7 2 4" xfId="17472"/>
    <cellStyle name="Comma 5 2 2 7 3" xfId="4445"/>
    <cellStyle name="Comma 5 2 2 7 3 2" xfId="13285"/>
    <cellStyle name="Comma 5 2 2 7 3 2 2" xfId="23536"/>
    <cellStyle name="Comma 5 2 2 7 3 3" xfId="9706"/>
    <cellStyle name="Comma 5 2 2 7 3 4" xfId="18529"/>
    <cellStyle name="Comma 5 2 2 7 4" xfId="2225"/>
    <cellStyle name="Comma 5 2 2 7 4 2" xfId="11592"/>
    <cellStyle name="Comma 5 2 2 7 4 3" xfId="21596"/>
    <cellStyle name="Comma 5 2 2 7 5" xfId="5903"/>
    <cellStyle name="Comma 5 2 2 7 5 2" xfId="14730"/>
    <cellStyle name="Comma 5 2 2 7 5 3" xfId="24981"/>
    <cellStyle name="Comma 5 2 2 7 6" xfId="7347"/>
    <cellStyle name="Comma 5 2 2 7 6 2" xfId="20078"/>
    <cellStyle name="Comma 5 2 2 7 7" xfId="16589"/>
    <cellStyle name="Comma 5 2 2 8" xfId="1065"/>
    <cellStyle name="Comma 5 2 2 8 2" xfId="3495"/>
    <cellStyle name="Comma 5 2 2 8 2 2" xfId="12633"/>
    <cellStyle name="Comma 5 2 2 8 2 2 2" xfId="22852"/>
    <cellStyle name="Comma 5 2 2 8 2 3" xfId="9055"/>
    <cellStyle name="Comma 5 2 2 8 2 4" xfId="17845"/>
    <cellStyle name="Comma 5 2 2 8 3" xfId="4794"/>
    <cellStyle name="Comma 5 2 2 8 3 2" xfId="13633"/>
    <cellStyle name="Comma 5 2 2 8 3 2 2" xfId="23884"/>
    <cellStyle name="Comma 5 2 2 8 3 3" xfId="10054"/>
    <cellStyle name="Comma 5 2 2 8 3 4" xfId="18877"/>
    <cellStyle name="Comma 5 2 2 8 4" xfId="1734"/>
    <cellStyle name="Comma 5 2 2 8 4 2" xfId="11110"/>
    <cellStyle name="Comma 5 2 2 8 4 3" xfId="21114"/>
    <cellStyle name="Comma 5 2 2 8 5" xfId="6251"/>
    <cellStyle name="Comma 5 2 2 8 5 2" xfId="15078"/>
    <cellStyle name="Comma 5 2 2 8 5 3" xfId="25329"/>
    <cellStyle name="Comma 5 2 2 8 6" xfId="7697"/>
    <cellStyle name="Comma 5 2 2 8 6 2" xfId="20451"/>
    <cellStyle name="Comma 5 2 2 8 7" xfId="16107"/>
    <cellStyle name="Comma 5 2 2 9" xfId="2632"/>
    <cellStyle name="Comma 5 2 2 9 2" xfId="5158"/>
    <cellStyle name="Comma 5 2 2 9 2 2" xfId="13997"/>
    <cellStyle name="Comma 5 2 2 9 2 2 2" xfId="24248"/>
    <cellStyle name="Comma 5 2 2 9 2 3" xfId="10418"/>
    <cellStyle name="Comma 5 2 2 9 2 4" xfId="19241"/>
    <cellStyle name="Comma 5 2 2 9 3" xfId="6615"/>
    <cellStyle name="Comma 5 2 2 9 3 2" xfId="15442"/>
    <cellStyle name="Comma 5 2 2 9 3 3" xfId="25693"/>
    <cellStyle name="Comma 5 2 2 9 4" xfId="8061"/>
    <cellStyle name="Comma 5 2 2 9 4 2" xfId="21997"/>
    <cellStyle name="Comma 5 2 2 9 5" xfId="16990"/>
    <cellStyle name="Comma 5 2 3" xfId="133"/>
    <cellStyle name="Comma 5 2 3 10" xfId="4120"/>
    <cellStyle name="Comma 5 2 3 10 2" xfId="5580"/>
    <cellStyle name="Comma 5 2 3 10 2 2" xfId="14407"/>
    <cellStyle name="Comma 5 2 3 10 2 3" xfId="24658"/>
    <cellStyle name="Comma 5 2 3 10 3" xfId="7024"/>
    <cellStyle name="Comma 5 2 3 10 3 2" xfId="23211"/>
    <cellStyle name="Comma 5 2 3 10 4" xfId="18204"/>
    <cellStyle name="Comma 5 2 3 11" xfId="1439"/>
    <cellStyle name="Comma 5 2 3 11 2" xfId="10818"/>
    <cellStyle name="Comma 5 2 3 11 3" xfId="20822"/>
    <cellStyle name="Comma 5 2 3 12" xfId="5548"/>
    <cellStyle name="Comma 5 2 3 12 2" xfId="14377"/>
    <cellStyle name="Comma 5 2 3 12 3" xfId="24628"/>
    <cellStyle name="Comma 5 2 3 13" xfId="6994"/>
    <cellStyle name="Comma 5 2 3 13 2" xfId="19603"/>
    <cellStyle name="Comma 5 2 3 14" xfId="15815"/>
    <cellStyle name="Comma 5 2 3 2" xfId="173"/>
    <cellStyle name="Comma 5 2 3 2 10" xfId="5682"/>
    <cellStyle name="Comma 5 2 3 2 10 2" xfId="14509"/>
    <cellStyle name="Comma 5 2 3 2 10 3" xfId="24760"/>
    <cellStyle name="Comma 5 2 3 2 11" xfId="7126"/>
    <cellStyle name="Comma 5 2 3 2 11 2" xfId="19635"/>
    <cellStyle name="Comma 5 2 3 2 12" xfId="15872"/>
    <cellStyle name="Comma 5 2 3 2 2" xfId="285"/>
    <cellStyle name="Comma 5 2 3 2 2 10" xfId="16076"/>
    <cellStyle name="Comma 5 2 3 2 2 2" xfId="607"/>
    <cellStyle name="Comma 5 2 3 2 2 2 2" xfId="3094"/>
    <cellStyle name="Comma 5 2 3 2 2 2 2 2" xfId="12239"/>
    <cellStyle name="Comma 5 2 3 2 2 2 2 2 2" xfId="22457"/>
    <cellStyle name="Comma 5 2 3 2 2 2 2 3" xfId="8661"/>
    <cellStyle name="Comma 5 2 3 2 2 2 2 4" xfId="17450"/>
    <cellStyle name="Comma 5 2 3 2 2 2 3" xfId="4457"/>
    <cellStyle name="Comma 5 2 3 2 2 2 3 2" xfId="13297"/>
    <cellStyle name="Comma 5 2 3 2 2 2 3 2 2" xfId="23548"/>
    <cellStyle name="Comma 5 2 3 2 2 2 3 3" xfId="9718"/>
    <cellStyle name="Comma 5 2 3 2 2 2 3 4" xfId="18541"/>
    <cellStyle name="Comma 5 2 3 2 2 2 4" xfId="2203"/>
    <cellStyle name="Comma 5 2 3 2 2 2 4 2" xfId="11570"/>
    <cellStyle name="Comma 5 2 3 2 2 2 4 3" xfId="21574"/>
    <cellStyle name="Comma 5 2 3 2 2 2 5" xfId="5915"/>
    <cellStyle name="Comma 5 2 3 2 2 2 5 2" xfId="14742"/>
    <cellStyle name="Comma 5 2 3 2 2 2 5 3" xfId="24993"/>
    <cellStyle name="Comma 5 2 3 2 2 2 6" xfId="7359"/>
    <cellStyle name="Comma 5 2 3 2 2 2 6 2" xfId="20056"/>
    <cellStyle name="Comma 5 2 3 2 2 2 7" xfId="16567"/>
    <cellStyle name="Comma 5 2 3 2 2 3" xfId="641"/>
    <cellStyle name="Comma 5 2 3 2 2 3 2" xfId="3128"/>
    <cellStyle name="Comma 5 2 3 2 2 3 2 2" xfId="12273"/>
    <cellStyle name="Comma 5 2 3 2 2 3 2 2 2" xfId="22491"/>
    <cellStyle name="Comma 5 2 3 2 2 3 2 3" xfId="8695"/>
    <cellStyle name="Comma 5 2 3 2 2 3 2 4" xfId="17484"/>
    <cellStyle name="Comma 5 2 3 2 2 3 3" xfId="4806"/>
    <cellStyle name="Comma 5 2 3 2 2 3 3 2" xfId="13645"/>
    <cellStyle name="Comma 5 2 3 2 2 3 3 2 2" xfId="23896"/>
    <cellStyle name="Comma 5 2 3 2 2 3 3 3" xfId="10066"/>
    <cellStyle name="Comma 5 2 3 2 2 3 3 4" xfId="18889"/>
    <cellStyle name="Comma 5 2 3 2 2 3 4" xfId="2237"/>
    <cellStyle name="Comma 5 2 3 2 2 3 4 2" xfId="11604"/>
    <cellStyle name="Comma 5 2 3 2 2 3 4 3" xfId="21608"/>
    <cellStyle name="Comma 5 2 3 2 2 3 5" xfId="6263"/>
    <cellStyle name="Comma 5 2 3 2 2 3 5 2" xfId="15090"/>
    <cellStyle name="Comma 5 2 3 2 2 3 5 3" xfId="25341"/>
    <cellStyle name="Comma 5 2 3 2 2 3 6" xfId="7709"/>
    <cellStyle name="Comma 5 2 3 2 2 3 6 2" xfId="20090"/>
    <cellStyle name="Comma 5 2 3 2 2 3 7" xfId="16601"/>
    <cellStyle name="Comma 5 2 3 2 2 4" xfId="1379"/>
    <cellStyle name="Comma 5 2 3 2 2 4 2" xfId="3809"/>
    <cellStyle name="Comma 5 2 3 2 2 4 2 2" xfId="12947"/>
    <cellStyle name="Comma 5 2 3 2 2 4 2 2 2" xfId="23166"/>
    <cellStyle name="Comma 5 2 3 2 2 4 2 3" xfId="9368"/>
    <cellStyle name="Comma 5 2 3 2 2 4 2 4" xfId="18159"/>
    <cellStyle name="Comma 5 2 3 2 2 4 3" xfId="5472"/>
    <cellStyle name="Comma 5 2 3 2 2 4 3 2" xfId="14311"/>
    <cellStyle name="Comma 5 2 3 2 2 4 3 2 2" xfId="24562"/>
    <cellStyle name="Comma 5 2 3 2 2 4 3 3" xfId="10732"/>
    <cellStyle name="Comma 5 2 3 2 2 4 3 4" xfId="19555"/>
    <cellStyle name="Comma 5 2 3 2 2 4 4" xfId="1883"/>
    <cellStyle name="Comma 5 2 3 2 2 4 4 2" xfId="11253"/>
    <cellStyle name="Comma 5 2 3 2 2 4 4 3" xfId="21257"/>
    <cellStyle name="Comma 5 2 3 2 2 4 5" xfId="6929"/>
    <cellStyle name="Comma 5 2 3 2 2 4 5 2" xfId="15756"/>
    <cellStyle name="Comma 5 2 3 2 2 4 5 3" xfId="26007"/>
    <cellStyle name="Comma 5 2 3 2 2 4 6" xfId="8375"/>
    <cellStyle name="Comma 5 2 3 2 2 4 6 2" xfId="20765"/>
    <cellStyle name="Comma 5 2 3 2 2 4 7" xfId="16250"/>
    <cellStyle name="Comma 5 2 3 2 2 5" xfId="2777"/>
    <cellStyle name="Comma 5 2 3 2 2 5 2" xfId="12096"/>
    <cellStyle name="Comma 5 2 3 2 2 5 2 2" xfId="22140"/>
    <cellStyle name="Comma 5 2 3 2 2 5 3" xfId="8641"/>
    <cellStyle name="Comma 5 2 3 2 2 5 4" xfId="17133"/>
    <cellStyle name="Comma 5 2 3 2 2 6" xfId="4428"/>
    <cellStyle name="Comma 5 2 3 2 2 6 2" xfId="13268"/>
    <cellStyle name="Comma 5 2 3 2 2 6 2 2" xfId="23519"/>
    <cellStyle name="Comma 5 2 3 2 2 6 3" xfId="9689"/>
    <cellStyle name="Comma 5 2 3 2 2 6 4" xfId="18512"/>
    <cellStyle name="Comma 5 2 3 2 2 7" xfId="1700"/>
    <cellStyle name="Comma 5 2 3 2 2 7 2" xfId="11079"/>
    <cellStyle name="Comma 5 2 3 2 2 7 3" xfId="21083"/>
    <cellStyle name="Comma 5 2 3 2 2 8" xfId="5886"/>
    <cellStyle name="Comma 5 2 3 2 2 8 2" xfId="14713"/>
    <cellStyle name="Comma 5 2 3 2 2 8 3" xfId="24964"/>
    <cellStyle name="Comma 5 2 3 2 2 9" xfId="7330"/>
    <cellStyle name="Comma 5 2 3 2 2 9 2" xfId="19739"/>
    <cellStyle name="Comma 5 2 3 2 3" xfId="503"/>
    <cellStyle name="Comma 5 2 3 2 3 2" xfId="642"/>
    <cellStyle name="Comma 5 2 3 2 3 2 2" xfId="3129"/>
    <cellStyle name="Comma 5 2 3 2 3 2 2 2" xfId="12274"/>
    <cellStyle name="Comma 5 2 3 2 3 2 2 2 2" xfId="22492"/>
    <cellStyle name="Comma 5 2 3 2 3 2 2 3" xfId="8696"/>
    <cellStyle name="Comma 5 2 3 2 3 2 2 4" xfId="17485"/>
    <cellStyle name="Comma 5 2 3 2 3 2 3" xfId="4458"/>
    <cellStyle name="Comma 5 2 3 2 3 2 3 2" xfId="13298"/>
    <cellStyle name="Comma 5 2 3 2 3 2 3 2 2" xfId="23549"/>
    <cellStyle name="Comma 5 2 3 2 3 2 3 3" xfId="9719"/>
    <cellStyle name="Comma 5 2 3 2 3 2 3 4" xfId="18542"/>
    <cellStyle name="Comma 5 2 3 2 3 2 4" xfId="2238"/>
    <cellStyle name="Comma 5 2 3 2 3 2 4 2" xfId="11605"/>
    <cellStyle name="Comma 5 2 3 2 3 2 4 3" xfId="21609"/>
    <cellStyle name="Comma 5 2 3 2 3 2 5" xfId="5916"/>
    <cellStyle name="Comma 5 2 3 2 3 2 5 2" xfId="14743"/>
    <cellStyle name="Comma 5 2 3 2 3 2 5 3" xfId="24994"/>
    <cellStyle name="Comma 5 2 3 2 3 2 6" xfId="7360"/>
    <cellStyle name="Comma 5 2 3 2 3 2 6 2" xfId="20091"/>
    <cellStyle name="Comma 5 2 3 2 3 2 7" xfId="16602"/>
    <cellStyle name="Comma 5 2 3 2 3 3" xfId="1275"/>
    <cellStyle name="Comma 5 2 3 2 3 3 2" xfId="3705"/>
    <cellStyle name="Comma 5 2 3 2 3 3 2 2" xfId="12843"/>
    <cellStyle name="Comma 5 2 3 2 3 3 2 2 2" xfId="23062"/>
    <cellStyle name="Comma 5 2 3 2 3 3 2 3" xfId="9264"/>
    <cellStyle name="Comma 5 2 3 2 3 3 2 4" xfId="18055"/>
    <cellStyle name="Comma 5 2 3 2 3 3 3" xfId="4807"/>
    <cellStyle name="Comma 5 2 3 2 3 3 3 2" xfId="13646"/>
    <cellStyle name="Comma 5 2 3 2 3 3 3 2 2" xfId="23897"/>
    <cellStyle name="Comma 5 2 3 2 3 3 3 3" xfId="10067"/>
    <cellStyle name="Comma 5 2 3 2 3 3 3 4" xfId="18890"/>
    <cellStyle name="Comma 5 2 3 2 3 3 4" xfId="2099"/>
    <cellStyle name="Comma 5 2 3 2 3 3 4 2" xfId="11466"/>
    <cellStyle name="Comma 5 2 3 2 3 3 4 3" xfId="21470"/>
    <cellStyle name="Comma 5 2 3 2 3 3 5" xfId="6264"/>
    <cellStyle name="Comma 5 2 3 2 3 3 5 2" xfId="15091"/>
    <cellStyle name="Comma 5 2 3 2 3 3 5 3" xfId="25342"/>
    <cellStyle name="Comma 5 2 3 2 3 3 6" xfId="7710"/>
    <cellStyle name="Comma 5 2 3 2 3 3 6 2" xfId="20661"/>
    <cellStyle name="Comma 5 2 3 2 3 3 7" xfId="16463"/>
    <cellStyle name="Comma 5 2 3 2 3 4" xfId="2990"/>
    <cellStyle name="Comma 5 2 3 2 3 4 2" xfId="5368"/>
    <cellStyle name="Comma 5 2 3 2 3 4 2 2" xfId="14207"/>
    <cellStyle name="Comma 5 2 3 2 3 4 2 2 2" xfId="24458"/>
    <cellStyle name="Comma 5 2 3 2 3 4 2 3" xfId="10628"/>
    <cellStyle name="Comma 5 2 3 2 3 4 2 4" xfId="19451"/>
    <cellStyle name="Comma 5 2 3 2 3 4 3" xfId="6825"/>
    <cellStyle name="Comma 5 2 3 2 3 4 3 2" xfId="15652"/>
    <cellStyle name="Comma 5 2 3 2 3 4 3 3" xfId="25903"/>
    <cellStyle name="Comma 5 2 3 2 3 4 4" xfId="8271"/>
    <cellStyle name="Comma 5 2 3 2 3 4 4 2" xfId="22353"/>
    <cellStyle name="Comma 5 2 3 2 3 4 5" xfId="17346"/>
    <cellStyle name="Comma 5 2 3 2 3 5" xfId="4324"/>
    <cellStyle name="Comma 5 2 3 2 3 5 2" xfId="13164"/>
    <cellStyle name="Comma 5 2 3 2 3 5 2 2" xfId="23415"/>
    <cellStyle name="Comma 5 2 3 2 3 5 3" xfId="9585"/>
    <cellStyle name="Comma 5 2 3 2 3 5 4" xfId="18408"/>
    <cellStyle name="Comma 5 2 3 2 3 6" xfId="1596"/>
    <cellStyle name="Comma 5 2 3 2 3 6 2" xfId="10975"/>
    <cellStyle name="Comma 5 2 3 2 3 6 3" xfId="20979"/>
    <cellStyle name="Comma 5 2 3 2 3 7" xfId="5782"/>
    <cellStyle name="Comma 5 2 3 2 3 7 2" xfId="14609"/>
    <cellStyle name="Comma 5 2 3 2 3 7 3" xfId="24860"/>
    <cellStyle name="Comma 5 2 3 2 3 8" xfId="7226"/>
    <cellStyle name="Comma 5 2 3 2 3 8 2" xfId="19952"/>
    <cellStyle name="Comma 5 2 3 2 3 9" xfId="15972"/>
    <cellStyle name="Comma 5 2 3 2 4" xfId="403"/>
    <cellStyle name="Comma 5 2 3 2 4 2" xfId="2890"/>
    <cellStyle name="Comma 5 2 3 2 4 2 2" xfId="12180"/>
    <cellStyle name="Comma 5 2 3 2 4 2 2 2" xfId="22253"/>
    <cellStyle name="Comma 5 2 3 2 4 2 3" xfId="8648"/>
    <cellStyle name="Comma 5 2 3 2 4 2 4" xfId="17246"/>
    <cellStyle name="Comma 5 2 3 2 4 3" xfId="4456"/>
    <cellStyle name="Comma 5 2 3 2 4 3 2" xfId="13296"/>
    <cellStyle name="Comma 5 2 3 2 4 3 2 2" xfId="23547"/>
    <cellStyle name="Comma 5 2 3 2 4 3 3" xfId="9717"/>
    <cellStyle name="Comma 5 2 3 2 4 3 4" xfId="18540"/>
    <cellStyle name="Comma 5 2 3 2 4 4" xfId="1999"/>
    <cellStyle name="Comma 5 2 3 2 4 4 2" xfId="11366"/>
    <cellStyle name="Comma 5 2 3 2 4 4 3" xfId="21370"/>
    <cellStyle name="Comma 5 2 3 2 4 5" xfId="5914"/>
    <cellStyle name="Comma 5 2 3 2 4 5 2" xfId="14741"/>
    <cellStyle name="Comma 5 2 3 2 4 5 3" xfId="24992"/>
    <cellStyle name="Comma 5 2 3 2 4 6" xfId="7358"/>
    <cellStyle name="Comma 5 2 3 2 4 6 2" xfId="19852"/>
    <cellStyle name="Comma 5 2 3 2 4 7" xfId="16363"/>
    <cellStyle name="Comma 5 2 3 2 5" xfId="640"/>
    <cellStyle name="Comma 5 2 3 2 5 2" xfId="3127"/>
    <cellStyle name="Comma 5 2 3 2 5 2 2" xfId="12272"/>
    <cellStyle name="Comma 5 2 3 2 5 2 2 2" xfId="22490"/>
    <cellStyle name="Comma 5 2 3 2 5 2 3" xfId="8694"/>
    <cellStyle name="Comma 5 2 3 2 5 2 4" xfId="17483"/>
    <cellStyle name="Comma 5 2 3 2 5 3" xfId="4805"/>
    <cellStyle name="Comma 5 2 3 2 5 3 2" xfId="13644"/>
    <cellStyle name="Comma 5 2 3 2 5 3 2 2" xfId="23895"/>
    <cellStyle name="Comma 5 2 3 2 5 3 3" xfId="10065"/>
    <cellStyle name="Comma 5 2 3 2 5 3 4" xfId="18888"/>
    <cellStyle name="Comma 5 2 3 2 5 4" xfId="2236"/>
    <cellStyle name="Comma 5 2 3 2 5 4 2" xfId="11603"/>
    <cellStyle name="Comma 5 2 3 2 5 4 3" xfId="21607"/>
    <cellStyle name="Comma 5 2 3 2 5 5" xfId="6262"/>
    <cellStyle name="Comma 5 2 3 2 5 5 2" xfId="15089"/>
    <cellStyle name="Comma 5 2 3 2 5 5 3" xfId="25340"/>
    <cellStyle name="Comma 5 2 3 2 5 6" xfId="7708"/>
    <cellStyle name="Comma 5 2 3 2 5 6 2" xfId="20089"/>
    <cellStyle name="Comma 5 2 3 2 5 7" xfId="16600"/>
    <cellStyle name="Comma 5 2 3 2 6" xfId="1175"/>
    <cellStyle name="Comma 5 2 3 2 6 2" xfId="3605"/>
    <cellStyle name="Comma 5 2 3 2 6 2 2" xfId="12743"/>
    <cellStyle name="Comma 5 2 3 2 6 2 2 2" xfId="22962"/>
    <cellStyle name="Comma 5 2 3 2 6 2 3" xfId="9164"/>
    <cellStyle name="Comma 5 2 3 2 6 2 4" xfId="17955"/>
    <cellStyle name="Comma 5 2 3 2 6 3" xfId="5268"/>
    <cellStyle name="Comma 5 2 3 2 6 3 2" xfId="14107"/>
    <cellStyle name="Comma 5 2 3 2 6 3 2 2" xfId="24358"/>
    <cellStyle name="Comma 5 2 3 2 6 3 3" xfId="10528"/>
    <cellStyle name="Comma 5 2 3 2 6 3 4" xfId="19351"/>
    <cellStyle name="Comma 5 2 3 2 6 4" xfId="1776"/>
    <cellStyle name="Comma 5 2 3 2 6 4 2" xfId="11149"/>
    <cellStyle name="Comma 5 2 3 2 6 4 3" xfId="21153"/>
    <cellStyle name="Comma 5 2 3 2 6 5" xfId="6725"/>
    <cellStyle name="Comma 5 2 3 2 6 5 2" xfId="15552"/>
    <cellStyle name="Comma 5 2 3 2 6 5 3" xfId="25803"/>
    <cellStyle name="Comma 5 2 3 2 6 6" xfId="8171"/>
    <cellStyle name="Comma 5 2 3 2 6 6 2" xfId="20561"/>
    <cellStyle name="Comma 5 2 3 2 6 7" xfId="16146"/>
    <cellStyle name="Comma 5 2 3 2 7" xfId="2673"/>
    <cellStyle name="Comma 5 2 3 2 7 2" xfId="11992"/>
    <cellStyle name="Comma 5 2 3 2 7 2 2" xfId="22036"/>
    <cellStyle name="Comma 5 2 3 2 7 3" xfId="8615"/>
    <cellStyle name="Comma 5 2 3 2 7 4" xfId="17029"/>
    <cellStyle name="Comma 5 2 3 2 8" xfId="4224"/>
    <cellStyle name="Comma 5 2 3 2 8 2" xfId="13064"/>
    <cellStyle name="Comma 5 2 3 2 8 2 2" xfId="23315"/>
    <cellStyle name="Comma 5 2 3 2 8 3" xfId="9485"/>
    <cellStyle name="Comma 5 2 3 2 8 4" xfId="18308"/>
    <cellStyle name="Comma 5 2 3 2 9" xfId="1496"/>
    <cellStyle name="Comma 5 2 3 2 9 2" xfId="10875"/>
    <cellStyle name="Comma 5 2 3 2 9 3" xfId="20879"/>
    <cellStyle name="Comma 5 2 3 3" xfId="220"/>
    <cellStyle name="Comma 5 2 3 3 10" xfId="7169"/>
    <cellStyle name="Comma 5 2 3 3 10 2" xfId="19678"/>
    <cellStyle name="Comma 5 2 3 3 11" xfId="15915"/>
    <cellStyle name="Comma 5 2 3 3 2" xfId="546"/>
    <cellStyle name="Comma 5 2 3 3 2 2" xfId="644"/>
    <cellStyle name="Comma 5 2 3 3 2 2 2" xfId="3131"/>
    <cellStyle name="Comma 5 2 3 3 2 2 2 2" xfId="12276"/>
    <cellStyle name="Comma 5 2 3 3 2 2 2 2 2" xfId="22494"/>
    <cellStyle name="Comma 5 2 3 3 2 2 2 3" xfId="8698"/>
    <cellStyle name="Comma 5 2 3 3 2 2 2 4" xfId="17487"/>
    <cellStyle name="Comma 5 2 3 3 2 2 3" xfId="4460"/>
    <cellStyle name="Comma 5 2 3 3 2 2 3 2" xfId="13300"/>
    <cellStyle name="Comma 5 2 3 3 2 2 3 2 2" xfId="23551"/>
    <cellStyle name="Comma 5 2 3 3 2 2 3 3" xfId="9721"/>
    <cellStyle name="Comma 5 2 3 3 2 2 3 4" xfId="18544"/>
    <cellStyle name="Comma 5 2 3 3 2 2 4" xfId="2240"/>
    <cellStyle name="Comma 5 2 3 3 2 2 4 2" xfId="11607"/>
    <cellStyle name="Comma 5 2 3 3 2 2 4 3" xfId="21611"/>
    <cellStyle name="Comma 5 2 3 3 2 2 5" xfId="5918"/>
    <cellStyle name="Comma 5 2 3 3 2 2 5 2" xfId="14745"/>
    <cellStyle name="Comma 5 2 3 3 2 2 5 3" xfId="24996"/>
    <cellStyle name="Comma 5 2 3 3 2 2 6" xfId="7362"/>
    <cellStyle name="Comma 5 2 3 3 2 2 6 2" xfId="20093"/>
    <cellStyle name="Comma 5 2 3 3 2 2 7" xfId="16604"/>
    <cellStyle name="Comma 5 2 3 3 2 3" xfId="1318"/>
    <cellStyle name="Comma 5 2 3 3 2 3 2" xfId="3748"/>
    <cellStyle name="Comma 5 2 3 3 2 3 2 2" xfId="12886"/>
    <cellStyle name="Comma 5 2 3 3 2 3 2 2 2" xfId="23105"/>
    <cellStyle name="Comma 5 2 3 3 2 3 2 3" xfId="9307"/>
    <cellStyle name="Comma 5 2 3 3 2 3 2 4" xfId="18098"/>
    <cellStyle name="Comma 5 2 3 3 2 3 3" xfId="4809"/>
    <cellStyle name="Comma 5 2 3 3 2 3 3 2" xfId="13648"/>
    <cellStyle name="Comma 5 2 3 3 2 3 3 2 2" xfId="23899"/>
    <cellStyle name="Comma 5 2 3 3 2 3 3 3" xfId="10069"/>
    <cellStyle name="Comma 5 2 3 3 2 3 3 4" xfId="18892"/>
    <cellStyle name="Comma 5 2 3 3 2 3 4" xfId="2142"/>
    <cellStyle name="Comma 5 2 3 3 2 3 4 2" xfId="11509"/>
    <cellStyle name="Comma 5 2 3 3 2 3 4 3" xfId="21513"/>
    <cellStyle name="Comma 5 2 3 3 2 3 5" xfId="6266"/>
    <cellStyle name="Comma 5 2 3 3 2 3 5 2" xfId="15093"/>
    <cellStyle name="Comma 5 2 3 3 2 3 5 3" xfId="25344"/>
    <cellStyle name="Comma 5 2 3 3 2 3 6" xfId="7712"/>
    <cellStyle name="Comma 5 2 3 3 2 3 6 2" xfId="20704"/>
    <cellStyle name="Comma 5 2 3 3 2 3 7" xfId="16506"/>
    <cellStyle name="Comma 5 2 3 3 2 4" xfId="3033"/>
    <cellStyle name="Comma 5 2 3 3 2 4 2" xfId="5411"/>
    <cellStyle name="Comma 5 2 3 3 2 4 2 2" xfId="14250"/>
    <cellStyle name="Comma 5 2 3 3 2 4 2 2 2" xfId="24501"/>
    <cellStyle name="Comma 5 2 3 3 2 4 2 3" xfId="10671"/>
    <cellStyle name="Comma 5 2 3 3 2 4 2 4" xfId="19494"/>
    <cellStyle name="Comma 5 2 3 3 2 4 3" xfId="6868"/>
    <cellStyle name="Comma 5 2 3 3 2 4 3 2" xfId="15695"/>
    <cellStyle name="Comma 5 2 3 3 2 4 3 3" xfId="25946"/>
    <cellStyle name="Comma 5 2 3 3 2 4 4" xfId="8314"/>
    <cellStyle name="Comma 5 2 3 3 2 4 4 2" xfId="22396"/>
    <cellStyle name="Comma 5 2 3 3 2 4 5" xfId="17389"/>
    <cellStyle name="Comma 5 2 3 3 2 5" xfId="4367"/>
    <cellStyle name="Comma 5 2 3 3 2 5 2" xfId="13207"/>
    <cellStyle name="Comma 5 2 3 3 2 5 2 2" xfId="23458"/>
    <cellStyle name="Comma 5 2 3 3 2 5 3" xfId="9628"/>
    <cellStyle name="Comma 5 2 3 3 2 5 4" xfId="18451"/>
    <cellStyle name="Comma 5 2 3 3 2 6" xfId="1639"/>
    <cellStyle name="Comma 5 2 3 3 2 6 2" xfId="11018"/>
    <cellStyle name="Comma 5 2 3 3 2 6 3" xfId="21022"/>
    <cellStyle name="Comma 5 2 3 3 2 7" xfId="5825"/>
    <cellStyle name="Comma 5 2 3 3 2 7 2" xfId="14652"/>
    <cellStyle name="Comma 5 2 3 3 2 7 3" xfId="24903"/>
    <cellStyle name="Comma 5 2 3 3 2 8" xfId="7269"/>
    <cellStyle name="Comma 5 2 3 3 2 8 2" xfId="19995"/>
    <cellStyle name="Comma 5 2 3 3 2 9" xfId="16015"/>
    <cellStyle name="Comma 5 2 3 3 3" xfId="446"/>
    <cellStyle name="Comma 5 2 3 3 3 2" xfId="2933"/>
    <cellStyle name="Comma 5 2 3 3 3 2 2" xfId="12223"/>
    <cellStyle name="Comma 5 2 3 3 3 2 2 2" xfId="22296"/>
    <cellStyle name="Comma 5 2 3 3 3 2 3" xfId="8608"/>
    <cellStyle name="Comma 5 2 3 3 3 2 4" xfId="17289"/>
    <cellStyle name="Comma 5 2 3 3 3 3" xfId="4459"/>
    <cellStyle name="Comma 5 2 3 3 3 3 2" xfId="13299"/>
    <cellStyle name="Comma 5 2 3 3 3 3 2 2" xfId="23550"/>
    <cellStyle name="Comma 5 2 3 3 3 3 3" xfId="9720"/>
    <cellStyle name="Comma 5 2 3 3 3 3 4" xfId="18543"/>
    <cellStyle name="Comma 5 2 3 3 3 4" xfId="2042"/>
    <cellStyle name="Comma 5 2 3 3 3 4 2" xfId="11409"/>
    <cellStyle name="Comma 5 2 3 3 3 4 3" xfId="21413"/>
    <cellStyle name="Comma 5 2 3 3 3 5" xfId="5917"/>
    <cellStyle name="Comma 5 2 3 3 3 5 2" xfId="14744"/>
    <cellStyle name="Comma 5 2 3 3 3 5 3" xfId="24995"/>
    <cellStyle name="Comma 5 2 3 3 3 6" xfId="7361"/>
    <cellStyle name="Comma 5 2 3 3 3 6 2" xfId="19895"/>
    <cellStyle name="Comma 5 2 3 3 3 7" xfId="16406"/>
    <cellStyle name="Comma 5 2 3 3 4" xfId="643"/>
    <cellStyle name="Comma 5 2 3 3 4 2" xfId="3130"/>
    <cellStyle name="Comma 5 2 3 3 4 2 2" xfId="12275"/>
    <cellStyle name="Comma 5 2 3 3 4 2 2 2" xfId="22493"/>
    <cellStyle name="Comma 5 2 3 3 4 2 3" xfId="8697"/>
    <cellStyle name="Comma 5 2 3 3 4 2 4" xfId="17486"/>
    <cellStyle name="Comma 5 2 3 3 4 3" xfId="4808"/>
    <cellStyle name="Comma 5 2 3 3 4 3 2" xfId="13647"/>
    <cellStyle name="Comma 5 2 3 3 4 3 2 2" xfId="23898"/>
    <cellStyle name="Comma 5 2 3 3 4 3 3" xfId="10068"/>
    <cellStyle name="Comma 5 2 3 3 4 3 4" xfId="18891"/>
    <cellStyle name="Comma 5 2 3 3 4 4" xfId="2239"/>
    <cellStyle name="Comma 5 2 3 3 4 4 2" xfId="11606"/>
    <cellStyle name="Comma 5 2 3 3 4 4 3" xfId="21610"/>
    <cellStyle name="Comma 5 2 3 3 4 5" xfId="6265"/>
    <cellStyle name="Comma 5 2 3 3 4 5 2" xfId="15092"/>
    <cellStyle name="Comma 5 2 3 3 4 5 3" xfId="25343"/>
    <cellStyle name="Comma 5 2 3 3 4 6" xfId="7711"/>
    <cellStyle name="Comma 5 2 3 3 4 6 2" xfId="20092"/>
    <cellStyle name="Comma 5 2 3 3 4 7" xfId="16603"/>
    <cellStyle name="Comma 5 2 3 3 5" xfId="1218"/>
    <cellStyle name="Comma 5 2 3 3 5 2" xfId="3648"/>
    <cellStyle name="Comma 5 2 3 3 5 2 2" xfId="12786"/>
    <cellStyle name="Comma 5 2 3 3 5 2 2 2" xfId="23005"/>
    <cellStyle name="Comma 5 2 3 3 5 2 3" xfId="9207"/>
    <cellStyle name="Comma 5 2 3 3 5 2 4" xfId="17998"/>
    <cellStyle name="Comma 5 2 3 3 5 3" xfId="5311"/>
    <cellStyle name="Comma 5 2 3 3 5 3 2" xfId="14150"/>
    <cellStyle name="Comma 5 2 3 3 5 3 2 2" xfId="24401"/>
    <cellStyle name="Comma 5 2 3 3 5 3 3" xfId="10571"/>
    <cellStyle name="Comma 5 2 3 3 5 3 4" xfId="19394"/>
    <cellStyle name="Comma 5 2 3 3 5 4" xfId="1822"/>
    <cellStyle name="Comma 5 2 3 3 5 4 2" xfId="11192"/>
    <cellStyle name="Comma 5 2 3 3 5 4 3" xfId="21196"/>
    <cellStyle name="Comma 5 2 3 3 5 5" xfId="6768"/>
    <cellStyle name="Comma 5 2 3 3 5 5 2" xfId="15595"/>
    <cellStyle name="Comma 5 2 3 3 5 5 3" xfId="25846"/>
    <cellStyle name="Comma 5 2 3 3 5 6" xfId="8214"/>
    <cellStyle name="Comma 5 2 3 3 5 6 2" xfId="20604"/>
    <cellStyle name="Comma 5 2 3 3 5 7" xfId="16189"/>
    <cellStyle name="Comma 5 2 3 3 6" xfId="2716"/>
    <cellStyle name="Comma 5 2 3 3 6 2" xfId="12035"/>
    <cellStyle name="Comma 5 2 3 3 6 2 2" xfId="22079"/>
    <cellStyle name="Comma 5 2 3 3 6 3" xfId="7506"/>
    <cellStyle name="Comma 5 2 3 3 6 4" xfId="17072"/>
    <cellStyle name="Comma 5 2 3 3 7" xfId="4267"/>
    <cellStyle name="Comma 5 2 3 3 7 2" xfId="13107"/>
    <cellStyle name="Comma 5 2 3 3 7 2 2" xfId="23358"/>
    <cellStyle name="Comma 5 2 3 3 7 3" xfId="9528"/>
    <cellStyle name="Comma 5 2 3 3 7 4" xfId="18351"/>
    <cellStyle name="Comma 5 2 3 3 8" xfId="1539"/>
    <cellStyle name="Comma 5 2 3 3 8 2" xfId="10918"/>
    <cellStyle name="Comma 5 2 3 3 8 3" xfId="20922"/>
    <cellStyle name="Comma 5 2 3 3 9" xfId="5725"/>
    <cellStyle name="Comma 5 2 3 3 9 2" xfId="14552"/>
    <cellStyle name="Comma 5 2 3 3 9 3" xfId="24803"/>
    <cellStyle name="Comma 5 2 3 4" xfId="253"/>
    <cellStyle name="Comma 5 2 3 4 10" xfId="7094"/>
    <cellStyle name="Comma 5 2 3 4 10 2" xfId="19708"/>
    <cellStyle name="Comma 5 2 3 4 11" xfId="15840"/>
    <cellStyle name="Comma 5 2 3 4 2" xfId="576"/>
    <cellStyle name="Comma 5 2 3 4 2 2" xfId="646"/>
    <cellStyle name="Comma 5 2 3 4 2 2 2" xfId="3133"/>
    <cellStyle name="Comma 5 2 3 4 2 2 2 2" xfId="12278"/>
    <cellStyle name="Comma 5 2 3 4 2 2 2 2 2" xfId="22496"/>
    <cellStyle name="Comma 5 2 3 4 2 2 2 3" xfId="8700"/>
    <cellStyle name="Comma 5 2 3 4 2 2 2 4" xfId="17489"/>
    <cellStyle name="Comma 5 2 3 4 2 2 3" xfId="4462"/>
    <cellStyle name="Comma 5 2 3 4 2 2 3 2" xfId="13302"/>
    <cellStyle name="Comma 5 2 3 4 2 2 3 2 2" xfId="23553"/>
    <cellStyle name="Comma 5 2 3 4 2 2 3 3" xfId="9723"/>
    <cellStyle name="Comma 5 2 3 4 2 2 3 4" xfId="18546"/>
    <cellStyle name="Comma 5 2 3 4 2 2 4" xfId="2242"/>
    <cellStyle name="Comma 5 2 3 4 2 2 4 2" xfId="11609"/>
    <cellStyle name="Comma 5 2 3 4 2 2 4 3" xfId="21613"/>
    <cellStyle name="Comma 5 2 3 4 2 2 5" xfId="5920"/>
    <cellStyle name="Comma 5 2 3 4 2 2 5 2" xfId="14747"/>
    <cellStyle name="Comma 5 2 3 4 2 2 5 3" xfId="24998"/>
    <cellStyle name="Comma 5 2 3 4 2 2 6" xfId="7364"/>
    <cellStyle name="Comma 5 2 3 4 2 2 6 2" xfId="20095"/>
    <cellStyle name="Comma 5 2 3 4 2 2 7" xfId="16606"/>
    <cellStyle name="Comma 5 2 3 4 2 3" xfId="1348"/>
    <cellStyle name="Comma 5 2 3 4 2 3 2" xfId="3778"/>
    <cellStyle name="Comma 5 2 3 4 2 3 2 2" xfId="12916"/>
    <cellStyle name="Comma 5 2 3 4 2 3 2 2 2" xfId="23135"/>
    <cellStyle name="Comma 5 2 3 4 2 3 2 3" xfId="9337"/>
    <cellStyle name="Comma 5 2 3 4 2 3 2 4" xfId="18128"/>
    <cellStyle name="Comma 5 2 3 4 2 3 3" xfId="4811"/>
    <cellStyle name="Comma 5 2 3 4 2 3 3 2" xfId="13650"/>
    <cellStyle name="Comma 5 2 3 4 2 3 3 2 2" xfId="23901"/>
    <cellStyle name="Comma 5 2 3 4 2 3 3 3" xfId="10071"/>
    <cellStyle name="Comma 5 2 3 4 2 3 3 4" xfId="18894"/>
    <cellStyle name="Comma 5 2 3 4 2 3 4" xfId="2172"/>
    <cellStyle name="Comma 5 2 3 4 2 3 4 2" xfId="11539"/>
    <cellStyle name="Comma 5 2 3 4 2 3 4 3" xfId="21543"/>
    <cellStyle name="Comma 5 2 3 4 2 3 5" xfId="6268"/>
    <cellStyle name="Comma 5 2 3 4 2 3 5 2" xfId="15095"/>
    <cellStyle name="Comma 5 2 3 4 2 3 5 3" xfId="25346"/>
    <cellStyle name="Comma 5 2 3 4 2 3 6" xfId="7714"/>
    <cellStyle name="Comma 5 2 3 4 2 3 6 2" xfId="20734"/>
    <cellStyle name="Comma 5 2 3 4 2 3 7" xfId="16536"/>
    <cellStyle name="Comma 5 2 3 4 2 4" xfId="3063"/>
    <cellStyle name="Comma 5 2 3 4 2 4 2" xfId="5441"/>
    <cellStyle name="Comma 5 2 3 4 2 4 2 2" xfId="14280"/>
    <cellStyle name="Comma 5 2 3 4 2 4 2 2 2" xfId="24531"/>
    <cellStyle name="Comma 5 2 3 4 2 4 2 3" xfId="10701"/>
    <cellStyle name="Comma 5 2 3 4 2 4 2 4" xfId="19524"/>
    <cellStyle name="Comma 5 2 3 4 2 4 3" xfId="6898"/>
    <cellStyle name="Comma 5 2 3 4 2 4 3 2" xfId="15725"/>
    <cellStyle name="Comma 5 2 3 4 2 4 3 3" xfId="25976"/>
    <cellStyle name="Comma 5 2 3 4 2 4 4" xfId="8344"/>
    <cellStyle name="Comma 5 2 3 4 2 4 4 2" xfId="22426"/>
    <cellStyle name="Comma 5 2 3 4 2 4 5" xfId="17419"/>
    <cellStyle name="Comma 5 2 3 4 2 5" xfId="4397"/>
    <cellStyle name="Comma 5 2 3 4 2 5 2" xfId="13237"/>
    <cellStyle name="Comma 5 2 3 4 2 5 2 2" xfId="23488"/>
    <cellStyle name="Comma 5 2 3 4 2 5 3" xfId="9658"/>
    <cellStyle name="Comma 5 2 3 4 2 5 4" xfId="18481"/>
    <cellStyle name="Comma 5 2 3 4 2 6" xfId="1669"/>
    <cellStyle name="Comma 5 2 3 4 2 6 2" xfId="11048"/>
    <cellStyle name="Comma 5 2 3 4 2 6 3" xfId="21052"/>
    <cellStyle name="Comma 5 2 3 4 2 7" xfId="5855"/>
    <cellStyle name="Comma 5 2 3 4 2 7 2" xfId="14682"/>
    <cellStyle name="Comma 5 2 3 4 2 7 3" xfId="24933"/>
    <cellStyle name="Comma 5 2 3 4 2 8" xfId="7299"/>
    <cellStyle name="Comma 5 2 3 4 2 8 2" xfId="20025"/>
    <cellStyle name="Comma 5 2 3 4 2 9" xfId="16045"/>
    <cellStyle name="Comma 5 2 3 4 3" xfId="371"/>
    <cellStyle name="Comma 5 2 3 4 3 2" xfId="2858"/>
    <cellStyle name="Comma 5 2 3 4 3 2 2" xfId="12148"/>
    <cellStyle name="Comma 5 2 3 4 3 2 2 2" xfId="22221"/>
    <cellStyle name="Comma 5 2 3 4 3 2 3" xfId="8466"/>
    <cellStyle name="Comma 5 2 3 4 3 2 4" xfId="17214"/>
    <cellStyle name="Comma 5 2 3 4 3 3" xfId="4461"/>
    <cellStyle name="Comma 5 2 3 4 3 3 2" xfId="13301"/>
    <cellStyle name="Comma 5 2 3 4 3 3 2 2" xfId="23552"/>
    <cellStyle name="Comma 5 2 3 4 3 3 3" xfId="9722"/>
    <cellStyle name="Comma 5 2 3 4 3 3 4" xfId="18545"/>
    <cellStyle name="Comma 5 2 3 4 3 4" xfId="1967"/>
    <cellStyle name="Comma 5 2 3 4 3 4 2" xfId="11334"/>
    <cellStyle name="Comma 5 2 3 4 3 4 3" xfId="21338"/>
    <cellStyle name="Comma 5 2 3 4 3 5" xfId="5919"/>
    <cellStyle name="Comma 5 2 3 4 3 5 2" xfId="14746"/>
    <cellStyle name="Comma 5 2 3 4 3 5 3" xfId="24997"/>
    <cellStyle name="Comma 5 2 3 4 3 6" xfId="7363"/>
    <cellStyle name="Comma 5 2 3 4 3 6 2" xfId="19820"/>
    <cellStyle name="Comma 5 2 3 4 3 7" xfId="16331"/>
    <cellStyle name="Comma 5 2 3 4 4" xfId="645"/>
    <cellStyle name="Comma 5 2 3 4 4 2" xfId="3132"/>
    <cellStyle name="Comma 5 2 3 4 4 2 2" xfId="12277"/>
    <cellStyle name="Comma 5 2 3 4 4 2 2 2" xfId="22495"/>
    <cellStyle name="Comma 5 2 3 4 4 2 3" xfId="8699"/>
    <cellStyle name="Comma 5 2 3 4 4 2 4" xfId="17488"/>
    <cellStyle name="Comma 5 2 3 4 4 3" xfId="4810"/>
    <cellStyle name="Comma 5 2 3 4 4 3 2" xfId="13649"/>
    <cellStyle name="Comma 5 2 3 4 4 3 2 2" xfId="23900"/>
    <cellStyle name="Comma 5 2 3 4 4 3 3" xfId="10070"/>
    <cellStyle name="Comma 5 2 3 4 4 3 4" xfId="18893"/>
    <cellStyle name="Comma 5 2 3 4 4 4" xfId="2241"/>
    <cellStyle name="Comma 5 2 3 4 4 4 2" xfId="11608"/>
    <cellStyle name="Comma 5 2 3 4 4 4 3" xfId="21612"/>
    <cellStyle name="Comma 5 2 3 4 4 5" xfId="6267"/>
    <cellStyle name="Comma 5 2 3 4 4 5 2" xfId="15094"/>
    <cellStyle name="Comma 5 2 3 4 4 5 3" xfId="25345"/>
    <cellStyle name="Comma 5 2 3 4 4 6" xfId="7713"/>
    <cellStyle name="Comma 5 2 3 4 4 6 2" xfId="20094"/>
    <cellStyle name="Comma 5 2 3 4 4 7" xfId="16605"/>
    <cellStyle name="Comma 5 2 3 4 5" xfId="1143"/>
    <cellStyle name="Comma 5 2 3 4 5 2" xfId="3573"/>
    <cellStyle name="Comma 5 2 3 4 5 2 2" xfId="12711"/>
    <cellStyle name="Comma 5 2 3 4 5 2 2 2" xfId="22930"/>
    <cellStyle name="Comma 5 2 3 4 5 2 3" xfId="9132"/>
    <cellStyle name="Comma 5 2 3 4 5 2 4" xfId="17923"/>
    <cellStyle name="Comma 5 2 3 4 5 3" xfId="5236"/>
    <cellStyle name="Comma 5 2 3 4 5 3 2" xfId="14075"/>
    <cellStyle name="Comma 5 2 3 4 5 3 2 2" xfId="24326"/>
    <cellStyle name="Comma 5 2 3 4 5 3 3" xfId="10496"/>
    <cellStyle name="Comma 5 2 3 4 5 3 4" xfId="19319"/>
    <cellStyle name="Comma 5 2 3 4 5 4" xfId="1852"/>
    <cellStyle name="Comma 5 2 3 4 5 4 2" xfId="11222"/>
    <cellStyle name="Comma 5 2 3 4 5 4 3" xfId="21226"/>
    <cellStyle name="Comma 5 2 3 4 5 5" xfId="6693"/>
    <cellStyle name="Comma 5 2 3 4 5 5 2" xfId="15520"/>
    <cellStyle name="Comma 5 2 3 4 5 5 3" xfId="25771"/>
    <cellStyle name="Comma 5 2 3 4 5 6" xfId="8139"/>
    <cellStyle name="Comma 5 2 3 4 5 6 2" xfId="20529"/>
    <cellStyle name="Comma 5 2 3 4 5 7" xfId="16219"/>
    <cellStyle name="Comma 5 2 3 4 6" xfId="2746"/>
    <cellStyle name="Comma 5 2 3 4 6 2" xfId="12065"/>
    <cellStyle name="Comma 5 2 3 4 6 2 2" xfId="22109"/>
    <cellStyle name="Comma 5 2 3 4 6 3" xfId="8492"/>
    <cellStyle name="Comma 5 2 3 4 6 4" xfId="17102"/>
    <cellStyle name="Comma 5 2 3 4 7" xfId="4192"/>
    <cellStyle name="Comma 5 2 3 4 7 2" xfId="13032"/>
    <cellStyle name="Comma 5 2 3 4 7 2 2" xfId="23283"/>
    <cellStyle name="Comma 5 2 3 4 7 3" xfId="9453"/>
    <cellStyle name="Comma 5 2 3 4 7 4" xfId="18276"/>
    <cellStyle name="Comma 5 2 3 4 8" xfId="1464"/>
    <cellStyle name="Comma 5 2 3 4 8 2" xfId="10843"/>
    <cellStyle name="Comma 5 2 3 4 8 3" xfId="20847"/>
    <cellStyle name="Comma 5 2 3 4 9" xfId="5650"/>
    <cellStyle name="Comma 5 2 3 4 9 2" xfId="14477"/>
    <cellStyle name="Comma 5 2 3 4 9 3" xfId="24728"/>
    <cellStyle name="Comma 5 2 3 5" xfId="471"/>
    <cellStyle name="Comma 5 2 3 5 2" xfId="647"/>
    <cellStyle name="Comma 5 2 3 5 2 2" xfId="3134"/>
    <cellStyle name="Comma 5 2 3 5 2 2 2" xfId="12279"/>
    <cellStyle name="Comma 5 2 3 5 2 2 2 2" xfId="22497"/>
    <cellStyle name="Comma 5 2 3 5 2 2 3" xfId="8701"/>
    <cellStyle name="Comma 5 2 3 5 2 2 4" xfId="17490"/>
    <cellStyle name="Comma 5 2 3 5 2 3" xfId="4463"/>
    <cellStyle name="Comma 5 2 3 5 2 3 2" xfId="13303"/>
    <cellStyle name="Comma 5 2 3 5 2 3 2 2" xfId="23554"/>
    <cellStyle name="Comma 5 2 3 5 2 3 3" xfId="9724"/>
    <cellStyle name="Comma 5 2 3 5 2 3 4" xfId="18547"/>
    <cellStyle name="Comma 5 2 3 5 2 4" xfId="2243"/>
    <cellStyle name="Comma 5 2 3 5 2 4 2" xfId="11610"/>
    <cellStyle name="Comma 5 2 3 5 2 4 3" xfId="21614"/>
    <cellStyle name="Comma 5 2 3 5 2 5" xfId="5921"/>
    <cellStyle name="Comma 5 2 3 5 2 5 2" xfId="14748"/>
    <cellStyle name="Comma 5 2 3 5 2 5 3" xfId="24999"/>
    <cellStyle name="Comma 5 2 3 5 2 6" xfId="7365"/>
    <cellStyle name="Comma 5 2 3 5 2 6 2" xfId="20096"/>
    <cellStyle name="Comma 5 2 3 5 2 7" xfId="16607"/>
    <cellStyle name="Comma 5 2 3 5 3" xfId="1243"/>
    <cellStyle name="Comma 5 2 3 5 3 2" xfId="3673"/>
    <cellStyle name="Comma 5 2 3 5 3 2 2" xfId="12811"/>
    <cellStyle name="Comma 5 2 3 5 3 2 2 2" xfId="23030"/>
    <cellStyle name="Comma 5 2 3 5 3 2 3" xfId="9232"/>
    <cellStyle name="Comma 5 2 3 5 3 2 4" xfId="18023"/>
    <cellStyle name="Comma 5 2 3 5 3 3" xfId="4812"/>
    <cellStyle name="Comma 5 2 3 5 3 3 2" xfId="13651"/>
    <cellStyle name="Comma 5 2 3 5 3 3 2 2" xfId="23902"/>
    <cellStyle name="Comma 5 2 3 5 3 3 3" xfId="10072"/>
    <cellStyle name="Comma 5 2 3 5 3 3 4" xfId="18895"/>
    <cellStyle name="Comma 5 2 3 5 3 4" xfId="2067"/>
    <cellStyle name="Comma 5 2 3 5 3 4 2" xfId="11434"/>
    <cellStyle name="Comma 5 2 3 5 3 4 3" xfId="21438"/>
    <cellStyle name="Comma 5 2 3 5 3 5" xfId="6269"/>
    <cellStyle name="Comma 5 2 3 5 3 5 2" xfId="15096"/>
    <cellStyle name="Comma 5 2 3 5 3 5 3" xfId="25347"/>
    <cellStyle name="Comma 5 2 3 5 3 6" xfId="7715"/>
    <cellStyle name="Comma 5 2 3 5 3 6 2" xfId="20629"/>
    <cellStyle name="Comma 5 2 3 5 3 7" xfId="16431"/>
    <cellStyle name="Comma 5 2 3 5 4" xfId="2958"/>
    <cellStyle name="Comma 5 2 3 5 4 2" xfId="5336"/>
    <cellStyle name="Comma 5 2 3 5 4 2 2" xfId="14175"/>
    <cellStyle name="Comma 5 2 3 5 4 2 2 2" xfId="24426"/>
    <cellStyle name="Comma 5 2 3 5 4 2 3" xfId="10596"/>
    <cellStyle name="Comma 5 2 3 5 4 2 4" xfId="19419"/>
    <cellStyle name="Comma 5 2 3 5 4 3" xfId="6793"/>
    <cellStyle name="Comma 5 2 3 5 4 3 2" xfId="15620"/>
    <cellStyle name="Comma 5 2 3 5 4 3 3" xfId="25871"/>
    <cellStyle name="Comma 5 2 3 5 4 4" xfId="8239"/>
    <cellStyle name="Comma 5 2 3 5 4 4 2" xfId="22321"/>
    <cellStyle name="Comma 5 2 3 5 4 5" xfId="17314"/>
    <cellStyle name="Comma 5 2 3 5 5" xfId="4292"/>
    <cellStyle name="Comma 5 2 3 5 5 2" xfId="13132"/>
    <cellStyle name="Comma 5 2 3 5 5 2 2" xfId="23383"/>
    <cellStyle name="Comma 5 2 3 5 5 3" xfId="9553"/>
    <cellStyle name="Comma 5 2 3 5 5 4" xfId="18376"/>
    <cellStyle name="Comma 5 2 3 5 6" xfId="1564"/>
    <cellStyle name="Comma 5 2 3 5 6 2" xfId="10943"/>
    <cellStyle name="Comma 5 2 3 5 6 3" xfId="20947"/>
    <cellStyle name="Comma 5 2 3 5 7" xfId="5750"/>
    <cellStyle name="Comma 5 2 3 5 7 2" xfId="14577"/>
    <cellStyle name="Comma 5 2 3 5 7 3" xfId="24828"/>
    <cellStyle name="Comma 5 2 3 5 8" xfId="7194"/>
    <cellStyle name="Comma 5 2 3 5 8 2" xfId="19920"/>
    <cellStyle name="Comma 5 2 3 5 9" xfId="15940"/>
    <cellStyle name="Comma 5 2 3 6" xfId="346"/>
    <cellStyle name="Comma 5 2 3 6 2" xfId="648"/>
    <cellStyle name="Comma 5 2 3 6 2 2" xfId="3135"/>
    <cellStyle name="Comma 5 2 3 6 2 2 2" xfId="12280"/>
    <cellStyle name="Comma 5 2 3 6 2 2 2 2" xfId="22498"/>
    <cellStyle name="Comma 5 2 3 6 2 2 3" xfId="8702"/>
    <cellStyle name="Comma 5 2 3 6 2 2 4" xfId="17491"/>
    <cellStyle name="Comma 5 2 3 6 2 3" xfId="4464"/>
    <cellStyle name="Comma 5 2 3 6 2 3 2" xfId="13304"/>
    <cellStyle name="Comma 5 2 3 6 2 3 2 2" xfId="23555"/>
    <cellStyle name="Comma 5 2 3 6 2 3 3" xfId="9725"/>
    <cellStyle name="Comma 5 2 3 6 2 3 4" xfId="18548"/>
    <cellStyle name="Comma 5 2 3 6 2 4" xfId="2244"/>
    <cellStyle name="Comma 5 2 3 6 2 4 2" xfId="11611"/>
    <cellStyle name="Comma 5 2 3 6 2 4 3" xfId="21615"/>
    <cellStyle name="Comma 5 2 3 6 2 5" xfId="5922"/>
    <cellStyle name="Comma 5 2 3 6 2 5 2" xfId="14749"/>
    <cellStyle name="Comma 5 2 3 6 2 5 3" xfId="25000"/>
    <cellStyle name="Comma 5 2 3 6 2 6" xfId="7366"/>
    <cellStyle name="Comma 5 2 3 6 2 6 2" xfId="20097"/>
    <cellStyle name="Comma 5 2 3 6 2 7" xfId="16608"/>
    <cellStyle name="Comma 5 2 3 6 3" xfId="1118"/>
    <cellStyle name="Comma 5 2 3 6 3 2" xfId="3548"/>
    <cellStyle name="Comma 5 2 3 6 3 2 2" xfId="12686"/>
    <cellStyle name="Comma 5 2 3 6 3 2 2 2" xfId="22905"/>
    <cellStyle name="Comma 5 2 3 6 3 2 3" xfId="9107"/>
    <cellStyle name="Comma 5 2 3 6 3 2 4" xfId="17898"/>
    <cellStyle name="Comma 5 2 3 6 3 3" xfId="4813"/>
    <cellStyle name="Comma 5 2 3 6 3 3 2" xfId="13652"/>
    <cellStyle name="Comma 5 2 3 6 3 3 2 2" xfId="23903"/>
    <cellStyle name="Comma 5 2 3 6 3 3 3" xfId="10073"/>
    <cellStyle name="Comma 5 2 3 6 3 3 4" xfId="18896"/>
    <cellStyle name="Comma 5 2 3 6 3 4" xfId="2580"/>
    <cellStyle name="Comma 5 2 3 6 3 4 2" xfId="11946"/>
    <cellStyle name="Comma 5 2 3 6 3 4 3" xfId="21950"/>
    <cellStyle name="Comma 5 2 3 6 3 5" xfId="6270"/>
    <cellStyle name="Comma 5 2 3 6 3 5 2" xfId="15097"/>
    <cellStyle name="Comma 5 2 3 6 3 5 3" xfId="25348"/>
    <cellStyle name="Comma 5 2 3 6 3 6" xfId="7716"/>
    <cellStyle name="Comma 5 2 3 6 3 6 2" xfId="20504"/>
    <cellStyle name="Comma 5 2 3 6 3 7" xfId="16943"/>
    <cellStyle name="Comma 5 2 3 6 4" xfId="2833"/>
    <cellStyle name="Comma 5 2 3 6 4 2" xfId="5211"/>
    <cellStyle name="Comma 5 2 3 6 4 2 2" xfId="14050"/>
    <cellStyle name="Comma 5 2 3 6 4 2 2 2" xfId="24301"/>
    <cellStyle name="Comma 5 2 3 6 4 2 3" xfId="10471"/>
    <cellStyle name="Comma 5 2 3 6 4 2 4" xfId="19294"/>
    <cellStyle name="Comma 5 2 3 6 4 3" xfId="6668"/>
    <cellStyle name="Comma 5 2 3 6 4 3 2" xfId="15495"/>
    <cellStyle name="Comma 5 2 3 6 4 3 3" xfId="25746"/>
    <cellStyle name="Comma 5 2 3 6 4 4" xfId="8114"/>
    <cellStyle name="Comma 5 2 3 6 4 4 2" xfId="22196"/>
    <cellStyle name="Comma 5 2 3 6 4 5" xfId="17189"/>
    <cellStyle name="Comma 5 2 3 6 5" xfId="4165"/>
    <cellStyle name="Comma 5 2 3 6 5 2" xfId="13005"/>
    <cellStyle name="Comma 5 2 3 6 5 2 2" xfId="23256"/>
    <cellStyle name="Comma 5 2 3 6 5 3" xfId="9426"/>
    <cellStyle name="Comma 5 2 3 6 5 4" xfId="18249"/>
    <cellStyle name="Comma 5 2 3 6 6" xfId="1942"/>
    <cellStyle name="Comma 5 2 3 6 6 2" xfId="11309"/>
    <cellStyle name="Comma 5 2 3 6 6 3" xfId="21313"/>
    <cellStyle name="Comma 5 2 3 6 7" xfId="5625"/>
    <cellStyle name="Comma 5 2 3 6 7 2" xfId="14452"/>
    <cellStyle name="Comma 5 2 3 6 7 3" xfId="24703"/>
    <cellStyle name="Comma 5 2 3 6 8" xfId="7069"/>
    <cellStyle name="Comma 5 2 3 6 8 2" xfId="19795"/>
    <cellStyle name="Comma 5 2 3 6 9" xfId="16306"/>
    <cellStyle name="Comma 5 2 3 7" xfId="639"/>
    <cellStyle name="Comma 5 2 3 7 2" xfId="3126"/>
    <cellStyle name="Comma 5 2 3 7 2 2" xfId="12271"/>
    <cellStyle name="Comma 5 2 3 7 2 2 2" xfId="22489"/>
    <cellStyle name="Comma 5 2 3 7 2 3" xfId="8693"/>
    <cellStyle name="Comma 5 2 3 7 2 4" xfId="17482"/>
    <cellStyle name="Comma 5 2 3 7 3" xfId="4455"/>
    <cellStyle name="Comma 5 2 3 7 3 2" xfId="13295"/>
    <cellStyle name="Comma 5 2 3 7 3 2 2" xfId="23546"/>
    <cellStyle name="Comma 5 2 3 7 3 3" xfId="9716"/>
    <cellStyle name="Comma 5 2 3 7 3 4" xfId="18539"/>
    <cellStyle name="Comma 5 2 3 7 4" xfId="2235"/>
    <cellStyle name="Comma 5 2 3 7 4 2" xfId="11602"/>
    <cellStyle name="Comma 5 2 3 7 4 3" xfId="21606"/>
    <cellStyle name="Comma 5 2 3 7 5" xfId="5913"/>
    <cellStyle name="Comma 5 2 3 7 5 2" xfId="14740"/>
    <cellStyle name="Comma 5 2 3 7 5 3" xfId="24991"/>
    <cellStyle name="Comma 5 2 3 7 6" xfId="7357"/>
    <cellStyle name="Comma 5 2 3 7 6 2" xfId="20088"/>
    <cellStyle name="Comma 5 2 3 7 7" xfId="16599"/>
    <cellStyle name="Comma 5 2 3 8" xfId="1073"/>
    <cellStyle name="Comma 5 2 3 8 2" xfId="3503"/>
    <cellStyle name="Comma 5 2 3 8 2 2" xfId="12641"/>
    <cellStyle name="Comma 5 2 3 8 2 2 2" xfId="22860"/>
    <cellStyle name="Comma 5 2 3 8 2 3" xfId="9063"/>
    <cellStyle name="Comma 5 2 3 8 2 4" xfId="17853"/>
    <cellStyle name="Comma 5 2 3 8 3" xfId="4804"/>
    <cellStyle name="Comma 5 2 3 8 3 2" xfId="13643"/>
    <cellStyle name="Comma 5 2 3 8 3 2 2" xfId="23894"/>
    <cellStyle name="Comma 5 2 3 8 3 3" xfId="10064"/>
    <cellStyle name="Comma 5 2 3 8 3 4" xfId="18887"/>
    <cellStyle name="Comma 5 2 3 8 4" xfId="1740"/>
    <cellStyle name="Comma 5 2 3 8 4 2" xfId="11116"/>
    <cellStyle name="Comma 5 2 3 8 4 3" xfId="21120"/>
    <cellStyle name="Comma 5 2 3 8 5" xfId="6261"/>
    <cellStyle name="Comma 5 2 3 8 5 2" xfId="15088"/>
    <cellStyle name="Comma 5 2 3 8 5 3" xfId="25339"/>
    <cellStyle name="Comma 5 2 3 8 6" xfId="7707"/>
    <cellStyle name="Comma 5 2 3 8 6 2" xfId="20459"/>
    <cellStyle name="Comma 5 2 3 8 7" xfId="16113"/>
    <cellStyle name="Comma 5 2 3 9" xfId="2640"/>
    <cellStyle name="Comma 5 2 3 9 2" xfId="5166"/>
    <cellStyle name="Comma 5 2 3 9 2 2" xfId="14005"/>
    <cellStyle name="Comma 5 2 3 9 2 2 2" xfId="24256"/>
    <cellStyle name="Comma 5 2 3 9 2 3" xfId="10426"/>
    <cellStyle name="Comma 5 2 3 9 2 4" xfId="19249"/>
    <cellStyle name="Comma 5 2 3 9 3" xfId="6623"/>
    <cellStyle name="Comma 5 2 3 9 3 2" xfId="15450"/>
    <cellStyle name="Comma 5 2 3 9 3 3" xfId="25701"/>
    <cellStyle name="Comma 5 2 3 9 4" xfId="8069"/>
    <cellStyle name="Comma 5 2 3 9 4 2" xfId="22004"/>
    <cellStyle name="Comma 5 2 3 9 5" xfId="16997"/>
    <cellStyle name="Comma 5 2 4" xfId="148"/>
    <cellStyle name="Comma 5 2 4 10" xfId="1417"/>
    <cellStyle name="Comma 5 2 4 10 2" xfId="10796"/>
    <cellStyle name="Comma 5 2 4 10 3" xfId="20800"/>
    <cellStyle name="Comma 5 2 4 11" xfId="5528"/>
    <cellStyle name="Comma 5 2 4 11 2" xfId="14357"/>
    <cellStyle name="Comma 5 2 4 11 3" xfId="24608"/>
    <cellStyle name="Comma 5 2 4 12" xfId="6970"/>
    <cellStyle name="Comma 5 2 4 12 2" xfId="19615"/>
    <cellStyle name="Comma 5 2 4 13" xfId="15793"/>
    <cellStyle name="Comma 5 2 4 2" xfId="198"/>
    <cellStyle name="Comma 5 2 4 2 10" xfId="7149"/>
    <cellStyle name="Comma 5 2 4 2 10 2" xfId="19658"/>
    <cellStyle name="Comma 5 2 4 2 11" xfId="15895"/>
    <cellStyle name="Comma 5 2 4 2 2" xfId="526"/>
    <cellStyle name="Comma 5 2 4 2 2 2" xfId="651"/>
    <cellStyle name="Comma 5 2 4 2 2 2 2" xfId="3138"/>
    <cellStyle name="Comma 5 2 4 2 2 2 2 2" xfId="12283"/>
    <cellStyle name="Comma 5 2 4 2 2 2 2 2 2" xfId="22501"/>
    <cellStyle name="Comma 5 2 4 2 2 2 2 3" xfId="8705"/>
    <cellStyle name="Comma 5 2 4 2 2 2 2 4" xfId="17494"/>
    <cellStyle name="Comma 5 2 4 2 2 2 3" xfId="4467"/>
    <cellStyle name="Comma 5 2 4 2 2 2 3 2" xfId="13307"/>
    <cellStyle name="Comma 5 2 4 2 2 2 3 2 2" xfId="23558"/>
    <cellStyle name="Comma 5 2 4 2 2 2 3 3" xfId="9728"/>
    <cellStyle name="Comma 5 2 4 2 2 2 3 4" xfId="18551"/>
    <cellStyle name="Comma 5 2 4 2 2 2 4" xfId="2247"/>
    <cellStyle name="Comma 5 2 4 2 2 2 4 2" xfId="11614"/>
    <cellStyle name="Comma 5 2 4 2 2 2 4 3" xfId="21618"/>
    <cellStyle name="Comma 5 2 4 2 2 2 5" xfId="5925"/>
    <cellStyle name="Comma 5 2 4 2 2 2 5 2" xfId="14752"/>
    <cellStyle name="Comma 5 2 4 2 2 2 5 3" xfId="25003"/>
    <cellStyle name="Comma 5 2 4 2 2 2 6" xfId="7369"/>
    <cellStyle name="Comma 5 2 4 2 2 2 6 2" xfId="20100"/>
    <cellStyle name="Comma 5 2 4 2 2 2 7" xfId="16611"/>
    <cellStyle name="Comma 5 2 4 2 2 3" xfId="1298"/>
    <cellStyle name="Comma 5 2 4 2 2 3 2" xfId="3728"/>
    <cellStyle name="Comma 5 2 4 2 2 3 2 2" xfId="12866"/>
    <cellStyle name="Comma 5 2 4 2 2 3 2 2 2" xfId="23085"/>
    <cellStyle name="Comma 5 2 4 2 2 3 2 3" xfId="9287"/>
    <cellStyle name="Comma 5 2 4 2 2 3 2 4" xfId="18078"/>
    <cellStyle name="Comma 5 2 4 2 2 3 3" xfId="4816"/>
    <cellStyle name="Comma 5 2 4 2 2 3 3 2" xfId="13655"/>
    <cellStyle name="Comma 5 2 4 2 2 3 3 2 2" xfId="23906"/>
    <cellStyle name="Comma 5 2 4 2 2 3 3 3" xfId="10076"/>
    <cellStyle name="Comma 5 2 4 2 2 3 3 4" xfId="18899"/>
    <cellStyle name="Comma 5 2 4 2 2 3 4" xfId="2122"/>
    <cellStyle name="Comma 5 2 4 2 2 3 4 2" xfId="11489"/>
    <cellStyle name="Comma 5 2 4 2 2 3 4 3" xfId="21493"/>
    <cellStyle name="Comma 5 2 4 2 2 3 5" xfId="6273"/>
    <cellStyle name="Comma 5 2 4 2 2 3 5 2" xfId="15100"/>
    <cellStyle name="Comma 5 2 4 2 2 3 5 3" xfId="25351"/>
    <cellStyle name="Comma 5 2 4 2 2 3 6" xfId="7719"/>
    <cellStyle name="Comma 5 2 4 2 2 3 6 2" xfId="20684"/>
    <cellStyle name="Comma 5 2 4 2 2 3 7" xfId="16486"/>
    <cellStyle name="Comma 5 2 4 2 2 4" xfId="3013"/>
    <cellStyle name="Comma 5 2 4 2 2 4 2" xfId="5391"/>
    <cellStyle name="Comma 5 2 4 2 2 4 2 2" xfId="14230"/>
    <cellStyle name="Comma 5 2 4 2 2 4 2 2 2" xfId="24481"/>
    <cellStyle name="Comma 5 2 4 2 2 4 2 3" xfId="10651"/>
    <cellStyle name="Comma 5 2 4 2 2 4 2 4" xfId="19474"/>
    <cellStyle name="Comma 5 2 4 2 2 4 3" xfId="6848"/>
    <cellStyle name="Comma 5 2 4 2 2 4 3 2" xfId="15675"/>
    <cellStyle name="Comma 5 2 4 2 2 4 3 3" xfId="25926"/>
    <cellStyle name="Comma 5 2 4 2 2 4 4" xfId="8294"/>
    <cellStyle name="Comma 5 2 4 2 2 4 4 2" xfId="22376"/>
    <cellStyle name="Comma 5 2 4 2 2 4 5" xfId="17369"/>
    <cellStyle name="Comma 5 2 4 2 2 5" xfId="4347"/>
    <cellStyle name="Comma 5 2 4 2 2 5 2" xfId="13187"/>
    <cellStyle name="Comma 5 2 4 2 2 5 2 2" xfId="23438"/>
    <cellStyle name="Comma 5 2 4 2 2 5 3" xfId="9608"/>
    <cellStyle name="Comma 5 2 4 2 2 5 4" xfId="18431"/>
    <cellStyle name="Comma 5 2 4 2 2 6" xfId="1619"/>
    <cellStyle name="Comma 5 2 4 2 2 6 2" xfId="10998"/>
    <cellStyle name="Comma 5 2 4 2 2 6 3" xfId="21002"/>
    <cellStyle name="Comma 5 2 4 2 2 7" xfId="5805"/>
    <cellStyle name="Comma 5 2 4 2 2 7 2" xfId="14632"/>
    <cellStyle name="Comma 5 2 4 2 2 7 3" xfId="24883"/>
    <cellStyle name="Comma 5 2 4 2 2 8" xfId="7249"/>
    <cellStyle name="Comma 5 2 4 2 2 8 2" xfId="19975"/>
    <cellStyle name="Comma 5 2 4 2 2 9" xfId="15995"/>
    <cellStyle name="Comma 5 2 4 2 3" xfId="426"/>
    <cellStyle name="Comma 5 2 4 2 3 2" xfId="2913"/>
    <cellStyle name="Comma 5 2 4 2 3 2 2" xfId="12203"/>
    <cellStyle name="Comma 5 2 4 2 3 2 2 2" xfId="22276"/>
    <cellStyle name="Comma 5 2 4 2 3 2 3" xfId="8524"/>
    <cellStyle name="Comma 5 2 4 2 3 2 4" xfId="17269"/>
    <cellStyle name="Comma 5 2 4 2 3 3" xfId="4466"/>
    <cellStyle name="Comma 5 2 4 2 3 3 2" xfId="13306"/>
    <cellStyle name="Comma 5 2 4 2 3 3 2 2" xfId="23557"/>
    <cellStyle name="Comma 5 2 4 2 3 3 3" xfId="9727"/>
    <cellStyle name="Comma 5 2 4 2 3 3 4" xfId="18550"/>
    <cellStyle name="Comma 5 2 4 2 3 4" xfId="2022"/>
    <cellStyle name="Comma 5 2 4 2 3 4 2" xfId="11389"/>
    <cellStyle name="Comma 5 2 4 2 3 4 3" xfId="21393"/>
    <cellStyle name="Comma 5 2 4 2 3 5" xfId="5924"/>
    <cellStyle name="Comma 5 2 4 2 3 5 2" xfId="14751"/>
    <cellStyle name="Comma 5 2 4 2 3 5 3" xfId="25002"/>
    <cellStyle name="Comma 5 2 4 2 3 6" xfId="7368"/>
    <cellStyle name="Comma 5 2 4 2 3 6 2" xfId="19875"/>
    <cellStyle name="Comma 5 2 4 2 3 7" xfId="16386"/>
    <cellStyle name="Comma 5 2 4 2 4" xfId="650"/>
    <cellStyle name="Comma 5 2 4 2 4 2" xfId="3137"/>
    <cellStyle name="Comma 5 2 4 2 4 2 2" xfId="12282"/>
    <cellStyle name="Comma 5 2 4 2 4 2 2 2" xfId="22500"/>
    <cellStyle name="Comma 5 2 4 2 4 2 3" xfId="8704"/>
    <cellStyle name="Comma 5 2 4 2 4 2 4" xfId="17493"/>
    <cellStyle name="Comma 5 2 4 2 4 3" xfId="4815"/>
    <cellStyle name="Comma 5 2 4 2 4 3 2" xfId="13654"/>
    <cellStyle name="Comma 5 2 4 2 4 3 2 2" xfId="23905"/>
    <cellStyle name="Comma 5 2 4 2 4 3 3" xfId="10075"/>
    <cellStyle name="Comma 5 2 4 2 4 3 4" xfId="18898"/>
    <cellStyle name="Comma 5 2 4 2 4 4" xfId="2246"/>
    <cellStyle name="Comma 5 2 4 2 4 4 2" xfId="11613"/>
    <cellStyle name="Comma 5 2 4 2 4 4 3" xfId="21617"/>
    <cellStyle name="Comma 5 2 4 2 4 5" xfId="6272"/>
    <cellStyle name="Comma 5 2 4 2 4 5 2" xfId="15099"/>
    <cellStyle name="Comma 5 2 4 2 4 5 3" xfId="25350"/>
    <cellStyle name="Comma 5 2 4 2 4 6" xfId="7718"/>
    <cellStyle name="Comma 5 2 4 2 4 6 2" xfId="20099"/>
    <cellStyle name="Comma 5 2 4 2 4 7" xfId="16610"/>
    <cellStyle name="Comma 5 2 4 2 5" xfId="1198"/>
    <cellStyle name="Comma 5 2 4 2 5 2" xfId="3628"/>
    <cellStyle name="Comma 5 2 4 2 5 2 2" xfId="12766"/>
    <cellStyle name="Comma 5 2 4 2 5 2 2 2" xfId="22985"/>
    <cellStyle name="Comma 5 2 4 2 5 2 3" xfId="9187"/>
    <cellStyle name="Comma 5 2 4 2 5 2 4" xfId="17978"/>
    <cellStyle name="Comma 5 2 4 2 5 3" xfId="5291"/>
    <cellStyle name="Comma 5 2 4 2 5 3 2" xfId="14130"/>
    <cellStyle name="Comma 5 2 4 2 5 3 2 2" xfId="24381"/>
    <cellStyle name="Comma 5 2 4 2 5 3 3" xfId="10551"/>
    <cellStyle name="Comma 5 2 4 2 5 3 4" xfId="19374"/>
    <cellStyle name="Comma 5 2 4 2 5 4" xfId="1801"/>
    <cellStyle name="Comma 5 2 4 2 5 4 2" xfId="11172"/>
    <cellStyle name="Comma 5 2 4 2 5 4 3" xfId="21176"/>
    <cellStyle name="Comma 5 2 4 2 5 5" xfId="6748"/>
    <cellStyle name="Comma 5 2 4 2 5 5 2" xfId="15575"/>
    <cellStyle name="Comma 5 2 4 2 5 5 3" xfId="25826"/>
    <cellStyle name="Comma 5 2 4 2 5 6" xfId="8194"/>
    <cellStyle name="Comma 5 2 4 2 5 6 2" xfId="20584"/>
    <cellStyle name="Comma 5 2 4 2 5 7" xfId="16169"/>
    <cellStyle name="Comma 5 2 4 2 6" xfId="2696"/>
    <cellStyle name="Comma 5 2 4 2 6 2" xfId="12015"/>
    <cellStyle name="Comma 5 2 4 2 6 2 2" xfId="22059"/>
    <cellStyle name="Comma 5 2 4 2 6 3" xfId="8595"/>
    <cellStyle name="Comma 5 2 4 2 6 4" xfId="17052"/>
    <cellStyle name="Comma 5 2 4 2 7" xfId="4247"/>
    <cellStyle name="Comma 5 2 4 2 7 2" xfId="13087"/>
    <cellStyle name="Comma 5 2 4 2 7 2 2" xfId="23338"/>
    <cellStyle name="Comma 5 2 4 2 7 3" xfId="9508"/>
    <cellStyle name="Comma 5 2 4 2 7 4" xfId="18331"/>
    <cellStyle name="Comma 5 2 4 2 8" xfId="1519"/>
    <cellStyle name="Comma 5 2 4 2 8 2" xfId="10898"/>
    <cellStyle name="Comma 5 2 4 2 8 3" xfId="20902"/>
    <cellStyle name="Comma 5 2 4 2 9" xfId="5705"/>
    <cellStyle name="Comma 5 2 4 2 9 2" xfId="14532"/>
    <cellStyle name="Comma 5 2 4 2 9 3" xfId="24783"/>
    <cellStyle name="Comma 5 2 4 3" xfId="265"/>
    <cellStyle name="Comma 5 2 4 3 10" xfId="7106"/>
    <cellStyle name="Comma 5 2 4 3 10 2" xfId="19720"/>
    <cellStyle name="Comma 5 2 4 3 11" xfId="15852"/>
    <cellStyle name="Comma 5 2 4 3 2" xfId="588"/>
    <cellStyle name="Comma 5 2 4 3 2 2" xfId="653"/>
    <cellStyle name="Comma 5 2 4 3 2 2 2" xfId="3140"/>
    <cellStyle name="Comma 5 2 4 3 2 2 2 2" xfId="12285"/>
    <cellStyle name="Comma 5 2 4 3 2 2 2 2 2" xfId="22503"/>
    <cellStyle name="Comma 5 2 4 3 2 2 2 3" xfId="8707"/>
    <cellStyle name="Comma 5 2 4 3 2 2 2 4" xfId="17496"/>
    <cellStyle name="Comma 5 2 4 3 2 2 3" xfId="4469"/>
    <cellStyle name="Comma 5 2 4 3 2 2 3 2" xfId="13309"/>
    <cellStyle name="Comma 5 2 4 3 2 2 3 2 2" xfId="23560"/>
    <cellStyle name="Comma 5 2 4 3 2 2 3 3" xfId="9730"/>
    <cellStyle name="Comma 5 2 4 3 2 2 3 4" xfId="18553"/>
    <cellStyle name="Comma 5 2 4 3 2 2 4" xfId="2249"/>
    <cellStyle name="Comma 5 2 4 3 2 2 4 2" xfId="11616"/>
    <cellStyle name="Comma 5 2 4 3 2 2 4 3" xfId="21620"/>
    <cellStyle name="Comma 5 2 4 3 2 2 5" xfId="5927"/>
    <cellStyle name="Comma 5 2 4 3 2 2 5 2" xfId="14754"/>
    <cellStyle name="Comma 5 2 4 3 2 2 5 3" xfId="25005"/>
    <cellStyle name="Comma 5 2 4 3 2 2 6" xfId="7371"/>
    <cellStyle name="Comma 5 2 4 3 2 2 6 2" xfId="20102"/>
    <cellStyle name="Comma 5 2 4 3 2 2 7" xfId="16613"/>
    <cellStyle name="Comma 5 2 4 3 2 3" xfId="1360"/>
    <cellStyle name="Comma 5 2 4 3 2 3 2" xfId="3790"/>
    <cellStyle name="Comma 5 2 4 3 2 3 2 2" xfId="12928"/>
    <cellStyle name="Comma 5 2 4 3 2 3 2 2 2" xfId="23147"/>
    <cellStyle name="Comma 5 2 4 3 2 3 2 3" xfId="9349"/>
    <cellStyle name="Comma 5 2 4 3 2 3 2 4" xfId="18140"/>
    <cellStyle name="Comma 5 2 4 3 2 3 3" xfId="4818"/>
    <cellStyle name="Comma 5 2 4 3 2 3 3 2" xfId="13657"/>
    <cellStyle name="Comma 5 2 4 3 2 3 3 2 2" xfId="23908"/>
    <cellStyle name="Comma 5 2 4 3 2 3 3 3" xfId="10078"/>
    <cellStyle name="Comma 5 2 4 3 2 3 3 4" xfId="18901"/>
    <cellStyle name="Comma 5 2 4 3 2 3 4" xfId="2184"/>
    <cellStyle name="Comma 5 2 4 3 2 3 4 2" xfId="11551"/>
    <cellStyle name="Comma 5 2 4 3 2 3 4 3" xfId="21555"/>
    <cellStyle name="Comma 5 2 4 3 2 3 5" xfId="6275"/>
    <cellStyle name="Comma 5 2 4 3 2 3 5 2" xfId="15102"/>
    <cellStyle name="Comma 5 2 4 3 2 3 5 3" xfId="25353"/>
    <cellStyle name="Comma 5 2 4 3 2 3 6" xfId="7721"/>
    <cellStyle name="Comma 5 2 4 3 2 3 6 2" xfId="20746"/>
    <cellStyle name="Comma 5 2 4 3 2 3 7" xfId="16548"/>
    <cellStyle name="Comma 5 2 4 3 2 4" xfId="3075"/>
    <cellStyle name="Comma 5 2 4 3 2 4 2" xfId="5453"/>
    <cellStyle name="Comma 5 2 4 3 2 4 2 2" xfId="14292"/>
    <cellStyle name="Comma 5 2 4 3 2 4 2 2 2" xfId="24543"/>
    <cellStyle name="Comma 5 2 4 3 2 4 2 3" xfId="10713"/>
    <cellStyle name="Comma 5 2 4 3 2 4 2 4" xfId="19536"/>
    <cellStyle name="Comma 5 2 4 3 2 4 3" xfId="6910"/>
    <cellStyle name="Comma 5 2 4 3 2 4 3 2" xfId="15737"/>
    <cellStyle name="Comma 5 2 4 3 2 4 3 3" xfId="25988"/>
    <cellStyle name="Comma 5 2 4 3 2 4 4" xfId="8356"/>
    <cellStyle name="Comma 5 2 4 3 2 4 4 2" xfId="22438"/>
    <cellStyle name="Comma 5 2 4 3 2 4 5" xfId="17431"/>
    <cellStyle name="Comma 5 2 4 3 2 5" xfId="4409"/>
    <cellStyle name="Comma 5 2 4 3 2 5 2" xfId="13249"/>
    <cellStyle name="Comma 5 2 4 3 2 5 2 2" xfId="23500"/>
    <cellStyle name="Comma 5 2 4 3 2 5 3" xfId="9670"/>
    <cellStyle name="Comma 5 2 4 3 2 5 4" xfId="18493"/>
    <cellStyle name="Comma 5 2 4 3 2 6" xfId="1681"/>
    <cellStyle name="Comma 5 2 4 3 2 6 2" xfId="11060"/>
    <cellStyle name="Comma 5 2 4 3 2 6 3" xfId="21064"/>
    <cellStyle name="Comma 5 2 4 3 2 7" xfId="5867"/>
    <cellStyle name="Comma 5 2 4 3 2 7 2" xfId="14694"/>
    <cellStyle name="Comma 5 2 4 3 2 7 3" xfId="24945"/>
    <cellStyle name="Comma 5 2 4 3 2 8" xfId="7311"/>
    <cellStyle name="Comma 5 2 4 3 2 8 2" xfId="20037"/>
    <cellStyle name="Comma 5 2 4 3 2 9" xfId="16057"/>
    <cellStyle name="Comma 5 2 4 3 3" xfId="383"/>
    <cellStyle name="Comma 5 2 4 3 3 2" xfId="2870"/>
    <cellStyle name="Comma 5 2 4 3 3 2 2" xfId="12160"/>
    <cellStyle name="Comma 5 2 4 3 3 2 2 2" xfId="22233"/>
    <cellStyle name="Comma 5 2 4 3 3 2 3" xfId="8644"/>
    <cellStyle name="Comma 5 2 4 3 3 2 4" xfId="17226"/>
    <cellStyle name="Comma 5 2 4 3 3 3" xfId="4468"/>
    <cellStyle name="Comma 5 2 4 3 3 3 2" xfId="13308"/>
    <cellStyle name="Comma 5 2 4 3 3 3 2 2" xfId="23559"/>
    <cellStyle name="Comma 5 2 4 3 3 3 3" xfId="9729"/>
    <cellStyle name="Comma 5 2 4 3 3 3 4" xfId="18552"/>
    <cellStyle name="Comma 5 2 4 3 3 4" xfId="1979"/>
    <cellStyle name="Comma 5 2 4 3 3 4 2" xfId="11346"/>
    <cellStyle name="Comma 5 2 4 3 3 4 3" xfId="21350"/>
    <cellStyle name="Comma 5 2 4 3 3 5" xfId="5926"/>
    <cellStyle name="Comma 5 2 4 3 3 5 2" xfId="14753"/>
    <cellStyle name="Comma 5 2 4 3 3 5 3" xfId="25004"/>
    <cellStyle name="Comma 5 2 4 3 3 6" xfId="7370"/>
    <cellStyle name="Comma 5 2 4 3 3 6 2" xfId="19832"/>
    <cellStyle name="Comma 5 2 4 3 3 7" xfId="16343"/>
    <cellStyle name="Comma 5 2 4 3 4" xfId="652"/>
    <cellStyle name="Comma 5 2 4 3 4 2" xfId="3139"/>
    <cellStyle name="Comma 5 2 4 3 4 2 2" xfId="12284"/>
    <cellStyle name="Comma 5 2 4 3 4 2 2 2" xfId="22502"/>
    <cellStyle name="Comma 5 2 4 3 4 2 3" xfId="8706"/>
    <cellStyle name="Comma 5 2 4 3 4 2 4" xfId="17495"/>
    <cellStyle name="Comma 5 2 4 3 4 3" xfId="4817"/>
    <cellStyle name="Comma 5 2 4 3 4 3 2" xfId="13656"/>
    <cellStyle name="Comma 5 2 4 3 4 3 2 2" xfId="23907"/>
    <cellStyle name="Comma 5 2 4 3 4 3 3" xfId="10077"/>
    <cellStyle name="Comma 5 2 4 3 4 3 4" xfId="18900"/>
    <cellStyle name="Comma 5 2 4 3 4 4" xfId="2248"/>
    <cellStyle name="Comma 5 2 4 3 4 4 2" xfId="11615"/>
    <cellStyle name="Comma 5 2 4 3 4 4 3" xfId="21619"/>
    <cellStyle name="Comma 5 2 4 3 4 5" xfId="6274"/>
    <cellStyle name="Comma 5 2 4 3 4 5 2" xfId="15101"/>
    <cellStyle name="Comma 5 2 4 3 4 5 3" xfId="25352"/>
    <cellStyle name="Comma 5 2 4 3 4 6" xfId="7720"/>
    <cellStyle name="Comma 5 2 4 3 4 6 2" xfId="20101"/>
    <cellStyle name="Comma 5 2 4 3 4 7" xfId="16612"/>
    <cellStyle name="Comma 5 2 4 3 5" xfId="1155"/>
    <cellStyle name="Comma 5 2 4 3 5 2" xfId="3585"/>
    <cellStyle name="Comma 5 2 4 3 5 2 2" xfId="12723"/>
    <cellStyle name="Comma 5 2 4 3 5 2 2 2" xfId="22942"/>
    <cellStyle name="Comma 5 2 4 3 5 2 3" xfId="9144"/>
    <cellStyle name="Comma 5 2 4 3 5 2 4" xfId="17935"/>
    <cellStyle name="Comma 5 2 4 3 5 3" xfId="5248"/>
    <cellStyle name="Comma 5 2 4 3 5 3 2" xfId="14087"/>
    <cellStyle name="Comma 5 2 4 3 5 3 2 2" xfId="24338"/>
    <cellStyle name="Comma 5 2 4 3 5 3 3" xfId="10508"/>
    <cellStyle name="Comma 5 2 4 3 5 3 4" xfId="19331"/>
    <cellStyle name="Comma 5 2 4 3 5 4" xfId="1864"/>
    <cellStyle name="Comma 5 2 4 3 5 4 2" xfId="11234"/>
    <cellStyle name="Comma 5 2 4 3 5 4 3" xfId="21238"/>
    <cellStyle name="Comma 5 2 4 3 5 5" xfId="6705"/>
    <cellStyle name="Comma 5 2 4 3 5 5 2" xfId="15532"/>
    <cellStyle name="Comma 5 2 4 3 5 5 3" xfId="25783"/>
    <cellStyle name="Comma 5 2 4 3 5 6" xfId="8151"/>
    <cellStyle name="Comma 5 2 4 3 5 6 2" xfId="20541"/>
    <cellStyle name="Comma 5 2 4 3 5 7" xfId="16231"/>
    <cellStyle name="Comma 5 2 4 3 6" xfId="2758"/>
    <cellStyle name="Comma 5 2 4 3 6 2" xfId="12077"/>
    <cellStyle name="Comma 5 2 4 3 6 2 2" xfId="22121"/>
    <cellStyle name="Comma 5 2 4 3 6 3" xfId="8646"/>
    <cellStyle name="Comma 5 2 4 3 6 4" xfId="17114"/>
    <cellStyle name="Comma 5 2 4 3 7" xfId="4204"/>
    <cellStyle name="Comma 5 2 4 3 7 2" xfId="13044"/>
    <cellStyle name="Comma 5 2 4 3 7 2 2" xfId="23295"/>
    <cellStyle name="Comma 5 2 4 3 7 3" xfId="9465"/>
    <cellStyle name="Comma 5 2 4 3 7 4" xfId="18288"/>
    <cellStyle name="Comma 5 2 4 3 8" xfId="1476"/>
    <cellStyle name="Comma 5 2 4 3 8 2" xfId="10855"/>
    <cellStyle name="Comma 5 2 4 3 8 3" xfId="20859"/>
    <cellStyle name="Comma 5 2 4 3 9" xfId="5662"/>
    <cellStyle name="Comma 5 2 4 3 9 2" xfId="14489"/>
    <cellStyle name="Comma 5 2 4 3 9 3" xfId="24740"/>
    <cellStyle name="Comma 5 2 4 4" xfId="483"/>
    <cellStyle name="Comma 5 2 4 4 2" xfId="654"/>
    <cellStyle name="Comma 5 2 4 4 2 2" xfId="3141"/>
    <cellStyle name="Comma 5 2 4 4 2 2 2" xfId="12286"/>
    <cellStyle name="Comma 5 2 4 4 2 2 2 2" xfId="22504"/>
    <cellStyle name="Comma 5 2 4 4 2 2 3" xfId="8708"/>
    <cellStyle name="Comma 5 2 4 4 2 2 4" xfId="17497"/>
    <cellStyle name="Comma 5 2 4 4 2 3" xfId="4470"/>
    <cellStyle name="Comma 5 2 4 4 2 3 2" xfId="13310"/>
    <cellStyle name="Comma 5 2 4 4 2 3 2 2" xfId="23561"/>
    <cellStyle name="Comma 5 2 4 4 2 3 3" xfId="9731"/>
    <cellStyle name="Comma 5 2 4 4 2 3 4" xfId="18554"/>
    <cellStyle name="Comma 5 2 4 4 2 4" xfId="2250"/>
    <cellStyle name="Comma 5 2 4 4 2 4 2" xfId="11617"/>
    <cellStyle name="Comma 5 2 4 4 2 4 3" xfId="21621"/>
    <cellStyle name="Comma 5 2 4 4 2 5" xfId="5928"/>
    <cellStyle name="Comma 5 2 4 4 2 5 2" xfId="14755"/>
    <cellStyle name="Comma 5 2 4 4 2 5 3" xfId="25006"/>
    <cellStyle name="Comma 5 2 4 4 2 6" xfId="7372"/>
    <cellStyle name="Comma 5 2 4 4 2 6 2" xfId="20103"/>
    <cellStyle name="Comma 5 2 4 4 2 7" xfId="16614"/>
    <cellStyle name="Comma 5 2 4 4 3" xfId="1255"/>
    <cellStyle name="Comma 5 2 4 4 3 2" xfId="3685"/>
    <cellStyle name="Comma 5 2 4 4 3 2 2" xfId="12823"/>
    <cellStyle name="Comma 5 2 4 4 3 2 2 2" xfId="23042"/>
    <cellStyle name="Comma 5 2 4 4 3 2 3" xfId="9244"/>
    <cellStyle name="Comma 5 2 4 4 3 2 4" xfId="18035"/>
    <cellStyle name="Comma 5 2 4 4 3 3" xfId="4819"/>
    <cellStyle name="Comma 5 2 4 4 3 3 2" xfId="13658"/>
    <cellStyle name="Comma 5 2 4 4 3 3 2 2" xfId="23909"/>
    <cellStyle name="Comma 5 2 4 4 3 3 3" xfId="10079"/>
    <cellStyle name="Comma 5 2 4 4 3 3 4" xfId="18902"/>
    <cellStyle name="Comma 5 2 4 4 3 4" xfId="2079"/>
    <cellStyle name="Comma 5 2 4 4 3 4 2" xfId="11446"/>
    <cellStyle name="Comma 5 2 4 4 3 4 3" xfId="21450"/>
    <cellStyle name="Comma 5 2 4 4 3 5" xfId="6276"/>
    <cellStyle name="Comma 5 2 4 4 3 5 2" xfId="15103"/>
    <cellStyle name="Comma 5 2 4 4 3 5 3" xfId="25354"/>
    <cellStyle name="Comma 5 2 4 4 3 6" xfId="7722"/>
    <cellStyle name="Comma 5 2 4 4 3 6 2" xfId="20641"/>
    <cellStyle name="Comma 5 2 4 4 3 7" xfId="16443"/>
    <cellStyle name="Comma 5 2 4 4 4" xfId="2970"/>
    <cellStyle name="Comma 5 2 4 4 4 2" xfId="5348"/>
    <cellStyle name="Comma 5 2 4 4 4 2 2" xfId="14187"/>
    <cellStyle name="Comma 5 2 4 4 4 2 2 2" xfId="24438"/>
    <cellStyle name="Comma 5 2 4 4 4 2 3" xfId="10608"/>
    <cellStyle name="Comma 5 2 4 4 4 2 4" xfId="19431"/>
    <cellStyle name="Comma 5 2 4 4 4 3" xfId="6805"/>
    <cellStyle name="Comma 5 2 4 4 4 3 2" xfId="15632"/>
    <cellStyle name="Comma 5 2 4 4 4 3 3" xfId="25883"/>
    <cellStyle name="Comma 5 2 4 4 4 4" xfId="8251"/>
    <cellStyle name="Comma 5 2 4 4 4 4 2" xfId="22333"/>
    <cellStyle name="Comma 5 2 4 4 4 5" xfId="17326"/>
    <cellStyle name="Comma 5 2 4 4 5" xfId="4304"/>
    <cellStyle name="Comma 5 2 4 4 5 2" xfId="13144"/>
    <cellStyle name="Comma 5 2 4 4 5 2 2" xfId="23395"/>
    <cellStyle name="Comma 5 2 4 4 5 3" xfId="9565"/>
    <cellStyle name="Comma 5 2 4 4 5 4" xfId="18388"/>
    <cellStyle name="Comma 5 2 4 4 6" xfId="1576"/>
    <cellStyle name="Comma 5 2 4 4 6 2" xfId="10955"/>
    <cellStyle name="Comma 5 2 4 4 6 3" xfId="20959"/>
    <cellStyle name="Comma 5 2 4 4 7" xfId="5762"/>
    <cellStyle name="Comma 5 2 4 4 7 2" xfId="14589"/>
    <cellStyle name="Comma 5 2 4 4 7 3" xfId="24840"/>
    <cellStyle name="Comma 5 2 4 4 8" xfId="7206"/>
    <cellStyle name="Comma 5 2 4 4 8 2" xfId="19932"/>
    <cellStyle name="Comma 5 2 4 4 9" xfId="15952"/>
    <cellStyle name="Comma 5 2 4 5" xfId="324"/>
    <cellStyle name="Comma 5 2 4 5 2" xfId="2811"/>
    <cellStyle name="Comma 5 2 4 5 2 2" xfId="12117"/>
    <cellStyle name="Comma 5 2 4 5 2 2 2" xfId="22174"/>
    <cellStyle name="Comma 5 2 4 5 2 3" xfId="8484"/>
    <cellStyle name="Comma 5 2 4 5 2 4" xfId="17167"/>
    <cellStyle name="Comma 5 2 4 5 3" xfId="4465"/>
    <cellStyle name="Comma 5 2 4 5 3 2" xfId="13305"/>
    <cellStyle name="Comma 5 2 4 5 3 2 2" xfId="23556"/>
    <cellStyle name="Comma 5 2 4 5 3 3" xfId="9726"/>
    <cellStyle name="Comma 5 2 4 5 3 4" xfId="18549"/>
    <cellStyle name="Comma 5 2 4 5 4" xfId="1920"/>
    <cellStyle name="Comma 5 2 4 5 4 2" xfId="11287"/>
    <cellStyle name="Comma 5 2 4 5 4 3" xfId="21291"/>
    <cellStyle name="Comma 5 2 4 5 5" xfId="5923"/>
    <cellStyle name="Comma 5 2 4 5 5 2" xfId="14750"/>
    <cellStyle name="Comma 5 2 4 5 5 3" xfId="25001"/>
    <cellStyle name="Comma 5 2 4 5 6" xfId="7367"/>
    <cellStyle name="Comma 5 2 4 5 6 2" xfId="19773"/>
    <cellStyle name="Comma 5 2 4 5 7" xfId="16284"/>
    <cellStyle name="Comma 5 2 4 6" xfId="649"/>
    <cellStyle name="Comma 5 2 4 6 2" xfId="3136"/>
    <cellStyle name="Comma 5 2 4 6 2 2" xfId="12281"/>
    <cellStyle name="Comma 5 2 4 6 2 2 2" xfId="22499"/>
    <cellStyle name="Comma 5 2 4 6 2 3" xfId="8703"/>
    <cellStyle name="Comma 5 2 4 6 2 4" xfId="17492"/>
    <cellStyle name="Comma 5 2 4 6 3" xfId="4814"/>
    <cellStyle name="Comma 5 2 4 6 3 2" xfId="13653"/>
    <cellStyle name="Comma 5 2 4 6 3 2 2" xfId="23904"/>
    <cellStyle name="Comma 5 2 4 6 3 3" xfId="10074"/>
    <cellStyle name="Comma 5 2 4 6 3 4" xfId="18897"/>
    <cellStyle name="Comma 5 2 4 6 4" xfId="2245"/>
    <cellStyle name="Comma 5 2 4 6 4 2" xfId="11612"/>
    <cellStyle name="Comma 5 2 4 6 4 3" xfId="21616"/>
    <cellStyle name="Comma 5 2 4 6 5" xfId="6271"/>
    <cellStyle name="Comma 5 2 4 6 5 2" xfId="15098"/>
    <cellStyle name="Comma 5 2 4 6 5 3" xfId="25349"/>
    <cellStyle name="Comma 5 2 4 6 6" xfId="7717"/>
    <cellStyle name="Comma 5 2 4 6 6 2" xfId="20098"/>
    <cellStyle name="Comma 5 2 4 6 7" xfId="16609"/>
    <cellStyle name="Comma 5 2 4 7" xfId="1096"/>
    <cellStyle name="Comma 5 2 4 7 2" xfId="3526"/>
    <cellStyle name="Comma 5 2 4 7 2 2" xfId="12664"/>
    <cellStyle name="Comma 5 2 4 7 2 2 2" xfId="22883"/>
    <cellStyle name="Comma 5 2 4 7 2 3" xfId="9086"/>
    <cellStyle name="Comma 5 2 4 7 2 4" xfId="17876"/>
    <cellStyle name="Comma 5 2 4 7 3" xfId="5189"/>
    <cellStyle name="Comma 5 2 4 7 3 2" xfId="14028"/>
    <cellStyle name="Comma 5 2 4 7 3 2 2" xfId="24279"/>
    <cellStyle name="Comma 5 2 4 7 3 3" xfId="10449"/>
    <cellStyle name="Comma 5 2 4 7 3 4" xfId="19272"/>
    <cellStyle name="Comma 5 2 4 7 4" xfId="1755"/>
    <cellStyle name="Comma 5 2 4 7 4 2" xfId="11128"/>
    <cellStyle name="Comma 5 2 4 7 4 3" xfId="21132"/>
    <cellStyle name="Comma 5 2 4 7 5" xfId="6646"/>
    <cellStyle name="Comma 5 2 4 7 5 2" xfId="15473"/>
    <cellStyle name="Comma 5 2 4 7 5 3" xfId="25724"/>
    <cellStyle name="Comma 5 2 4 7 6" xfId="8092"/>
    <cellStyle name="Comma 5 2 4 7 6 2" xfId="20482"/>
    <cellStyle name="Comma 5 2 4 7 7" xfId="16125"/>
    <cellStyle name="Comma 5 2 4 8" xfId="2653"/>
    <cellStyle name="Comma 5 2 4 8 2" xfId="5603"/>
    <cellStyle name="Comma 5 2 4 8 2 2" xfId="14430"/>
    <cellStyle name="Comma 5 2 4 8 2 3" xfId="24681"/>
    <cellStyle name="Comma 5 2 4 8 3" xfId="7047"/>
    <cellStyle name="Comma 5 2 4 8 3 2" xfId="22016"/>
    <cellStyle name="Comma 5 2 4 8 4" xfId="17009"/>
    <cellStyle name="Comma 5 2 4 9" xfId="4143"/>
    <cellStyle name="Comma 5 2 4 9 2" xfId="12983"/>
    <cellStyle name="Comma 5 2 4 9 2 2" xfId="23234"/>
    <cellStyle name="Comma 5 2 4 9 3" xfId="9404"/>
    <cellStyle name="Comma 5 2 4 9 4" xfId="18227"/>
    <cellStyle name="Comma 5 2 5" xfId="181"/>
    <cellStyle name="Comma 5 2 5 10" xfId="7132"/>
    <cellStyle name="Comma 5 2 5 10 2" xfId="19641"/>
    <cellStyle name="Comma 5 2 5 11" xfId="15878"/>
    <cellStyle name="Comma 5 2 5 2" xfId="509"/>
    <cellStyle name="Comma 5 2 5 2 2" xfId="656"/>
    <cellStyle name="Comma 5 2 5 2 2 2" xfId="3143"/>
    <cellStyle name="Comma 5 2 5 2 2 2 2" xfId="12288"/>
    <cellStyle name="Comma 5 2 5 2 2 2 2 2" xfId="22506"/>
    <cellStyle name="Comma 5 2 5 2 2 2 3" xfId="8710"/>
    <cellStyle name="Comma 5 2 5 2 2 2 4" xfId="17499"/>
    <cellStyle name="Comma 5 2 5 2 2 3" xfId="4472"/>
    <cellStyle name="Comma 5 2 5 2 2 3 2" xfId="13312"/>
    <cellStyle name="Comma 5 2 5 2 2 3 2 2" xfId="23563"/>
    <cellStyle name="Comma 5 2 5 2 2 3 3" xfId="9733"/>
    <cellStyle name="Comma 5 2 5 2 2 3 4" xfId="18556"/>
    <cellStyle name="Comma 5 2 5 2 2 4" xfId="2252"/>
    <cellStyle name="Comma 5 2 5 2 2 4 2" xfId="11619"/>
    <cellStyle name="Comma 5 2 5 2 2 4 3" xfId="21623"/>
    <cellStyle name="Comma 5 2 5 2 2 5" xfId="5930"/>
    <cellStyle name="Comma 5 2 5 2 2 5 2" xfId="14757"/>
    <cellStyle name="Comma 5 2 5 2 2 5 3" xfId="25008"/>
    <cellStyle name="Comma 5 2 5 2 2 6" xfId="7374"/>
    <cellStyle name="Comma 5 2 5 2 2 6 2" xfId="20105"/>
    <cellStyle name="Comma 5 2 5 2 2 7" xfId="16616"/>
    <cellStyle name="Comma 5 2 5 2 3" xfId="1281"/>
    <cellStyle name="Comma 5 2 5 2 3 2" xfId="3711"/>
    <cellStyle name="Comma 5 2 5 2 3 2 2" xfId="12849"/>
    <cellStyle name="Comma 5 2 5 2 3 2 2 2" xfId="23068"/>
    <cellStyle name="Comma 5 2 5 2 3 2 3" xfId="9270"/>
    <cellStyle name="Comma 5 2 5 2 3 2 4" xfId="18061"/>
    <cellStyle name="Comma 5 2 5 2 3 3" xfId="4821"/>
    <cellStyle name="Comma 5 2 5 2 3 3 2" xfId="13660"/>
    <cellStyle name="Comma 5 2 5 2 3 3 2 2" xfId="23911"/>
    <cellStyle name="Comma 5 2 5 2 3 3 3" xfId="10081"/>
    <cellStyle name="Comma 5 2 5 2 3 3 4" xfId="18904"/>
    <cellStyle name="Comma 5 2 5 2 3 4" xfId="2105"/>
    <cellStyle name="Comma 5 2 5 2 3 4 2" xfId="11472"/>
    <cellStyle name="Comma 5 2 5 2 3 4 3" xfId="21476"/>
    <cellStyle name="Comma 5 2 5 2 3 5" xfId="6278"/>
    <cellStyle name="Comma 5 2 5 2 3 5 2" xfId="15105"/>
    <cellStyle name="Comma 5 2 5 2 3 5 3" xfId="25356"/>
    <cellStyle name="Comma 5 2 5 2 3 6" xfId="7724"/>
    <cellStyle name="Comma 5 2 5 2 3 6 2" xfId="20667"/>
    <cellStyle name="Comma 5 2 5 2 3 7" xfId="16469"/>
    <cellStyle name="Comma 5 2 5 2 4" xfId="2996"/>
    <cellStyle name="Comma 5 2 5 2 4 2" xfId="5374"/>
    <cellStyle name="Comma 5 2 5 2 4 2 2" xfId="14213"/>
    <cellStyle name="Comma 5 2 5 2 4 2 2 2" xfId="24464"/>
    <cellStyle name="Comma 5 2 5 2 4 2 3" xfId="10634"/>
    <cellStyle name="Comma 5 2 5 2 4 2 4" xfId="19457"/>
    <cellStyle name="Comma 5 2 5 2 4 3" xfId="6831"/>
    <cellStyle name="Comma 5 2 5 2 4 3 2" xfId="15658"/>
    <cellStyle name="Comma 5 2 5 2 4 3 3" xfId="25909"/>
    <cellStyle name="Comma 5 2 5 2 4 4" xfId="8277"/>
    <cellStyle name="Comma 5 2 5 2 4 4 2" xfId="22359"/>
    <cellStyle name="Comma 5 2 5 2 4 5" xfId="17352"/>
    <cellStyle name="Comma 5 2 5 2 5" xfId="4330"/>
    <cellStyle name="Comma 5 2 5 2 5 2" xfId="13170"/>
    <cellStyle name="Comma 5 2 5 2 5 2 2" xfId="23421"/>
    <cellStyle name="Comma 5 2 5 2 5 3" xfId="9591"/>
    <cellStyle name="Comma 5 2 5 2 5 4" xfId="18414"/>
    <cellStyle name="Comma 5 2 5 2 6" xfId="1602"/>
    <cellStyle name="Comma 5 2 5 2 6 2" xfId="10981"/>
    <cellStyle name="Comma 5 2 5 2 6 3" xfId="20985"/>
    <cellStyle name="Comma 5 2 5 2 7" xfId="5788"/>
    <cellStyle name="Comma 5 2 5 2 7 2" xfId="14615"/>
    <cellStyle name="Comma 5 2 5 2 7 3" xfId="24866"/>
    <cellStyle name="Comma 5 2 5 2 8" xfId="7232"/>
    <cellStyle name="Comma 5 2 5 2 8 2" xfId="19958"/>
    <cellStyle name="Comma 5 2 5 2 9" xfId="15978"/>
    <cellStyle name="Comma 5 2 5 3" xfId="409"/>
    <cellStyle name="Comma 5 2 5 3 2" xfId="2896"/>
    <cellStyle name="Comma 5 2 5 3 2 2" xfId="12186"/>
    <cellStyle name="Comma 5 2 5 3 2 2 2" xfId="22259"/>
    <cellStyle name="Comma 5 2 5 3 2 3" xfId="6980"/>
    <cellStyle name="Comma 5 2 5 3 2 4" xfId="17252"/>
    <cellStyle name="Comma 5 2 5 3 3" xfId="4471"/>
    <cellStyle name="Comma 5 2 5 3 3 2" xfId="13311"/>
    <cellStyle name="Comma 5 2 5 3 3 2 2" xfId="23562"/>
    <cellStyle name="Comma 5 2 5 3 3 3" xfId="9732"/>
    <cellStyle name="Comma 5 2 5 3 3 4" xfId="18555"/>
    <cellStyle name="Comma 5 2 5 3 4" xfId="2005"/>
    <cellStyle name="Comma 5 2 5 3 4 2" xfId="11372"/>
    <cellStyle name="Comma 5 2 5 3 4 3" xfId="21376"/>
    <cellStyle name="Comma 5 2 5 3 5" xfId="5929"/>
    <cellStyle name="Comma 5 2 5 3 5 2" xfId="14756"/>
    <cellStyle name="Comma 5 2 5 3 5 3" xfId="25007"/>
    <cellStyle name="Comma 5 2 5 3 6" xfId="7373"/>
    <cellStyle name="Comma 5 2 5 3 6 2" xfId="19858"/>
    <cellStyle name="Comma 5 2 5 3 7" xfId="16369"/>
    <cellStyle name="Comma 5 2 5 4" xfId="655"/>
    <cellStyle name="Comma 5 2 5 4 2" xfId="3142"/>
    <cellStyle name="Comma 5 2 5 4 2 2" xfId="12287"/>
    <cellStyle name="Comma 5 2 5 4 2 2 2" xfId="22505"/>
    <cellStyle name="Comma 5 2 5 4 2 3" xfId="8709"/>
    <cellStyle name="Comma 5 2 5 4 2 4" xfId="17498"/>
    <cellStyle name="Comma 5 2 5 4 3" xfId="4820"/>
    <cellStyle name="Comma 5 2 5 4 3 2" xfId="13659"/>
    <cellStyle name="Comma 5 2 5 4 3 2 2" xfId="23910"/>
    <cellStyle name="Comma 5 2 5 4 3 3" xfId="10080"/>
    <cellStyle name="Comma 5 2 5 4 3 4" xfId="18903"/>
    <cellStyle name="Comma 5 2 5 4 4" xfId="2251"/>
    <cellStyle name="Comma 5 2 5 4 4 2" xfId="11618"/>
    <cellStyle name="Comma 5 2 5 4 4 3" xfId="21622"/>
    <cellStyle name="Comma 5 2 5 4 5" xfId="6277"/>
    <cellStyle name="Comma 5 2 5 4 5 2" xfId="15104"/>
    <cellStyle name="Comma 5 2 5 4 5 3" xfId="25355"/>
    <cellStyle name="Comma 5 2 5 4 6" xfId="7723"/>
    <cellStyle name="Comma 5 2 5 4 6 2" xfId="20104"/>
    <cellStyle name="Comma 5 2 5 4 7" xfId="16615"/>
    <cellStyle name="Comma 5 2 5 5" xfId="1181"/>
    <cellStyle name="Comma 5 2 5 5 2" xfId="3611"/>
    <cellStyle name="Comma 5 2 5 5 2 2" xfId="12749"/>
    <cellStyle name="Comma 5 2 5 5 2 2 2" xfId="22968"/>
    <cellStyle name="Comma 5 2 5 5 2 3" xfId="9170"/>
    <cellStyle name="Comma 5 2 5 5 2 4" xfId="17961"/>
    <cellStyle name="Comma 5 2 5 5 3" xfId="5274"/>
    <cellStyle name="Comma 5 2 5 5 3 2" xfId="14113"/>
    <cellStyle name="Comma 5 2 5 5 3 2 2" xfId="24364"/>
    <cellStyle name="Comma 5 2 5 5 3 3" xfId="10534"/>
    <cellStyle name="Comma 5 2 5 5 3 4" xfId="19357"/>
    <cellStyle name="Comma 5 2 5 5 4" xfId="1784"/>
    <cellStyle name="Comma 5 2 5 5 4 2" xfId="11155"/>
    <cellStyle name="Comma 5 2 5 5 4 3" xfId="21159"/>
    <cellStyle name="Comma 5 2 5 5 5" xfId="6731"/>
    <cellStyle name="Comma 5 2 5 5 5 2" xfId="15558"/>
    <cellStyle name="Comma 5 2 5 5 5 3" xfId="25809"/>
    <cellStyle name="Comma 5 2 5 5 6" xfId="8177"/>
    <cellStyle name="Comma 5 2 5 5 6 2" xfId="20567"/>
    <cellStyle name="Comma 5 2 5 5 7" xfId="16152"/>
    <cellStyle name="Comma 5 2 5 6" xfId="2679"/>
    <cellStyle name="Comma 5 2 5 6 2" xfId="11998"/>
    <cellStyle name="Comma 5 2 5 6 2 2" xfId="22042"/>
    <cellStyle name="Comma 5 2 5 6 3" xfId="8510"/>
    <cellStyle name="Comma 5 2 5 6 4" xfId="17035"/>
    <cellStyle name="Comma 5 2 5 7" xfId="4230"/>
    <cellStyle name="Comma 5 2 5 7 2" xfId="13070"/>
    <cellStyle name="Comma 5 2 5 7 2 2" xfId="23321"/>
    <cellStyle name="Comma 5 2 5 7 3" xfId="9491"/>
    <cellStyle name="Comma 5 2 5 7 4" xfId="18314"/>
    <cellStyle name="Comma 5 2 5 8" xfId="1502"/>
    <cellStyle name="Comma 5 2 5 8 2" xfId="10881"/>
    <cellStyle name="Comma 5 2 5 8 3" xfId="20885"/>
    <cellStyle name="Comma 5 2 5 9" xfId="5688"/>
    <cellStyle name="Comma 5 2 5 9 2" xfId="14515"/>
    <cellStyle name="Comma 5 2 5 9 3" xfId="24766"/>
    <cellStyle name="Comma 5 2 6" xfId="234"/>
    <cellStyle name="Comma 5 2 6 10" xfId="7075"/>
    <cellStyle name="Comma 5 2 6 10 2" xfId="19689"/>
    <cellStyle name="Comma 5 2 6 11" xfId="15821"/>
    <cellStyle name="Comma 5 2 6 2" xfId="557"/>
    <cellStyle name="Comma 5 2 6 2 2" xfId="658"/>
    <cellStyle name="Comma 5 2 6 2 2 2" xfId="3145"/>
    <cellStyle name="Comma 5 2 6 2 2 2 2" xfId="12290"/>
    <cellStyle name="Comma 5 2 6 2 2 2 2 2" xfId="22508"/>
    <cellStyle name="Comma 5 2 6 2 2 2 3" xfId="8712"/>
    <cellStyle name="Comma 5 2 6 2 2 2 4" xfId="17501"/>
    <cellStyle name="Comma 5 2 6 2 2 3" xfId="4474"/>
    <cellStyle name="Comma 5 2 6 2 2 3 2" xfId="13314"/>
    <cellStyle name="Comma 5 2 6 2 2 3 2 2" xfId="23565"/>
    <cellStyle name="Comma 5 2 6 2 2 3 3" xfId="9735"/>
    <cellStyle name="Comma 5 2 6 2 2 3 4" xfId="18558"/>
    <cellStyle name="Comma 5 2 6 2 2 4" xfId="2254"/>
    <cellStyle name="Comma 5 2 6 2 2 4 2" xfId="11621"/>
    <cellStyle name="Comma 5 2 6 2 2 4 3" xfId="21625"/>
    <cellStyle name="Comma 5 2 6 2 2 5" xfId="5932"/>
    <cellStyle name="Comma 5 2 6 2 2 5 2" xfId="14759"/>
    <cellStyle name="Comma 5 2 6 2 2 5 3" xfId="25010"/>
    <cellStyle name="Comma 5 2 6 2 2 6" xfId="7376"/>
    <cellStyle name="Comma 5 2 6 2 2 6 2" xfId="20107"/>
    <cellStyle name="Comma 5 2 6 2 2 7" xfId="16618"/>
    <cellStyle name="Comma 5 2 6 2 3" xfId="1329"/>
    <cellStyle name="Comma 5 2 6 2 3 2" xfId="3759"/>
    <cellStyle name="Comma 5 2 6 2 3 2 2" xfId="12897"/>
    <cellStyle name="Comma 5 2 6 2 3 2 2 2" xfId="23116"/>
    <cellStyle name="Comma 5 2 6 2 3 2 3" xfId="9318"/>
    <cellStyle name="Comma 5 2 6 2 3 2 4" xfId="18109"/>
    <cellStyle name="Comma 5 2 6 2 3 3" xfId="4823"/>
    <cellStyle name="Comma 5 2 6 2 3 3 2" xfId="13662"/>
    <cellStyle name="Comma 5 2 6 2 3 3 2 2" xfId="23913"/>
    <cellStyle name="Comma 5 2 6 2 3 3 3" xfId="10083"/>
    <cellStyle name="Comma 5 2 6 2 3 3 4" xfId="18906"/>
    <cellStyle name="Comma 5 2 6 2 3 4" xfId="2153"/>
    <cellStyle name="Comma 5 2 6 2 3 4 2" xfId="11520"/>
    <cellStyle name="Comma 5 2 6 2 3 4 3" xfId="21524"/>
    <cellStyle name="Comma 5 2 6 2 3 5" xfId="6280"/>
    <cellStyle name="Comma 5 2 6 2 3 5 2" xfId="15107"/>
    <cellStyle name="Comma 5 2 6 2 3 5 3" xfId="25358"/>
    <cellStyle name="Comma 5 2 6 2 3 6" xfId="7726"/>
    <cellStyle name="Comma 5 2 6 2 3 6 2" xfId="20715"/>
    <cellStyle name="Comma 5 2 6 2 3 7" xfId="16517"/>
    <cellStyle name="Comma 5 2 6 2 4" xfId="3044"/>
    <cellStyle name="Comma 5 2 6 2 4 2" xfId="5422"/>
    <cellStyle name="Comma 5 2 6 2 4 2 2" xfId="14261"/>
    <cellStyle name="Comma 5 2 6 2 4 2 2 2" xfId="24512"/>
    <cellStyle name="Comma 5 2 6 2 4 2 3" xfId="10682"/>
    <cellStyle name="Comma 5 2 6 2 4 2 4" xfId="19505"/>
    <cellStyle name="Comma 5 2 6 2 4 3" xfId="6879"/>
    <cellStyle name="Comma 5 2 6 2 4 3 2" xfId="15706"/>
    <cellStyle name="Comma 5 2 6 2 4 3 3" xfId="25957"/>
    <cellStyle name="Comma 5 2 6 2 4 4" xfId="8325"/>
    <cellStyle name="Comma 5 2 6 2 4 4 2" xfId="22407"/>
    <cellStyle name="Comma 5 2 6 2 4 5" xfId="17400"/>
    <cellStyle name="Comma 5 2 6 2 5" xfId="4378"/>
    <cellStyle name="Comma 5 2 6 2 5 2" xfId="13218"/>
    <cellStyle name="Comma 5 2 6 2 5 2 2" xfId="23469"/>
    <cellStyle name="Comma 5 2 6 2 5 3" xfId="9639"/>
    <cellStyle name="Comma 5 2 6 2 5 4" xfId="18462"/>
    <cellStyle name="Comma 5 2 6 2 6" xfId="1650"/>
    <cellStyle name="Comma 5 2 6 2 6 2" xfId="11029"/>
    <cellStyle name="Comma 5 2 6 2 6 3" xfId="21033"/>
    <cellStyle name="Comma 5 2 6 2 7" xfId="5836"/>
    <cellStyle name="Comma 5 2 6 2 7 2" xfId="14663"/>
    <cellStyle name="Comma 5 2 6 2 7 3" xfId="24914"/>
    <cellStyle name="Comma 5 2 6 2 8" xfId="7280"/>
    <cellStyle name="Comma 5 2 6 2 8 2" xfId="20006"/>
    <cellStyle name="Comma 5 2 6 2 9" xfId="16026"/>
    <cellStyle name="Comma 5 2 6 3" xfId="352"/>
    <cellStyle name="Comma 5 2 6 3 2" xfId="2839"/>
    <cellStyle name="Comma 5 2 6 3 2 2" xfId="12129"/>
    <cellStyle name="Comma 5 2 6 3 2 2 2" xfId="22202"/>
    <cellStyle name="Comma 5 2 6 3 2 3" xfId="8480"/>
    <cellStyle name="Comma 5 2 6 3 2 4" xfId="17195"/>
    <cellStyle name="Comma 5 2 6 3 3" xfId="4473"/>
    <cellStyle name="Comma 5 2 6 3 3 2" xfId="13313"/>
    <cellStyle name="Comma 5 2 6 3 3 2 2" xfId="23564"/>
    <cellStyle name="Comma 5 2 6 3 3 3" xfId="9734"/>
    <cellStyle name="Comma 5 2 6 3 3 4" xfId="18557"/>
    <cellStyle name="Comma 5 2 6 3 4" xfId="1948"/>
    <cellStyle name="Comma 5 2 6 3 4 2" xfId="11315"/>
    <cellStyle name="Comma 5 2 6 3 4 3" xfId="21319"/>
    <cellStyle name="Comma 5 2 6 3 5" xfId="5931"/>
    <cellStyle name="Comma 5 2 6 3 5 2" xfId="14758"/>
    <cellStyle name="Comma 5 2 6 3 5 3" xfId="25009"/>
    <cellStyle name="Comma 5 2 6 3 6" xfId="7375"/>
    <cellStyle name="Comma 5 2 6 3 6 2" xfId="19801"/>
    <cellStyle name="Comma 5 2 6 3 7" xfId="16312"/>
    <cellStyle name="Comma 5 2 6 4" xfId="657"/>
    <cellStyle name="Comma 5 2 6 4 2" xfId="3144"/>
    <cellStyle name="Comma 5 2 6 4 2 2" xfId="12289"/>
    <cellStyle name="Comma 5 2 6 4 2 2 2" xfId="22507"/>
    <cellStyle name="Comma 5 2 6 4 2 3" xfId="8711"/>
    <cellStyle name="Comma 5 2 6 4 2 4" xfId="17500"/>
    <cellStyle name="Comma 5 2 6 4 3" xfId="4822"/>
    <cellStyle name="Comma 5 2 6 4 3 2" xfId="13661"/>
    <cellStyle name="Comma 5 2 6 4 3 2 2" xfId="23912"/>
    <cellStyle name="Comma 5 2 6 4 3 3" xfId="10082"/>
    <cellStyle name="Comma 5 2 6 4 3 4" xfId="18905"/>
    <cellStyle name="Comma 5 2 6 4 4" xfId="2253"/>
    <cellStyle name="Comma 5 2 6 4 4 2" xfId="11620"/>
    <cellStyle name="Comma 5 2 6 4 4 3" xfId="21624"/>
    <cellStyle name="Comma 5 2 6 4 5" xfId="6279"/>
    <cellStyle name="Comma 5 2 6 4 5 2" xfId="15106"/>
    <cellStyle name="Comma 5 2 6 4 5 3" xfId="25357"/>
    <cellStyle name="Comma 5 2 6 4 6" xfId="7725"/>
    <cellStyle name="Comma 5 2 6 4 6 2" xfId="20106"/>
    <cellStyle name="Comma 5 2 6 4 7" xfId="16617"/>
    <cellStyle name="Comma 5 2 6 5" xfId="1124"/>
    <cellStyle name="Comma 5 2 6 5 2" xfId="3554"/>
    <cellStyle name="Comma 5 2 6 5 2 2" xfId="12692"/>
    <cellStyle name="Comma 5 2 6 5 2 2 2" xfId="22911"/>
    <cellStyle name="Comma 5 2 6 5 2 3" xfId="9113"/>
    <cellStyle name="Comma 5 2 6 5 2 4" xfId="17904"/>
    <cellStyle name="Comma 5 2 6 5 3" xfId="5217"/>
    <cellStyle name="Comma 5 2 6 5 3 2" xfId="14056"/>
    <cellStyle name="Comma 5 2 6 5 3 2 2" xfId="24307"/>
    <cellStyle name="Comma 5 2 6 5 3 3" xfId="10477"/>
    <cellStyle name="Comma 5 2 6 5 3 4" xfId="19300"/>
    <cellStyle name="Comma 5 2 6 5 4" xfId="1833"/>
    <cellStyle name="Comma 5 2 6 5 4 2" xfId="11203"/>
    <cellStyle name="Comma 5 2 6 5 4 3" xfId="21207"/>
    <cellStyle name="Comma 5 2 6 5 5" xfId="6674"/>
    <cellStyle name="Comma 5 2 6 5 5 2" xfId="15501"/>
    <cellStyle name="Comma 5 2 6 5 5 3" xfId="25752"/>
    <cellStyle name="Comma 5 2 6 5 6" xfId="8120"/>
    <cellStyle name="Comma 5 2 6 5 6 2" xfId="20510"/>
    <cellStyle name="Comma 5 2 6 5 7" xfId="16200"/>
    <cellStyle name="Comma 5 2 6 6" xfId="2727"/>
    <cellStyle name="Comma 5 2 6 6 2" xfId="12046"/>
    <cellStyle name="Comma 5 2 6 6 2 2" xfId="22090"/>
    <cellStyle name="Comma 5 2 6 6 3" xfId="8426"/>
    <cellStyle name="Comma 5 2 6 6 4" xfId="17083"/>
    <cellStyle name="Comma 5 2 6 7" xfId="4173"/>
    <cellStyle name="Comma 5 2 6 7 2" xfId="13013"/>
    <cellStyle name="Comma 5 2 6 7 2 2" xfId="23264"/>
    <cellStyle name="Comma 5 2 6 7 3" xfId="9434"/>
    <cellStyle name="Comma 5 2 6 7 4" xfId="18257"/>
    <cellStyle name="Comma 5 2 6 8" xfId="1445"/>
    <cellStyle name="Comma 5 2 6 8 2" xfId="10824"/>
    <cellStyle name="Comma 5 2 6 8 3" xfId="20828"/>
    <cellStyle name="Comma 5 2 6 9" xfId="5631"/>
    <cellStyle name="Comma 5 2 6 9 2" xfId="14458"/>
    <cellStyle name="Comma 5 2 6 9 3" xfId="24709"/>
    <cellStyle name="Comma 5 2 7" xfId="291"/>
    <cellStyle name="Comma 5 2 7 10" xfId="16082"/>
    <cellStyle name="Comma 5 2 7 2" xfId="613"/>
    <cellStyle name="Comma 5 2 7 2 2" xfId="3100"/>
    <cellStyle name="Comma 5 2 7 2 2 2" xfId="12245"/>
    <cellStyle name="Comma 5 2 7 2 2 2 2" xfId="22463"/>
    <cellStyle name="Comma 5 2 7 2 2 3" xfId="8667"/>
    <cellStyle name="Comma 5 2 7 2 2 4" xfId="17456"/>
    <cellStyle name="Comma 5 2 7 2 3" xfId="4475"/>
    <cellStyle name="Comma 5 2 7 2 3 2" xfId="13315"/>
    <cellStyle name="Comma 5 2 7 2 3 2 2" xfId="23566"/>
    <cellStyle name="Comma 5 2 7 2 3 3" xfId="9736"/>
    <cellStyle name="Comma 5 2 7 2 3 4" xfId="18559"/>
    <cellStyle name="Comma 5 2 7 2 4" xfId="2209"/>
    <cellStyle name="Comma 5 2 7 2 4 2" xfId="11576"/>
    <cellStyle name="Comma 5 2 7 2 4 3" xfId="21580"/>
    <cellStyle name="Comma 5 2 7 2 5" xfId="5933"/>
    <cellStyle name="Comma 5 2 7 2 5 2" xfId="14760"/>
    <cellStyle name="Comma 5 2 7 2 5 3" xfId="25011"/>
    <cellStyle name="Comma 5 2 7 2 6" xfId="7377"/>
    <cellStyle name="Comma 5 2 7 2 6 2" xfId="20062"/>
    <cellStyle name="Comma 5 2 7 2 7" xfId="16573"/>
    <cellStyle name="Comma 5 2 7 3" xfId="659"/>
    <cellStyle name="Comma 5 2 7 3 2" xfId="3146"/>
    <cellStyle name="Comma 5 2 7 3 2 2" xfId="12291"/>
    <cellStyle name="Comma 5 2 7 3 2 2 2" xfId="22509"/>
    <cellStyle name="Comma 5 2 7 3 2 3" xfId="8713"/>
    <cellStyle name="Comma 5 2 7 3 2 4" xfId="17502"/>
    <cellStyle name="Comma 5 2 7 3 3" xfId="4824"/>
    <cellStyle name="Comma 5 2 7 3 3 2" xfId="13663"/>
    <cellStyle name="Comma 5 2 7 3 3 2 2" xfId="23914"/>
    <cellStyle name="Comma 5 2 7 3 3 3" xfId="10084"/>
    <cellStyle name="Comma 5 2 7 3 3 4" xfId="18907"/>
    <cellStyle name="Comma 5 2 7 3 4" xfId="2255"/>
    <cellStyle name="Comma 5 2 7 3 4 2" xfId="11622"/>
    <cellStyle name="Comma 5 2 7 3 4 3" xfId="21626"/>
    <cellStyle name="Comma 5 2 7 3 5" xfId="6281"/>
    <cellStyle name="Comma 5 2 7 3 5 2" xfId="15108"/>
    <cellStyle name="Comma 5 2 7 3 5 3" xfId="25359"/>
    <cellStyle name="Comma 5 2 7 3 6" xfId="7727"/>
    <cellStyle name="Comma 5 2 7 3 6 2" xfId="20108"/>
    <cellStyle name="Comma 5 2 7 3 7" xfId="16619"/>
    <cellStyle name="Comma 5 2 7 4" xfId="1385"/>
    <cellStyle name="Comma 5 2 7 4 2" xfId="3815"/>
    <cellStyle name="Comma 5 2 7 4 2 2" xfId="12953"/>
    <cellStyle name="Comma 5 2 7 4 2 2 2" xfId="23172"/>
    <cellStyle name="Comma 5 2 7 4 2 3" xfId="9374"/>
    <cellStyle name="Comma 5 2 7 4 2 4" xfId="18165"/>
    <cellStyle name="Comma 5 2 7 4 3" xfId="5478"/>
    <cellStyle name="Comma 5 2 7 4 3 2" xfId="14317"/>
    <cellStyle name="Comma 5 2 7 4 3 2 2" xfId="24568"/>
    <cellStyle name="Comma 5 2 7 4 3 3" xfId="10738"/>
    <cellStyle name="Comma 5 2 7 4 3 4" xfId="19561"/>
    <cellStyle name="Comma 5 2 7 4 4" xfId="1889"/>
    <cellStyle name="Comma 5 2 7 4 4 2" xfId="11259"/>
    <cellStyle name="Comma 5 2 7 4 4 3" xfId="21263"/>
    <cellStyle name="Comma 5 2 7 4 5" xfId="6935"/>
    <cellStyle name="Comma 5 2 7 4 5 2" xfId="15762"/>
    <cellStyle name="Comma 5 2 7 4 5 3" xfId="26013"/>
    <cellStyle name="Comma 5 2 7 4 6" xfId="8381"/>
    <cellStyle name="Comma 5 2 7 4 6 2" xfId="20771"/>
    <cellStyle name="Comma 5 2 7 4 7" xfId="16256"/>
    <cellStyle name="Comma 5 2 7 5" xfId="2783"/>
    <cellStyle name="Comma 5 2 7 5 2" xfId="12102"/>
    <cellStyle name="Comma 5 2 7 5 2 2" xfId="22146"/>
    <cellStyle name="Comma 5 2 7 5 3" xfId="8546"/>
    <cellStyle name="Comma 5 2 7 5 4" xfId="17139"/>
    <cellStyle name="Comma 5 2 7 6" xfId="4434"/>
    <cellStyle name="Comma 5 2 7 6 2" xfId="13274"/>
    <cellStyle name="Comma 5 2 7 6 2 2" xfId="23525"/>
    <cellStyle name="Comma 5 2 7 6 3" xfId="9695"/>
    <cellStyle name="Comma 5 2 7 6 4" xfId="18518"/>
    <cellStyle name="Comma 5 2 7 7" xfId="1706"/>
    <cellStyle name="Comma 5 2 7 7 2" xfId="11085"/>
    <cellStyle name="Comma 5 2 7 7 3" xfId="21089"/>
    <cellStyle name="Comma 5 2 7 8" xfId="5892"/>
    <cellStyle name="Comma 5 2 7 8 2" xfId="14719"/>
    <cellStyle name="Comma 5 2 7 8 3" xfId="24970"/>
    <cellStyle name="Comma 5 2 7 9" xfId="7336"/>
    <cellStyle name="Comma 5 2 7 9 2" xfId="19745"/>
    <cellStyle name="Comma 5 2 8" xfId="452"/>
    <cellStyle name="Comma 5 2 8 2" xfId="660"/>
    <cellStyle name="Comma 5 2 8 2 2" xfId="3147"/>
    <cellStyle name="Comma 5 2 8 2 2 2" xfId="12292"/>
    <cellStyle name="Comma 5 2 8 2 2 2 2" xfId="22510"/>
    <cellStyle name="Comma 5 2 8 2 2 3" xfId="8714"/>
    <cellStyle name="Comma 5 2 8 2 2 4" xfId="17503"/>
    <cellStyle name="Comma 5 2 8 2 3" xfId="4476"/>
    <cellStyle name="Comma 5 2 8 2 3 2" xfId="13316"/>
    <cellStyle name="Comma 5 2 8 2 3 2 2" xfId="23567"/>
    <cellStyle name="Comma 5 2 8 2 3 3" xfId="9737"/>
    <cellStyle name="Comma 5 2 8 2 3 4" xfId="18560"/>
    <cellStyle name="Comma 5 2 8 2 4" xfId="2256"/>
    <cellStyle name="Comma 5 2 8 2 4 2" xfId="11623"/>
    <cellStyle name="Comma 5 2 8 2 4 3" xfId="21627"/>
    <cellStyle name="Comma 5 2 8 2 5" xfId="5934"/>
    <cellStyle name="Comma 5 2 8 2 5 2" xfId="14761"/>
    <cellStyle name="Comma 5 2 8 2 5 3" xfId="25012"/>
    <cellStyle name="Comma 5 2 8 2 6" xfId="7378"/>
    <cellStyle name="Comma 5 2 8 2 6 2" xfId="20109"/>
    <cellStyle name="Comma 5 2 8 2 7" xfId="16620"/>
    <cellStyle name="Comma 5 2 8 3" xfId="1224"/>
    <cellStyle name="Comma 5 2 8 3 2" xfId="3654"/>
    <cellStyle name="Comma 5 2 8 3 2 2" xfId="12792"/>
    <cellStyle name="Comma 5 2 8 3 2 2 2" xfId="23011"/>
    <cellStyle name="Comma 5 2 8 3 2 3" xfId="9213"/>
    <cellStyle name="Comma 5 2 8 3 2 4" xfId="18004"/>
    <cellStyle name="Comma 5 2 8 3 3" xfId="4825"/>
    <cellStyle name="Comma 5 2 8 3 3 2" xfId="13664"/>
    <cellStyle name="Comma 5 2 8 3 3 2 2" xfId="23915"/>
    <cellStyle name="Comma 5 2 8 3 3 3" xfId="10085"/>
    <cellStyle name="Comma 5 2 8 3 3 4" xfId="18908"/>
    <cellStyle name="Comma 5 2 8 3 4" xfId="2048"/>
    <cellStyle name="Comma 5 2 8 3 4 2" xfId="11415"/>
    <cellStyle name="Comma 5 2 8 3 4 3" xfId="21419"/>
    <cellStyle name="Comma 5 2 8 3 5" xfId="6282"/>
    <cellStyle name="Comma 5 2 8 3 5 2" xfId="15109"/>
    <cellStyle name="Comma 5 2 8 3 5 3" xfId="25360"/>
    <cellStyle name="Comma 5 2 8 3 6" xfId="7728"/>
    <cellStyle name="Comma 5 2 8 3 6 2" xfId="20610"/>
    <cellStyle name="Comma 5 2 8 3 7" xfId="16412"/>
    <cellStyle name="Comma 5 2 8 4" xfId="2939"/>
    <cellStyle name="Comma 5 2 8 4 2" xfId="5317"/>
    <cellStyle name="Comma 5 2 8 4 2 2" xfId="14156"/>
    <cellStyle name="Comma 5 2 8 4 2 2 2" xfId="24407"/>
    <cellStyle name="Comma 5 2 8 4 2 3" xfId="10577"/>
    <cellStyle name="Comma 5 2 8 4 2 4" xfId="19400"/>
    <cellStyle name="Comma 5 2 8 4 3" xfId="6774"/>
    <cellStyle name="Comma 5 2 8 4 3 2" xfId="15601"/>
    <cellStyle name="Comma 5 2 8 4 3 3" xfId="25852"/>
    <cellStyle name="Comma 5 2 8 4 4" xfId="8220"/>
    <cellStyle name="Comma 5 2 8 4 4 2" xfId="22302"/>
    <cellStyle name="Comma 5 2 8 4 5" xfId="17295"/>
    <cellStyle name="Comma 5 2 8 5" xfId="4273"/>
    <cellStyle name="Comma 5 2 8 5 2" xfId="13113"/>
    <cellStyle name="Comma 5 2 8 5 2 2" xfId="23364"/>
    <cellStyle name="Comma 5 2 8 5 3" xfId="9534"/>
    <cellStyle name="Comma 5 2 8 5 4" xfId="18357"/>
    <cellStyle name="Comma 5 2 8 6" xfId="1545"/>
    <cellStyle name="Comma 5 2 8 6 2" xfId="10924"/>
    <cellStyle name="Comma 5 2 8 6 3" xfId="20928"/>
    <cellStyle name="Comma 5 2 8 7" xfId="5731"/>
    <cellStyle name="Comma 5 2 8 7 2" xfId="14558"/>
    <cellStyle name="Comma 5 2 8 7 3" xfId="24809"/>
    <cellStyle name="Comma 5 2 8 8" xfId="7175"/>
    <cellStyle name="Comma 5 2 8 8 2" xfId="19901"/>
    <cellStyle name="Comma 5 2 8 9" xfId="15921"/>
    <cellStyle name="Comma 5 2 9" xfId="313"/>
    <cellStyle name="Comma 5 2 9 2" xfId="661"/>
    <cellStyle name="Comma 5 2 9 2 2" xfId="3148"/>
    <cellStyle name="Comma 5 2 9 2 2 2" xfId="12293"/>
    <cellStyle name="Comma 5 2 9 2 2 2 2" xfId="22511"/>
    <cellStyle name="Comma 5 2 9 2 2 3" xfId="8715"/>
    <cellStyle name="Comma 5 2 9 2 2 4" xfId="17504"/>
    <cellStyle name="Comma 5 2 9 2 3" xfId="4477"/>
    <cellStyle name="Comma 5 2 9 2 3 2" xfId="13317"/>
    <cellStyle name="Comma 5 2 9 2 3 2 2" xfId="23568"/>
    <cellStyle name="Comma 5 2 9 2 3 3" xfId="9738"/>
    <cellStyle name="Comma 5 2 9 2 3 4" xfId="18561"/>
    <cellStyle name="Comma 5 2 9 2 4" xfId="2257"/>
    <cellStyle name="Comma 5 2 9 2 4 2" xfId="11624"/>
    <cellStyle name="Comma 5 2 9 2 4 3" xfId="21628"/>
    <cellStyle name="Comma 5 2 9 2 5" xfId="5935"/>
    <cellStyle name="Comma 5 2 9 2 5 2" xfId="14762"/>
    <cellStyle name="Comma 5 2 9 2 5 3" xfId="25013"/>
    <cellStyle name="Comma 5 2 9 2 6" xfId="7379"/>
    <cellStyle name="Comma 5 2 9 2 6 2" xfId="20110"/>
    <cellStyle name="Comma 5 2 9 2 7" xfId="16621"/>
    <cellStyle name="Comma 5 2 9 3" xfId="1085"/>
    <cellStyle name="Comma 5 2 9 3 2" xfId="3515"/>
    <cellStyle name="Comma 5 2 9 3 2 2" xfId="12653"/>
    <cellStyle name="Comma 5 2 9 3 2 2 2" xfId="22872"/>
    <cellStyle name="Comma 5 2 9 3 2 3" xfId="9075"/>
    <cellStyle name="Comma 5 2 9 3 2 4" xfId="17865"/>
    <cellStyle name="Comma 5 2 9 3 3" xfId="4826"/>
    <cellStyle name="Comma 5 2 9 3 3 2" xfId="13665"/>
    <cellStyle name="Comma 5 2 9 3 3 2 2" xfId="23916"/>
    <cellStyle name="Comma 5 2 9 3 3 3" xfId="10086"/>
    <cellStyle name="Comma 5 2 9 3 3 4" xfId="18909"/>
    <cellStyle name="Comma 5 2 9 3 4" xfId="2588"/>
    <cellStyle name="Comma 5 2 9 3 4 2" xfId="11954"/>
    <cellStyle name="Comma 5 2 9 3 4 3" xfId="21958"/>
    <cellStyle name="Comma 5 2 9 3 5" xfId="6283"/>
    <cellStyle name="Comma 5 2 9 3 5 2" xfId="15110"/>
    <cellStyle name="Comma 5 2 9 3 5 3" xfId="25361"/>
    <cellStyle name="Comma 5 2 9 3 6" xfId="7729"/>
    <cellStyle name="Comma 5 2 9 3 6 2" xfId="20471"/>
    <cellStyle name="Comma 5 2 9 3 7" xfId="16951"/>
    <cellStyle name="Comma 5 2 9 4" xfId="2800"/>
    <cellStyle name="Comma 5 2 9 4 2" xfId="5178"/>
    <cellStyle name="Comma 5 2 9 4 2 2" xfId="14017"/>
    <cellStyle name="Comma 5 2 9 4 2 2 2" xfId="24268"/>
    <cellStyle name="Comma 5 2 9 4 2 3" xfId="10438"/>
    <cellStyle name="Comma 5 2 9 4 2 4" xfId="19261"/>
    <cellStyle name="Comma 5 2 9 4 3" xfId="6635"/>
    <cellStyle name="Comma 5 2 9 4 3 2" xfId="15462"/>
    <cellStyle name="Comma 5 2 9 4 3 3" xfId="25713"/>
    <cellStyle name="Comma 5 2 9 4 4" xfId="8081"/>
    <cellStyle name="Comma 5 2 9 4 4 2" xfId="22163"/>
    <cellStyle name="Comma 5 2 9 4 5" xfId="17156"/>
    <cellStyle name="Comma 5 2 9 5" xfId="4132"/>
    <cellStyle name="Comma 5 2 9 5 2" xfId="12972"/>
    <cellStyle name="Comma 5 2 9 5 2 2" xfId="23223"/>
    <cellStyle name="Comma 5 2 9 5 3" xfId="9393"/>
    <cellStyle name="Comma 5 2 9 5 4" xfId="18216"/>
    <cellStyle name="Comma 5 2 9 6" xfId="1909"/>
    <cellStyle name="Comma 5 2 9 6 2" xfId="11276"/>
    <cellStyle name="Comma 5 2 9 6 3" xfId="21280"/>
    <cellStyle name="Comma 5 2 9 7" xfId="5592"/>
    <cellStyle name="Comma 5 2 9 7 2" xfId="14419"/>
    <cellStyle name="Comma 5 2 9 7 3" xfId="24670"/>
    <cellStyle name="Comma 5 2 9 8" xfId="7036"/>
    <cellStyle name="Comma 5 2 9 8 2" xfId="19762"/>
    <cellStyle name="Comma 5 2 9 9" xfId="16273"/>
    <cellStyle name="Comma 5 3" xfId="120"/>
    <cellStyle name="Comma 5 3 10" xfId="4111"/>
    <cellStyle name="Comma 5 3 10 2" xfId="5571"/>
    <cellStyle name="Comma 5 3 10 2 2" xfId="14398"/>
    <cellStyle name="Comma 5 3 10 2 3" xfId="24649"/>
    <cellStyle name="Comma 5 3 10 3" xfId="7015"/>
    <cellStyle name="Comma 5 3 10 3 2" xfId="23202"/>
    <cellStyle name="Comma 5 3 10 4" xfId="18195"/>
    <cellStyle name="Comma 5 3 11" xfId="1430"/>
    <cellStyle name="Comma 5 3 11 2" xfId="10809"/>
    <cellStyle name="Comma 5 3 11 3" xfId="20813"/>
    <cellStyle name="Comma 5 3 12" xfId="5539"/>
    <cellStyle name="Comma 5 3 12 2" xfId="14368"/>
    <cellStyle name="Comma 5 3 12 3" xfId="24619"/>
    <cellStyle name="Comma 5 3 13" xfId="6985"/>
    <cellStyle name="Comma 5 3 13 2" xfId="19596"/>
    <cellStyle name="Comma 5 3 14" xfId="15806"/>
    <cellStyle name="Comma 5 3 2" xfId="164"/>
    <cellStyle name="Comma 5 3 2 10" xfId="5673"/>
    <cellStyle name="Comma 5 3 2 10 2" xfId="14500"/>
    <cellStyle name="Comma 5 3 2 10 3" xfId="24751"/>
    <cellStyle name="Comma 5 3 2 11" xfId="7117"/>
    <cellStyle name="Comma 5 3 2 11 2" xfId="19626"/>
    <cellStyle name="Comma 5 3 2 12" xfId="15863"/>
    <cellStyle name="Comma 5 3 2 2" xfId="276"/>
    <cellStyle name="Comma 5 3 2 2 10" xfId="16067"/>
    <cellStyle name="Comma 5 3 2 2 2" xfId="598"/>
    <cellStyle name="Comma 5 3 2 2 2 2" xfId="3085"/>
    <cellStyle name="Comma 5 3 2 2 2 2 2" xfId="12234"/>
    <cellStyle name="Comma 5 3 2 2 2 2 2 2" xfId="22448"/>
    <cellStyle name="Comma 5 3 2 2 2 2 3" xfId="8656"/>
    <cellStyle name="Comma 5 3 2 2 2 2 4" xfId="17441"/>
    <cellStyle name="Comma 5 3 2 2 2 3" xfId="4480"/>
    <cellStyle name="Comma 5 3 2 2 2 3 2" xfId="13320"/>
    <cellStyle name="Comma 5 3 2 2 2 3 2 2" xfId="23571"/>
    <cellStyle name="Comma 5 3 2 2 2 3 3" xfId="9741"/>
    <cellStyle name="Comma 5 3 2 2 2 3 4" xfId="18564"/>
    <cellStyle name="Comma 5 3 2 2 2 4" xfId="2194"/>
    <cellStyle name="Comma 5 3 2 2 2 4 2" xfId="11561"/>
    <cellStyle name="Comma 5 3 2 2 2 4 3" xfId="21565"/>
    <cellStyle name="Comma 5 3 2 2 2 5" xfId="5938"/>
    <cellStyle name="Comma 5 3 2 2 2 5 2" xfId="14765"/>
    <cellStyle name="Comma 5 3 2 2 2 5 3" xfId="25016"/>
    <cellStyle name="Comma 5 3 2 2 2 6" xfId="7382"/>
    <cellStyle name="Comma 5 3 2 2 2 6 2" xfId="20047"/>
    <cellStyle name="Comma 5 3 2 2 2 7" xfId="16558"/>
    <cellStyle name="Comma 5 3 2 2 3" xfId="664"/>
    <cellStyle name="Comma 5 3 2 2 3 2" xfId="3151"/>
    <cellStyle name="Comma 5 3 2 2 3 2 2" xfId="12296"/>
    <cellStyle name="Comma 5 3 2 2 3 2 2 2" xfId="22514"/>
    <cellStyle name="Comma 5 3 2 2 3 2 3" xfId="8718"/>
    <cellStyle name="Comma 5 3 2 2 3 2 4" xfId="17507"/>
    <cellStyle name="Comma 5 3 2 2 3 3" xfId="4829"/>
    <cellStyle name="Comma 5 3 2 2 3 3 2" xfId="13668"/>
    <cellStyle name="Comma 5 3 2 2 3 3 2 2" xfId="23919"/>
    <cellStyle name="Comma 5 3 2 2 3 3 3" xfId="10089"/>
    <cellStyle name="Comma 5 3 2 2 3 3 4" xfId="18912"/>
    <cellStyle name="Comma 5 3 2 2 3 4" xfId="2260"/>
    <cellStyle name="Comma 5 3 2 2 3 4 2" xfId="11627"/>
    <cellStyle name="Comma 5 3 2 2 3 4 3" xfId="21631"/>
    <cellStyle name="Comma 5 3 2 2 3 5" xfId="6286"/>
    <cellStyle name="Comma 5 3 2 2 3 5 2" xfId="15113"/>
    <cellStyle name="Comma 5 3 2 2 3 5 3" xfId="25364"/>
    <cellStyle name="Comma 5 3 2 2 3 6" xfId="7732"/>
    <cellStyle name="Comma 5 3 2 2 3 6 2" xfId="20113"/>
    <cellStyle name="Comma 5 3 2 2 3 7" xfId="16624"/>
    <cellStyle name="Comma 5 3 2 2 4" xfId="1370"/>
    <cellStyle name="Comma 5 3 2 2 4 2" xfId="3800"/>
    <cellStyle name="Comma 5 3 2 2 4 2 2" xfId="12938"/>
    <cellStyle name="Comma 5 3 2 2 4 2 2 2" xfId="23157"/>
    <cellStyle name="Comma 5 3 2 2 4 2 3" xfId="9359"/>
    <cellStyle name="Comma 5 3 2 2 4 2 4" xfId="18150"/>
    <cellStyle name="Comma 5 3 2 2 4 3" xfId="5463"/>
    <cellStyle name="Comma 5 3 2 2 4 3 2" xfId="14302"/>
    <cellStyle name="Comma 5 3 2 2 4 3 2 2" xfId="24553"/>
    <cellStyle name="Comma 5 3 2 2 4 3 3" xfId="10723"/>
    <cellStyle name="Comma 5 3 2 2 4 3 4" xfId="19546"/>
    <cellStyle name="Comma 5 3 2 2 4 4" xfId="1874"/>
    <cellStyle name="Comma 5 3 2 2 4 4 2" xfId="11244"/>
    <cellStyle name="Comma 5 3 2 2 4 4 3" xfId="21248"/>
    <cellStyle name="Comma 5 3 2 2 4 5" xfId="6920"/>
    <cellStyle name="Comma 5 3 2 2 4 5 2" xfId="15747"/>
    <cellStyle name="Comma 5 3 2 2 4 5 3" xfId="25998"/>
    <cellStyle name="Comma 5 3 2 2 4 6" xfId="8366"/>
    <cellStyle name="Comma 5 3 2 2 4 6 2" xfId="20756"/>
    <cellStyle name="Comma 5 3 2 2 4 7" xfId="16241"/>
    <cellStyle name="Comma 5 3 2 2 5" xfId="2768"/>
    <cellStyle name="Comma 5 3 2 2 5 2" xfId="12087"/>
    <cellStyle name="Comma 5 3 2 2 5 2 2" xfId="22131"/>
    <cellStyle name="Comma 5 3 2 2 5 3" xfId="8490"/>
    <cellStyle name="Comma 5 3 2 2 5 4" xfId="17124"/>
    <cellStyle name="Comma 5 3 2 2 6" xfId="4419"/>
    <cellStyle name="Comma 5 3 2 2 6 2" xfId="13259"/>
    <cellStyle name="Comma 5 3 2 2 6 2 2" xfId="23510"/>
    <cellStyle name="Comma 5 3 2 2 6 3" xfId="9680"/>
    <cellStyle name="Comma 5 3 2 2 6 4" xfId="18503"/>
    <cellStyle name="Comma 5 3 2 2 7" xfId="1691"/>
    <cellStyle name="Comma 5 3 2 2 7 2" xfId="11070"/>
    <cellStyle name="Comma 5 3 2 2 7 3" xfId="21074"/>
    <cellStyle name="Comma 5 3 2 2 8" xfId="5877"/>
    <cellStyle name="Comma 5 3 2 2 8 2" xfId="14704"/>
    <cellStyle name="Comma 5 3 2 2 8 3" xfId="24955"/>
    <cellStyle name="Comma 5 3 2 2 9" xfId="7321"/>
    <cellStyle name="Comma 5 3 2 2 9 2" xfId="19730"/>
    <cellStyle name="Comma 5 3 2 3" xfId="494"/>
    <cellStyle name="Comma 5 3 2 3 2" xfId="665"/>
    <cellStyle name="Comma 5 3 2 3 2 2" xfId="3152"/>
    <cellStyle name="Comma 5 3 2 3 2 2 2" xfId="12297"/>
    <cellStyle name="Comma 5 3 2 3 2 2 2 2" xfId="22515"/>
    <cellStyle name="Comma 5 3 2 3 2 2 3" xfId="8719"/>
    <cellStyle name="Comma 5 3 2 3 2 2 4" xfId="17508"/>
    <cellStyle name="Comma 5 3 2 3 2 3" xfId="4481"/>
    <cellStyle name="Comma 5 3 2 3 2 3 2" xfId="13321"/>
    <cellStyle name="Comma 5 3 2 3 2 3 2 2" xfId="23572"/>
    <cellStyle name="Comma 5 3 2 3 2 3 3" xfId="9742"/>
    <cellStyle name="Comma 5 3 2 3 2 3 4" xfId="18565"/>
    <cellStyle name="Comma 5 3 2 3 2 4" xfId="2261"/>
    <cellStyle name="Comma 5 3 2 3 2 4 2" xfId="11628"/>
    <cellStyle name="Comma 5 3 2 3 2 4 3" xfId="21632"/>
    <cellStyle name="Comma 5 3 2 3 2 5" xfId="5939"/>
    <cellStyle name="Comma 5 3 2 3 2 5 2" xfId="14766"/>
    <cellStyle name="Comma 5 3 2 3 2 5 3" xfId="25017"/>
    <cellStyle name="Comma 5 3 2 3 2 6" xfId="7383"/>
    <cellStyle name="Comma 5 3 2 3 2 6 2" xfId="20114"/>
    <cellStyle name="Comma 5 3 2 3 2 7" xfId="16625"/>
    <cellStyle name="Comma 5 3 2 3 3" xfId="1266"/>
    <cellStyle name="Comma 5 3 2 3 3 2" xfId="3696"/>
    <cellStyle name="Comma 5 3 2 3 3 2 2" xfId="12834"/>
    <cellStyle name="Comma 5 3 2 3 3 2 2 2" xfId="23053"/>
    <cellStyle name="Comma 5 3 2 3 3 2 3" xfId="9255"/>
    <cellStyle name="Comma 5 3 2 3 3 2 4" xfId="18046"/>
    <cellStyle name="Comma 5 3 2 3 3 3" xfId="4830"/>
    <cellStyle name="Comma 5 3 2 3 3 3 2" xfId="13669"/>
    <cellStyle name="Comma 5 3 2 3 3 3 2 2" xfId="23920"/>
    <cellStyle name="Comma 5 3 2 3 3 3 3" xfId="10090"/>
    <cellStyle name="Comma 5 3 2 3 3 3 4" xfId="18913"/>
    <cellStyle name="Comma 5 3 2 3 3 4" xfId="2090"/>
    <cellStyle name="Comma 5 3 2 3 3 4 2" xfId="11457"/>
    <cellStyle name="Comma 5 3 2 3 3 4 3" xfId="21461"/>
    <cellStyle name="Comma 5 3 2 3 3 5" xfId="6287"/>
    <cellStyle name="Comma 5 3 2 3 3 5 2" xfId="15114"/>
    <cellStyle name="Comma 5 3 2 3 3 5 3" xfId="25365"/>
    <cellStyle name="Comma 5 3 2 3 3 6" xfId="7733"/>
    <cellStyle name="Comma 5 3 2 3 3 6 2" xfId="20652"/>
    <cellStyle name="Comma 5 3 2 3 3 7" xfId="16454"/>
    <cellStyle name="Comma 5 3 2 3 4" xfId="2981"/>
    <cellStyle name="Comma 5 3 2 3 4 2" xfId="5359"/>
    <cellStyle name="Comma 5 3 2 3 4 2 2" xfId="14198"/>
    <cellStyle name="Comma 5 3 2 3 4 2 2 2" xfId="24449"/>
    <cellStyle name="Comma 5 3 2 3 4 2 3" xfId="10619"/>
    <cellStyle name="Comma 5 3 2 3 4 2 4" xfId="19442"/>
    <cellStyle name="Comma 5 3 2 3 4 3" xfId="6816"/>
    <cellStyle name="Comma 5 3 2 3 4 3 2" xfId="15643"/>
    <cellStyle name="Comma 5 3 2 3 4 3 3" xfId="25894"/>
    <cellStyle name="Comma 5 3 2 3 4 4" xfId="8262"/>
    <cellStyle name="Comma 5 3 2 3 4 4 2" xfId="22344"/>
    <cellStyle name="Comma 5 3 2 3 4 5" xfId="17337"/>
    <cellStyle name="Comma 5 3 2 3 5" xfId="4315"/>
    <cellStyle name="Comma 5 3 2 3 5 2" xfId="13155"/>
    <cellStyle name="Comma 5 3 2 3 5 2 2" xfId="23406"/>
    <cellStyle name="Comma 5 3 2 3 5 3" xfId="9576"/>
    <cellStyle name="Comma 5 3 2 3 5 4" xfId="18399"/>
    <cellStyle name="Comma 5 3 2 3 6" xfId="1587"/>
    <cellStyle name="Comma 5 3 2 3 6 2" xfId="10966"/>
    <cellStyle name="Comma 5 3 2 3 6 3" xfId="20970"/>
    <cellStyle name="Comma 5 3 2 3 7" xfId="5773"/>
    <cellStyle name="Comma 5 3 2 3 7 2" xfId="14600"/>
    <cellStyle name="Comma 5 3 2 3 7 3" xfId="24851"/>
    <cellStyle name="Comma 5 3 2 3 8" xfId="7217"/>
    <cellStyle name="Comma 5 3 2 3 8 2" xfId="19943"/>
    <cellStyle name="Comma 5 3 2 3 9" xfId="15963"/>
    <cellStyle name="Comma 5 3 2 4" xfId="394"/>
    <cellStyle name="Comma 5 3 2 4 2" xfId="2881"/>
    <cellStyle name="Comma 5 3 2 4 2 2" xfId="12171"/>
    <cellStyle name="Comma 5 3 2 4 2 2 2" xfId="22244"/>
    <cellStyle name="Comma 5 3 2 4 2 3" xfId="8437"/>
    <cellStyle name="Comma 5 3 2 4 2 4" xfId="17237"/>
    <cellStyle name="Comma 5 3 2 4 3" xfId="4479"/>
    <cellStyle name="Comma 5 3 2 4 3 2" xfId="13319"/>
    <cellStyle name="Comma 5 3 2 4 3 2 2" xfId="23570"/>
    <cellStyle name="Comma 5 3 2 4 3 3" xfId="9740"/>
    <cellStyle name="Comma 5 3 2 4 3 4" xfId="18563"/>
    <cellStyle name="Comma 5 3 2 4 4" xfId="1990"/>
    <cellStyle name="Comma 5 3 2 4 4 2" xfId="11357"/>
    <cellStyle name="Comma 5 3 2 4 4 3" xfId="21361"/>
    <cellStyle name="Comma 5 3 2 4 5" xfId="5937"/>
    <cellStyle name="Comma 5 3 2 4 5 2" xfId="14764"/>
    <cellStyle name="Comma 5 3 2 4 5 3" xfId="25015"/>
    <cellStyle name="Comma 5 3 2 4 6" xfId="7381"/>
    <cellStyle name="Comma 5 3 2 4 6 2" xfId="19843"/>
    <cellStyle name="Comma 5 3 2 4 7" xfId="16354"/>
    <cellStyle name="Comma 5 3 2 5" xfId="663"/>
    <cellStyle name="Comma 5 3 2 5 2" xfId="3150"/>
    <cellStyle name="Comma 5 3 2 5 2 2" xfId="12295"/>
    <cellStyle name="Comma 5 3 2 5 2 2 2" xfId="22513"/>
    <cellStyle name="Comma 5 3 2 5 2 3" xfId="8717"/>
    <cellStyle name="Comma 5 3 2 5 2 4" xfId="17506"/>
    <cellStyle name="Comma 5 3 2 5 3" xfId="4828"/>
    <cellStyle name="Comma 5 3 2 5 3 2" xfId="13667"/>
    <cellStyle name="Comma 5 3 2 5 3 2 2" xfId="23918"/>
    <cellStyle name="Comma 5 3 2 5 3 3" xfId="10088"/>
    <cellStyle name="Comma 5 3 2 5 3 4" xfId="18911"/>
    <cellStyle name="Comma 5 3 2 5 4" xfId="2259"/>
    <cellStyle name="Comma 5 3 2 5 4 2" xfId="11626"/>
    <cellStyle name="Comma 5 3 2 5 4 3" xfId="21630"/>
    <cellStyle name="Comma 5 3 2 5 5" xfId="6285"/>
    <cellStyle name="Comma 5 3 2 5 5 2" xfId="15112"/>
    <cellStyle name="Comma 5 3 2 5 5 3" xfId="25363"/>
    <cellStyle name="Comma 5 3 2 5 6" xfId="7731"/>
    <cellStyle name="Comma 5 3 2 5 6 2" xfId="20112"/>
    <cellStyle name="Comma 5 3 2 5 7" xfId="16623"/>
    <cellStyle name="Comma 5 3 2 6" xfId="1166"/>
    <cellStyle name="Comma 5 3 2 6 2" xfId="3596"/>
    <cellStyle name="Comma 5 3 2 6 2 2" xfId="12734"/>
    <cellStyle name="Comma 5 3 2 6 2 2 2" xfId="22953"/>
    <cellStyle name="Comma 5 3 2 6 2 3" xfId="9155"/>
    <cellStyle name="Comma 5 3 2 6 2 4" xfId="17946"/>
    <cellStyle name="Comma 5 3 2 6 3" xfId="5259"/>
    <cellStyle name="Comma 5 3 2 6 3 2" xfId="14098"/>
    <cellStyle name="Comma 5 3 2 6 3 2 2" xfId="24349"/>
    <cellStyle name="Comma 5 3 2 6 3 3" xfId="10519"/>
    <cellStyle name="Comma 5 3 2 6 3 4" xfId="19342"/>
    <cellStyle name="Comma 5 3 2 6 4" xfId="1767"/>
    <cellStyle name="Comma 5 3 2 6 4 2" xfId="11140"/>
    <cellStyle name="Comma 5 3 2 6 4 3" xfId="21144"/>
    <cellStyle name="Comma 5 3 2 6 5" xfId="6716"/>
    <cellStyle name="Comma 5 3 2 6 5 2" xfId="15543"/>
    <cellStyle name="Comma 5 3 2 6 5 3" xfId="25794"/>
    <cellStyle name="Comma 5 3 2 6 6" xfId="8162"/>
    <cellStyle name="Comma 5 3 2 6 6 2" xfId="20552"/>
    <cellStyle name="Comma 5 3 2 6 7" xfId="16137"/>
    <cellStyle name="Comma 5 3 2 7" xfId="2664"/>
    <cellStyle name="Comma 5 3 2 7 2" xfId="11986"/>
    <cellStyle name="Comma 5 3 2 7 2 2" xfId="22027"/>
    <cellStyle name="Comma 5 3 2 7 3" xfId="8572"/>
    <cellStyle name="Comma 5 3 2 7 4" xfId="17020"/>
    <cellStyle name="Comma 5 3 2 8" xfId="4215"/>
    <cellStyle name="Comma 5 3 2 8 2" xfId="13055"/>
    <cellStyle name="Comma 5 3 2 8 2 2" xfId="23306"/>
    <cellStyle name="Comma 5 3 2 8 3" xfId="9476"/>
    <cellStyle name="Comma 5 3 2 8 4" xfId="18299"/>
    <cellStyle name="Comma 5 3 2 9" xfId="1487"/>
    <cellStyle name="Comma 5 3 2 9 2" xfId="10866"/>
    <cellStyle name="Comma 5 3 2 9 3" xfId="20870"/>
    <cellStyle name="Comma 5 3 3" xfId="211"/>
    <cellStyle name="Comma 5 3 3 10" xfId="7160"/>
    <cellStyle name="Comma 5 3 3 10 2" xfId="19669"/>
    <cellStyle name="Comma 5 3 3 11" xfId="15906"/>
    <cellStyle name="Comma 5 3 3 2" xfId="537"/>
    <cellStyle name="Comma 5 3 3 2 2" xfId="667"/>
    <cellStyle name="Comma 5 3 3 2 2 2" xfId="3154"/>
    <cellStyle name="Comma 5 3 3 2 2 2 2" xfId="12299"/>
    <cellStyle name="Comma 5 3 3 2 2 2 2 2" xfId="22517"/>
    <cellStyle name="Comma 5 3 3 2 2 2 3" xfId="8721"/>
    <cellStyle name="Comma 5 3 3 2 2 2 4" xfId="17510"/>
    <cellStyle name="Comma 5 3 3 2 2 3" xfId="4483"/>
    <cellStyle name="Comma 5 3 3 2 2 3 2" xfId="13323"/>
    <cellStyle name="Comma 5 3 3 2 2 3 2 2" xfId="23574"/>
    <cellStyle name="Comma 5 3 3 2 2 3 3" xfId="9744"/>
    <cellStyle name="Comma 5 3 3 2 2 3 4" xfId="18567"/>
    <cellStyle name="Comma 5 3 3 2 2 4" xfId="2263"/>
    <cellStyle name="Comma 5 3 3 2 2 4 2" xfId="11630"/>
    <cellStyle name="Comma 5 3 3 2 2 4 3" xfId="21634"/>
    <cellStyle name="Comma 5 3 3 2 2 5" xfId="5941"/>
    <cellStyle name="Comma 5 3 3 2 2 5 2" xfId="14768"/>
    <cellStyle name="Comma 5 3 3 2 2 5 3" xfId="25019"/>
    <cellStyle name="Comma 5 3 3 2 2 6" xfId="7385"/>
    <cellStyle name="Comma 5 3 3 2 2 6 2" xfId="20116"/>
    <cellStyle name="Comma 5 3 3 2 2 7" xfId="16627"/>
    <cellStyle name="Comma 5 3 3 2 3" xfId="1309"/>
    <cellStyle name="Comma 5 3 3 2 3 2" xfId="3739"/>
    <cellStyle name="Comma 5 3 3 2 3 2 2" xfId="12877"/>
    <cellStyle name="Comma 5 3 3 2 3 2 2 2" xfId="23096"/>
    <cellStyle name="Comma 5 3 3 2 3 2 3" xfId="9298"/>
    <cellStyle name="Comma 5 3 3 2 3 2 4" xfId="18089"/>
    <cellStyle name="Comma 5 3 3 2 3 3" xfId="4832"/>
    <cellStyle name="Comma 5 3 3 2 3 3 2" xfId="13671"/>
    <cellStyle name="Comma 5 3 3 2 3 3 2 2" xfId="23922"/>
    <cellStyle name="Comma 5 3 3 2 3 3 3" xfId="10092"/>
    <cellStyle name="Comma 5 3 3 2 3 3 4" xfId="18915"/>
    <cellStyle name="Comma 5 3 3 2 3 4" xfId="2133"/>
    <cellStyle name="Comma 5 3 3 2 3 4 2" xfId="11500"/>
    <cellStyle name="Comma 5 3 3 2 3 4 3" xfId="21504"/>
    <cellStyle name="Comma 5 3 3 2 3 5" xfId="6289"/>
    <cellStyle name="Comma 5 3 3 2 3 5 2" xfId="15116"/>
    <cellStyle name="Comma 5 3 3 2 3 5 3" xfId="25367"/>
    <cellStyle name="Comma 5 3 3 2 3 6" xfId="7735"/>
    <cellStyle name="Comma 5 3 3 2 3 6 2" xfId="20695"/>
    <cellStyle name="Comma 5 3 3 2 3 7" xfId="16497"/>
    <cellStyle name="Comma 5 3 3 2 4" xfId="3024"/>
    <cellStyle name="Comma 5 3 3 2 4 2" xfId="5402"/>
    <cellStyle name="Comma 5 3 3 2 4 2 2" xfId="14241"/>
    <cellStyle name="Comma 5 3 3 2 4 2 2 2" xfId="24492"/>
    <cellStyle name="Comma 5 3 3 2 4 2 3" xfId="10662"/>
    <cellStyle name="Comma 5 3 3 2 4 2 4" xfId="19485"/>
    <cellStyle name="Comma 5 3 3 2 4 3" xfId="6859"/>
    <cellStyle name="Comma 5 3 3 2 4 3 2" xfId="15686"/>
    <cellStyle name="Comma 5 3 3 2 4 3 3" xfId="25937"/>
    <cellStyle name="Comma 5 3 3 2 4 4" xfId="8305"/>
    <cellStyle name="Comma 5 3 3 2 4 4 2" xfId="22387"/>
    <cellStyle name="Comma 5 3 3 2 4 5" xfId="17380"/>
    <cellStyle name="Comma 5 3 3 2 5" xfId="4358"/>
    <cellStyle name="Comma 5 3 3 2 5 2" xfId="13198"/>
    <cellStyle name="Comma 5 3 3 2 5 2 2" xfId="23449"/>
    <cellStyle name="Comma 5 3 3 2 5 3" xfId="9619"/>
    <cellStyle name="Comma 5 3 3 2 5 4" xfId="18442"/>
    <cellStyle name="Comma 5 3 3 2 6" xfId="1630"/>
    <cellStyle name="Comma 5 3 3 2 6 2" xfId="11009"/>
    <cellStyle name="Comma 5 3 3 2 6 3" xfId="21013"/>
    <cellStyle name="Comma 5 3 3 2 7" xfId="5816"/>
    <cellStyle name="Comma 5 3 3 2 7 2" xfId="14643"/>
    <cellStyle name="Comma 5 3 3 2 7 3" xfId="24894"/>
    <cellStyle name="Comma 5 3 3 2 8" xfId="7260"/>
    <cellStyle name="Comma 5 3 3 2 8 2" xfId="19986"/>
    <cellStyle name="Comma 5 3 3 2 9" xfId="16006"/>
    <cellStyle name="Comma 5 3 3 3" xfId="437"/>
    <cellStyle name="Comma 5 3 3 3 2" xfId="2924"/>
    <cellStyle name="Comma 5 3 3 3 2 2" xfId="12214"/>
    <cellStyle name="Comma 5 3 3 3 2 2 2" xfId="22287"/>
    <cellStyle name="Comma 5 3 3 3 2 3" xfId="8415"/>
    <cellStyle name="Comma 5 3 3 3 2 4" xfId="17280"/>
    <cellStyle name="Comma 5 3 3 3 3" xfId="4482"/>
    <cellStyle name="Comma 5 3 3 3 3 2" xfId="13322"/>
    <cellStyle name="Comma 5 3 3 3 3 2 2" xfId="23573"/>
    <cellStyle name="Comma 5 3 3 3 3 3" xfId="9743"/>
    <cellStyle name="Comma 5 3 3 3 3 4" xfId="18566"/>
    <cellStyle name="Comma 5 3 3 3 4" xfId="2033"/>
    <cellStyle name="Comma 5 3 3 3 4 2" xfId="11400"/>
    <cellStyle name="Comma 5 3 3 3 4 3" xfId="21404"/>
    <cellStyle name="Comma 5 3 3 3 5" xfId="5940"/>
    <cellStyle name="Comma 5 3 3 3 5 2" xfId="14767"/>
    <cellStyle name="Comma 5 3 3 3 5 3" xfId="25018"/>
    <cellStyle name="Comma 5 3 3 3 6" xfId="7384"/>
    <cellStyle name="Comma 5 3 3 3 6 2" xfId="19886"/>
    <cellStyle name="Comma 5 3 3 3 7" xfId="16397"/>
    <cellStyle name="Comma 5 3 3 4" xfId="666"/>
    <cellStyle name="Comma 5 3 3 4 2" xfId="3153"/>
    <cellStyle name="Comma 5 3 3 4 2 2" xfId="12298"/>
    <cellStyle name="Comma 5 3 3 4 2 2 2" xfId="22516"/>
    <cellStyle name="Comma 5 3 3 4 2 3" xfId="8720"/>
    <cellStyle name="Comma 5 3 3 4 2 4" xfId="17509"/>
    <cellStyle name="Comma 5 3 3 4 3" xfId="4831"/>
    <cellStyle name="Comma 5 3 3 4 3 2" xfId="13670"/>
    <cellStyle name="Comma 5 3 3 4 3 2 2" xfId="23921"/>
    <cellStyle name="Comma 5 3 3 4 3 3" xfId="10091"/>
    <cellStyle name="Comma 5 3 3 4 3 4" xfId="18914"/>
    <cellStyle name="Comma 5 3 3 4 4" xfId="2262"/>
    <cellStyle name="Comma 5 3 3 4 4 2" xfId="11629"/>
    <cellStyle name="Comma 5 3 3 4 4 3" xfId="21633"/>
    <cellStyle name="Comma 5 3 3 4 5" xfId="6288"/>
    <cellStyle name="Comma 5 3 3 4 5 2" xfId="15115"/>
    <cellStyle name="Comma 5 3 3 4 5 3" xfId="25366"/>
    <cellStyle name="Comma 5 3 3 4 6" xfId="7734"/>
    <cellStyle name="Comma 5 3 3 4 6 2" xfId="20115"/>
    <cellStyle name="Comma 5 3 3 4 7" xfId="16626"/>
    <cellStyle name="Comma 5 3 3 5" xfId="1209"/>
    <cellStyle name="Comma 5 3 3 5 2" xfId="3639"/>
    <cellStyle name="Comma 5 3 3 5 2 2" xfId="12777"/>
    <cellStyle name="Comma 5 3 3 5 2 2 2" xfId="22996"/>
    <cellStyle name="Comma 5 3 3 5 2 3" xfId="9198"/>
    <cellStyle name="Comma 5 3 3 5 2 4" xfId="17989"/>
    <cellStyle name="Comma 5 3 3 5 3" xfId="5302"/>
    <cellStyle name="Comma 5 3 3 5 3 2" xfId="14141"/>
    <cellStyle name="Comma 5 3 3 5 3 2 2" xfId="24392"/>
    <cellStyle name="Comma 5 3 3 5 3 3" xfId="10562"/>
    <cellStyle name="Comma 5 3 3 5 3 4" xfId="19385"/>
    <cellStyle name="Comma 5 3 3 5 4" xfId="1813"/>
    <cellStyle name="Comma 5 3 3 5 4 2" xfId="11183"/>
    <cellStyle name="Comma 5 3 3 5 4 3" xfId="21187"/>
    <cellStyle name="Comma 5 3 3 5 5" xfId="6759"/>
    <cellStyle name="Comma 5 3 3 5 5 2" xfId="15586"/>
    <cellStyle name="Comma 5 3 3 5 5 3" xfId="25837"/>
    <cellStyle name="Comma 5 3 3 5 6" xfId="8205"/>
    <cellStyle name="Comma 5 3 3 5 6 2" xfId="20595"/>
    <cellStyle name="Comma 5 3 3 5 7" xfId="16180"/>
    <cellStyle name="Comma 5 3 3 6" xfId="2707"/>
    <cellStyle name="Comma 5 3 3 6 2" xfId="12026"/>
    <cellStyle name="Comma 5 3 3 6 2 2" xfId="22070"/>
    <cellStyle name="Comma 5 3 3 6 3" xfId="8638"/>
    <cellStyle name="Comma 5 3 3 6 4" xfId="17063"/>
    <cellStyle name="Comma 5 3 3 7" xfId="4258"/>
    <cellStyle name="Comma 5 3 3 7 2" xfId="13098"/>
    <cellStyle name="Comma 5 3 3 7 2 2" xfId="23349"/>
    <cellStyle name="Comma 5 3 3 7 3" xfId="9519"/>
    <cellStyle name="Comma 5 3 3 7 4" xfId="18342"/>
    <cellStyle name="Comma 5 3 3 8" xfId="1530"/>
    <cellStyle name="Comma 5 3 3 8 2" xfId="10909"/>
    <cellStyle name="Comma 5 3 3 8 3" xfId="20913"/>
    <cellStyle name="Comma 5 3 3 9" xfId="5716"/>
    <cellStyle name="Comma 5 3 3 9 2" xfId="14543"/>
    <cellStyle name="Comma 5 3 3 9 3" xfId="24794"/>
    <cellStyle name="Comma 5 3 4" xfId="246"/>
    <cellStyle name="Comma 5 3 4 10" xfId="7087"/>
    <cellStyle name="Comma 5 3 4 10 2" xfId="19701"/>
    <cellStyle name="Comma 5 3 4 11" xfId="15833"/>
    <cellStyle name="Comma 5 3 4 2" xfId="569"/>
    <cellStyle name="Comma 5 3 4 2 2" xfId="669"/>
    <cellStyle name="Comma 5 3 4 2 2 2" xfId="3156"/>
    <cellStyle name="Comma 5 3 4 2 2 2 2" xfId="12301"/>
    <cellStyle name="Comma 5 3 4 2 2 2 2 2" xfId="22519"/>
    <cellStyle name="Comma 5 3 4 2 2 2 3" xfId="8723"/>
    <cellStyle name="Comma 5 3 4 2 2 2 4" xfId="17512"/>
    <cellStyle name="Comma 5 3 4 2 2 3" xfId="4485"/>
    <cellStyle name="Comma 5 3 4 2 2 3 2" xfId="13325"/>
    <cellStyle name="Comma 5 3 4 2 2 3 2 2" xfId="23576"/>
    <cellStyle name="Comma 5 3 4 2 2 3 3" xfId="9746"/>
    <cellStyle name="Comma 5 3 4 2 2 3 4" xfId="18569"/>
    <cellStyle name="Comma 5 3 4 2 2 4" xfId="2265"/>
    <cellStyle name="Comma 5 3 4 2 2 4 2" xfId="11632"/>
    <cellStyle name="Comma 5 3 4 2 2 4 3" xfId="21636"/>
    <cellStyle name="Comma 5 3 4 2 2 5" xfId="5943"/>
    <cellStyle name="Comma 5 3 4 2 2 5 2" xfId="14770"/>
    <cellStyle name="Comma 5 3 4 2 2 5 3" xfId="25021"/>
    <cellStyle name="Comma 5 3 4 2 2 6" xfId="7387"/>
    <cellStyle name="Comma 5 3 4 2 2 6 2" xfId="20118"/>
    <cellStyle name="Comma 5 3 4 2 2 7" xfId="16629"/>
    <cellStyle name="Comma 5 3 4 2 3" xfId="1341"/>
    <cellStyle name="Comma 5 3 4 2 3 2" xfId="3771"/>
    <cellStyle name="Comma 5 3 4 2 3 2 2" xfId="12909"/>
    <cellStyle name="Comma 5 3 4 2 3 2 2 2" xfId="23128"/>
    <cellStyle name="Comma 5 3 4 2 3 2 3" xfId="9330"/>
    <cellStyle name="Comma 5 3 4 2 3 2 4" xfId="18121"/>
    <cellStyle name="Comma 5 3 4 2 3 3" xfId="4834"/>
    <cellStyle name="Comma 5 3 4 2 3 3 2" xfId="13673"/>
    <cellStyle name="Comma 5 3 4 2 3 3 2 2" xfId="23924"/>
    <cellStyle name="Comma 5 3 4 2 3 3 3" xfId="10094"/>
    <cellStyle name="Comma 5 3 4 2 3 3 4" xfId="18917"/>
    <cellStyle name="Comma 5 3 4 2 3 4" xfId="2165"/>
    <cellStyle name="Comma 5 3 4 2 3 4 2" xfId="11532"/>
    <cellStyle name="Comma 5 3 4 2 3 4 3" xfId="21536"/>
    <cellStyle name="Comma 5 3 4 2 3 5" xfId="6291"/>
    <cellStyle name="Comma 5 3 4 2 3 5 2" xfId="15118"/>
    <cellStyle name="Comma 5 3 4 2 3 5 3" xfId="25369"/>
    <cellStyle name="Comma 5 3 4 2 3 6" xfId="7737"/>
    <cellStyle name="Comma 5 3 4 2 3 6 2" xfId="20727"/>
    <cellStyle name="Comma 5 3 4 2 3 7" xfId="16529"/>
    <cellStyle name="Comma 5 3 4 2 4" xfId="3056"/>
    <cellStyle name="Comma 5 3 4 2 4 2" xfId="5434"/>
    <cellStyle name="Comma 5 3 4 2 4 2 2" xfId="14273"/>
    <cellStyle name="Comma 5 3 4 2 4 2 2 2" xfId="24524"/>
    <cellStyle name="Comma 5 3 4 2 4 2 3" xfId="10694"/>
    <cellStyle name="Comma 5 3 4 2 4 2 4" xfId="19517"/>
    <cellStyle name="Comma 5 3 4 2 4 3" xfId="6891"/>
    <cellStyle name="Comma 5 3 4 2 4 3 2" xfId="15718"/>
    <cellStyle name="Comma 5 3 4 2 4 3 3" xfId="25969"/>
    <cellStyle name="Comma 5 3 4 2 4 4" xfId="8337"/>
    <cellStyle name="Comma 5 3 4 2 4 4 2" xfId="22419"/>
    <cellStyle name="Comma 5 3 4 2 4 5" xfId="17412"/>
    <cellStyle name="Comma 5 3 4 2 5" xfId="4390"/>
    <cellStyle name="Comma 5 3 4 2 5 2" xfId="13230"/>
    <cellStyle name="Comma 5 3 4 2 5 2 2" xfId="23481"/>
    <cellStyle name="Comma 5 3 4 2 5 3" xfId="9651"/>
    <cellStyle name="Comma 5 3 4 2 5 4" xfId="18474"/>
    <cellStyle name="Comma 5 3 4 2 6" xfId="1662"/>
    <cellStyle name="Comma 5 3 4 2 6 2" xfId="11041"/>
    <cellStyle name="Comma 5 3 4 2 6 3" xfId="21045"/>
    <cellStyle name="Comma 5 3 4 2 7" xfId="5848"/>
    <cellStyle name="Comma 5 3 4 2 7 2" xfId="14675"/>
    <cellStyle name="Comma 5 3 4 2 7 3" xfId="24926"/>
    <cellStyle name="Comma 5 3 4 2 8" xfId="7292"/>
    <cellStyle name="Comma 5 3 4 2 8 2" xfId="20018"/>
    <cellStyle name="Comma 5 3 4 2 9" xfId="16038"/>
    <cellStyle name="Comma 5 3 4 3" xfId="364"/>
    <cellStyle name="Comma 5 3 4 3 2" xfId="2851"/>
    <cellStyle name="Comma 5 3 4 3 2 2" xfId="12141"/>
    <cellStyle name="Comma 5 3 4 3 2 2 2" xfId="22214"/>
    <cellStyle name="Comma 5 3 4 3 2 3" xfId="8477"/>
    <cellStyle name="Comma 5 3 4 3 2 4" xfId="17207"/>
    <cellStyle name="Comma 5 3 4 3 3" xfId="4484"/>
    <cellStyle name="Comma 5 3 4 3 3 2" xfId="13324"/>
    <cellStyle name="Comma 5 3 4 3 3 2 2" xfId="23575"/>
    <cellStyle name="Comma 5 3 4 3 3 3" xfId="9745"/>
    <cellStyle name="Comma 5 3 4 3 3 4" xfId="18568"/>
    <cellStyle name="Comma 5 3 4 3 4" xfId="1960"/>
    <cellStyle name="Comma 5 3 4 3 4 2" xfId="11327"/>
    <cellStyle name="Comma 5 3 4 3 4 3" xfId="21331"/>
    <cellStyle name="Comma 5 3 4 3 5" xfId="5942"/>
    <cellStyle name="Comma 5 3 4 3 5 2" xfId="14769"/>
    <cellStyle name="Comma 5 3 4 3 5 3" xfId="25020"/>
    <cellStyle name="Comma 5 3 4 3 6" xfId="7386"/>
    <cellStyle name="Comma 5 3 4 3 6 2" xfId="19813"/>
    <cellStyle name="Comma 5 3 4 3 7" xfId="16324"/>
    <cellStyle name="Comma 5 3 4 4" xfId="668"/>
    <cellStyle name="Comma 5 3 4 4 2" xfId="3155"/>
    <cellStyle name="Comma 5 3 4 4 2 2" xfId="12300"/>
    <cellStyle name="Comma 5 3 4 4 2 2 2" xfId="22518"/>
    <cellStyle name="Comma 5 3 4 4 2 3" xfId="8722"/>
    <cellStyle name="Comma 5 3 4 4 2 4" xfId="17511"/>
    <cellStyle name="Comma 5 3 4 4 3" xfId="4833"/>
    <cellStyle name="Comma 5 3 4 4 3 2" xfId="13672"/>
    <cellStyle name="Comma 5 3 4 4 3 2 2" xfId="23923"/>
    <cellStyle name="Comma 5 3 4 4 3 3" xfId="10093"/>
    <cellStyle name="Comma 5 3 4 4 3 4" xfId="18916"/>
    <cellStyle name="Comma 5 3 4 4 4" xfId="2264"/>
    <cellStyle name="Comma 5 3 4 4 4 2" xfId="11631"/>
    <cellStyle name="Comma 5 3 4 4 4 3" xfId="21635"/>
    <cellStyle name="Comma 5 3 4 4 5" xfId="6290"/>
    <cellStyle name="Comma 5 3 4 4 5 2" xfId="15117"/>
    <cellStyle name="Comma 5 3 4 4 5 3" xfId="25368"/>
    <cellStyle name="Comma 5 3 4 4 6" xfId="7736"/>
    <cellStyle name="Comma 5 3 4 4 6 2" xfId="20117"/>
    <cellStyle name="Comma 5 3 4 4 7" xfId="16628"/>
    <cellStyle name="Comma 5 3 4 5" xfId="1136"/>
    <cellStyle name="Comma 5 3 4 5 2" xfId="3566"/>
    <cellStyle name="Comma 5 3 4 5 2 2" xfId="12704"/>
    <cellStyle name="Comma 5 3 4 5 2 2 2" xfId="22923"/>
    <cellStyle name="Comma 5 3 4 5 2 3" xfId="9125"/>
    <cellStyle name="Comma 5 3 4 5 2 4" xfId="17916"/>
    <cellStyle name="Comma 5 3 4 5 3" xfId="5229"/>
    <cellStyle name="Comma 5 3 4 5 3 2" xfId="14068"/>
    <cellStyle name="Comma 5 3 4 5 3 2 2" xfId="24319"/>
    <cellStyle name="Comma 5 3 4 5 3 3" xfId="10489"/>
    <cellStyle name="Comma 5 3 4 5 3 4" xfId="19312"/>
    <cellStyle name="Comma 5 3 4 5 4" xfId="1845"/>
    <cellStyle name="Comma 5 3 4 5 4 2" xfId="11215"/>
    <cellStyle name="Comma 5 3 4 5 4 3" xfId="21219"/>
    <cellStyle name="Comma 5 3 4 5 5" xfId="6686"/>
    <cellStyle name="Comma 5 3 4 5 5 2" xfId="15513"/>
    <cellStyle name="Comma 5 3 4 5 5 3" xfId="25764"/>
    <cellStyle name="Comma 5 3 4 5 6" xfId="8132"/>
    <cellStyle name="Comma 5 3 4 5 6 2" xfId="20522"/>
    <cellStyle name="Comma 5 3 4 5 7" xfId="16212"/>
    <cellStyle name="Comma 5 3 4 6" xfId="2739"/>
    <cellStyle name="Comma 5 3 4 6 2" xfId="12058"/>
    <cellStyle name="Comma 5 3 4 6 2 2" xfId="22102"/>
    <cellStyle name="Comma 5 3 4 6 3" xfId="8635"/>
    <cellStyle name="Comma 5 3 4 6 4" xfId="17095"/>
    <cellStyle name="Comma 5 3 4 7" xfId="4185"/>
    <cellStyle name="Comma 5 3 4 7 2" xfId="13025"/>
    <cellStyle name="Comma 5 3 4 7 2 2" xfId="23276"/>
    <cellStyle name="Comma 5 3 4 7 3" xfId="9446"/>
    <cellStyle name="Comma 5 3 4 7 4" xfId="18269"/>
    <cellStyle name="Comma 5 3 4 8" xfId="1457"/>
    <cellStyle name="Comma 5 3 4 8 2" xfId="10836"/>
    <cellStyle name="Comma 5 3 4 8 3" xfId="20840"/>
    <cellStyle name="Comma 5 3 4 9" xfId="5643"/>
    <cellStyle name="Comma 5 3 4 9 2" xfId="14470"/>
    <cellStyle name="Comma 5 3 4 9 3" xfId="24721"/>
    <cellStyle name="Comma 5 3 5" xfId="464"/>
    <cellStyle name="Comma 5 3 5 2" xfId="670"/>
    <cellStyle name="Comma 5 3 5 2 2" xfId="3157"/>
    <cellStyle name="Comma 5 3 5 2 2 2" xfId="12302"/>
    <cellStyle name="Comma 5 3 5 2 2 2 2" xfId="22520"/>
    <cellStyle name="Comma 5 3 5 2 2 3" xfId="8724"/>
    <cellStyle name="Comma 5 3 5 2 2 4" xfId="17513"/>
    <cellStyle name="Comma 5 3 5 2 3" xfId="4486"/>
    <cellStyle name="Comma 5 3 5 2 3 2" xfId="13326"/>
    <cellStyle name="Comma 5 3 5 2 3 2 2" xfId="23577"/>
    <cellStyle name="Comma 5 3 5 2 3 3" xfId="9747"/>
    <cellStyle name="Comma 5 3 5 2 3 4" xfId="18570"/>
    <cellStyle name="Comma 5 3 5 2 4" xfId="2266"/>
    <cellStyle name="Comma 5 3 5 2 4 2" xfId="11633"/>
    <cellStyle name="Comma 5 3 5 2 4 3" xfId="21637"/>
    <cellStyle name="Comma 5 3 5 2 5" xfId="5944"/>
    <cellStyle name="Comma 5 3 5 2 5 2" xfId="14771"/>
    <cellStyle name="Comma 5 3 5 2 5 3" xfId="25022"/>
    <cellStyle name="Comma 5 3 5 2 6" xfId="7388"/>
    <cellStyle name="Comma 5 3 5 2 6 2" xfId="20119"/>
    <cellStyle name="Comma 5 3 5 2 7" xfId="16630"/>
    <cellStyle name="Comma 5 3 5 3" xfId="1236"/>
    <cellStyle name="Comma 5 3 5 3 2" xfId="3666"/>
    <cellStyle name="Comma 5 3 5 3 2 2" xfId="12804"/>
    <cellStyle name="Comma 5 3 5 3 2 2 2" xfId="23023"/>
    <cellStyle name="Comma 5 3 5 3 2 3" xfId="9225"/>
    <cellStyle name="Comma 5 3 5 3 2 4" xfId="18016"/>
    <cellStyle name="Comma 5 3 5 3 3" xfId="4835"/>
    <cellStyle name="Comma 5 3 5 3 3 2" xfId="13674"/>
    <cellStyle name="Comma 5 3 5 3 3 2 2" xfId="23925"/>
    <cellStyle name="Comma 5 3 5 3 3 3" xfId="10095"/>
    <cellStyle name="Comma 5 3 5 3 3 4" xfId="18918"/>
    <cellStyle name="Comma 5 3 5 3 4" xfId="2060"/>
    <cellStyle name="Comma 5 3 5 3 4 2" xfId="11427"/>
    <cellStyle name="Comma 5 3 5 3 4 3" xfId="21431"/>
    <cellStyle name="Comma 5 3 5 3 5" xfId="6292"/>
    <cellStyle name="Comma 5 3 5 3 5 2" xfId="15119"/>
    <cellStyle name="Comma 5 3 5 3 5 3" xfId="25370"/>
    <cellStyle name="Comma 5 3 5 3 6" xfId="7738"/>
    <cellStyle name="Comma 5 3 5 3 6 2" xfId="20622"/>
    <cellStyle name="Comma 5 3 5 3 7" xfId="16424"/>
    <cellStyle name="Comma 5 3 5 4" xfId="2951"/>
    <cellStyle name="Comma 5 3 5 4 2" xfId="5329"/>
    <cellStyle name="Comma 5 3 5 4 2 2" xfId="14168"/>
    <cellStyle name="Comma 5 3 5 4 2 2 2" xfId="24419"/>
    <cellStyle name="Comma 5 3 5 4 2 3" xfId="10589"/>
    <cellStyle name="Comma 5 3 5 4 2 4" xfId="19412"/>
    <cellStyle name="Comma 5 3 5 4 3" xfId="6786"/>
    <cellStyle name="Comma 5 3 5 4 3 2" xfId="15613"/>
    <cellStyle name="Comma 5 3 5 4 3 3" xfId="25864"/>
    <cellStyle name="Comma 5 3 5 4 4" xfId="8232"/>
    <cellStyle name="Comma 5 3 5 4 4 2" xfId="22314"/>
    <cellStyle name="Comma 5 3 5 4 5" xfId="17307"/>
    <cellStyle name="Comma 5 3 5 5" xfId="4285"/>
    <cellStyle name="Comma 5 3 5 5 2" xfId="13125"/>
    <cellStyle name="Comma 5 3 5 5 2 2" xfId="23376"/>
    <cellStyle name="Comma 5 3 5 5 3" xfId="9546"/>
    <cellStyle name="Comma 5 3 5 5 4" xfId="18369"/>
    <cellStyle name="Comma 5 3 5 6" xfId="1557"/>
    <cellStyle name="Comma 5 3 5 6 2" xfId="10936"/>
    <cellStyle name="Comma 5 3 5 6 3" xfId="20940"/>
    <cellStyle name="Comma 5 3 5 7" xfId="5743"/>
    <cellStyle name="Comma 5 3 5 7 2" xfId="14570"/>
    <cellStyle name="Comma 5 3 5 7 3" xfId="24821"/>
    <cellStyle name="Comma 5 3 5 8" xfId="7187"/>
    <cellStyle name="Comma 5 3 5 8 2" xfId="19913"/>
    <cellStyle name="Comma 5 3 5 9" xfId="15933"/>
    <cellStyle name="Comma 5 3 6" xfId="337"/>
    <cellStyle name="Comma 5 3 6 2" xfId="671"/>
    <cellStyle name="Comma 5 3 6 2 2" xfId="3158"/>
    <cellStyle name="Comma 5 3 6 2 2 2" xfId="12303"/>
    <cellStyle name="Comma 5 3 6 2 2 2 2" xfId="22521"/>
    <cellStyle name="Comma 5 3 6 2 2 3" xfId="8725"/>
    <cellStyle name="Comma 5 3 6 2 2 4" xfId="17514"/>
    <cellStyle name="Comma 5 3 6 2 3" xfId="4487"/>
    <cellStyle name="Comma 5 3 6 2 3 2" xfId="13327"/>
    <cellStyle name="Comma 5 3 6 2 3 2 2" xfId="23578"/>
    <cellStyle name="Comma 5 3 6 2 3 3" xfId="9748"/>
    <cellStyle name="Comma 5 3 6 2 3 4" xfId="18571"/>
    <cellStyle name="Comma 5 3 6 2 4" xfId="2267"/>
    <cellStyle name="Comma 5 3 6 2 4 2" xfId="11634"/>
    <cellStyle name="Comma 5 3 6 2 4 3" xfId="21638"/>
    <cellStyle name="Comma 5 3 6 2 5" xfId="5945"/>
    <cellStyle name="Comma 5 3 6 2 5 2" xfId="14772"/>
    <cellStyle name="Comma 5 3 6 2 5 3" xfId="25023"/>
    <cellStyle name="Comma 5 3 6 2 6" xfId="7389"/>
    <cellStyle name="Comma 5 3 6 2 6 2" xfId="20120"/>
    <cellStyle name="Comma 5 3 6 2 7" xfId="16631"/>
    <cellStyle name="Comma 5 3 6 3" xfId="1109"/>
    <cellStyle name="Comma 5 3 6 3 2" xfId="3539"/>
    <cellStyle name="Comma 5 3 6 3 2 2" xfId="12677"/>
    <cellStyle name="Comma 5 3 6 3 2 2 2" xfId="22896"/>
    <cellStyle name="Comma 5 3 6 3 2 3" xfId="9098"/>
    <cellStyle name="Comma 5 3 6 3 2 4" xfId="17889"/>
    <cellStyle name="Comma 5 3 6 3 3" xfId="4836"/>
    <cellStyle name="Comma 5 3 6 3 3 2" xfId="13675"/>
    <cellStyle name="Comma 5 3 6 3 3 2 2" xfId="23926"/>
    <cellStyle name="Comma 5 3 6 3 3 3" xfId="10096"/>
    <cellStyle name="Comma 5 3 6 3 3 4" xfId="18919"/>
    <cellStyle name="Comma 5 3 6 3 4" xfId="2597"/>
    <cellStyle name="Comma 5 3 6 3 4 2" xfId="11963"/>
    <cellStyle name="Comma 5 3 6 3 4 3" xfId="21967"/>
    <cellStyle name="Comma 5 3 6 3 5" xfId="6293"/>
    <cellStyle name="Comma 5 3 6 3 5 2" xfId="15120"/>
    <cellStyle name="Comma 5 3 6 3 5 3" xfId="25371"/>
    <cellStyle name="Comma 5 3 6 3 6" xfId="7739"/>
    <cellStyle name="Comma 5 3 6 3 6 2" xfId="20495"/>
    <cellStyle name="Comma 5 3 6 3 7" xfId="16960"/>
    <cellStyle name="Comma 5 3 6 4" xfId="2824"/>
    <cellStyle name="Comma 5 3 6 4 2" xfId="5202"/>
    <cellStyle name="Comma 5 3 6 4 2 2" xfId="14041"/>
    <cellStyle name="Comma 5 3 6 4 2 2 2" xfId="24292"/>
    <cellStyle name="Comma 5 3 6 4 2 3" xfId="10462"/>
    <cellStyle name="Comma 5 3 6 4 2 4" xfId="19285"/>
    <cellStyle name="Comma 5 3 6 4 3" xfId="6659"/>
    <cellStyle name="Comma 5 3 6 4 3 2" xfId="15486"/>
    <cellStyle name="Comma 5 3 6 4 3 3" xfId="25737"/>
    <cellStyle name="Comma 5 3 6 4 4" xfId="8105"/>
    <cellStyle name="Comma 5 3 6 4 4 2" xfId="22187"/>
    <cellStyle name="Comma 5 3 6 4 5" xfId="17180"/>
    <cellStyle name="Comma 5 3 6 5" xfId="4156"/>
    <cellStyle name="Comma 5 3 6 5 2" xfId="12996"/>
    <cellStyle name="Comma 5 3 6 5 2 2" xfId="23247"/>
    <cellStyle name="Comma 5 3 6 5 3" xfId="9417"/>
    <cellStyle name="Comma 5 3 6 5 4" xfId="18240"/>
    <cellStyle name="Comma 5 3 6 6" xfId="1933"/>
    <cellStyle name="Comma 5 3 6 6 2" xfId="11300"/>
    <cellStyle name="Comma 5 3 6 6 3" xfId="21304"/>
    <cellStyle name="Comma 5 3 6 7" xfId="5616"/>
    <cellStyle name="Comma 5 3 6 7 2" xfId="14443"/>
    <cellStyle name="Comma 5 3 6 7 3" xfId="24694"/>
    <cellStyle name="Comma 5 3 6 8" xfId="7060"/>
    <cellStyle name="Comma 5 3 6 8 2" xfId="19786"/>
    <cellStyle name="Comma 5 3 6 9" xfId="16297"/>
    <cellStyle name="Comma 5 3 7" xfId="662"/>
    <cellStyle name="Comma 5 3 7 2" xfId="3149"/>
    <cellStyle name="Comma 5 3 7 2 2" xfId="12294"/>
    <cellStyle name="Comma 5 3 7 2 2 2" xfId="22512"/>
    <cellStyle name="Comma 5 3 7 2 3" xfId="8716"/>
    <cellStyle name="Comma 5 3 7 2 4" xfId="17505"/>
    <cellStyle name="Comma 5 3 7 3" xfId="4478"/>
    <cellStyle name="Comma 5 3 7 3 2" xfId="13318"/>
    <cellStyle name="Comma 5 3 7 3 2 2" xfId="23569"/>
    <cellStyle name="Comma 5 3 7 3 3" xfId="9739"/>
    <cellStyle name="Comma 5 3 7 3 4" xfId="18562"/>
    <cellStyle name="Comma 5 3 7 4" xfId="2258"/>
    <cellStyle name="Comma 5 3 7 4 2" xfId="11625"/>
    <cellStyle name="Comma 5 3 7 4 3" xfId="21629"/>
    <cellStyle name="Comma 5 3 7 5" xfId="5936"/>
    <cellStyle name="Comma 5 3 7 5 2" xfId="14763"/>
    <cellStyle name="Comma 5 3 7 5 3" xfId="25014"/>
    <cellStyle name="Comma 5 3 7 6" xfId="7380"/>
    <cellStyle name="Comma 5 3 7 6 2" xfId="20111"/>
    <cellStyle name="Comma 5 3 7 7" xfId="16622"/>
    <cellStyle name="Comma 5 3 8" xfId="1064"/>
    <cellStyle name="Comma 5 3 8 2" xfId="3494"/>
    <cellStyle name="Comma 5 3 8 2 2" xfId="12632"/>
    <cellStyle name="Comma 5 3 8 2 2 2" xfId="22851"/>
    <cellStyle name="Comma 5 3 8 2 3" xfId="9054"/>
    <cellStyle name="Comma 5 3 8 2 4" xfId="17844"/>
    <cellStyle name="Comma 5 3 8 3" xfId="4827"/>
    <cellStyle name="Comma 5 3 8 3 2" xfId="13666"/>
    <cellStyle name="Comma 5 3 8 3 2 2" xfId="23917"/>
    <cellStyle name="Comma 5 3 8 3 3" xfId="10087"/>
    <cellStyle name="Comma 5 3 8 3 4" xfId="18910"/>
    <cellStyle name="Comma 5 3 8 4" xfId="1733"/>
    <cellStyle name="Comma 5 3 8 4 2" xfId="11109"/>
    <cellStyle name="Comma 5 3 8 4 3" xfId="21113"/>
    <cellStyle name="Comma 5 3 8 5" xfId="6284"/>
    <cellStyle name="Comma 5 3 8 5 2" xfId="15111"/>
    <cellStyle name="Comma 5 3 8 5 3" xfId="25362"/>
    <cellStyle name="Comma 5 3 8 6" xfId="7730"/>
    <cellStyle name="Comma 5 3 8 6 2" xfId="20450"/>
    <cellStyle name="Comma 5 3 8 7" xfId="16106"/>
    <cellStyle name="Comma 5 3 9" xfId="2631"/>
    <cellStyle name="Comma 5 3 9 2" xfId="5157"/>
    <cellStyle name="Comma 5 3 9 2 2" xfId="13996"/>
    <cellStyle name="Comma 5 3 9 2 2 2" xfId="24247"/>
    <cellStyle name="Comma 5 3 9 2 3" xfId="10417"/>
    <cellStyle name="Comma 5 3 9 2 4" xfId="19240"/>
    <cellStyle name="Comma 5 3 9 3" xfId="6614"/>
    <cellStyle name="Comma 5 3 9 3 2" xfId="15441"/>
    <cellStyle name="Comma 5 3 9 3 3" xfId="25692"/>
    <cellStyle name="Comma 5 3 9 4" xfId="8060"/>
    <cellStyle name="Comma 5 3 9 4 2" xfId="21996"/>
    <cellStyle name="Comma 5 3 9 5" xfId="16989"/>
    <cellStyle name="Comma 5 4" xfId="132"/>
    <cellStyle name="Comma 5 4 10" xfId="4119"/>
    <cellStyle name="Comma 5 4 10 2" xfId="5579"/>
    <cellStyle name="Comma 5 4 10 2 2" xfId="14406"/>
    <cellStyle name="Comma 5 4 10 2 3" xfId="24657"/>
    <cellStyle name="Comma 5 4 10 3" xfId="7023"/>
    <cellStyle name="Comma 5 4 10 3 2" xfId="23210"/>
    <cellStyle name="Comma 5 4 10 4" xfId="18203"/>
    <cellStyle name="Comma 5 4 11" xfId="1438"/>
    <cellStyle name="Comma 5 4 11 2" xfId="10817"/>
    <cellStyle name="Comma 5 4 11 3" xfId="20821"/>
    <cellStyle name="Comma 5 4 12" xfId="5547"/>
    <cellStyle name="Comma 5 4 12 2" xfId="14376"/>
    <cellStyle name="Comma 5 4 12 3" xfId="24627"/>
    <cellStyle name="Comma 5 4 13" xfId="6993"/>
    <cellStyle name="Comma 5 4 13 2" xfId="19602"/>
    <cellStyle name="Comma 5 4 14" xfId="15814"/>
    <cellStyle name="Comma 5 4 2" xfId="172"/>
    <cellStyle name="Comma 5 4 2 10" xfId="5681"/>
    <cellStyle name="Comma 5 4 2 10 2" xfId="14508"/>
    <cellStyle name="Comma 5 4 2 10 3" xfId="24759"/>
    <cellStyle name="Comma 5 4 2 11" xfId="7125"/>
    <cellStyle name="Comma 5 4 2 11 2" xfId="19634"/>
    <cellStyle name="Comma 5 4 2 12" xfId="15871"/>
    <cellStyle name="Comma 5 4 2 2" xfId="284"/>
    <cellStyle name="Comma 5 4 2 2 10" xfId="16075"/>
    <cellStyle name="Comma 5 4 2 2 2" xfId="606"/>
    <cellStyle name="Comma 5 4 2 2 2 2" xfId="3093"/>
    <cellStyle name="Comma 5 4 2 2 2 2 2" xfId="12238"/>
    <cellStyle name="Comma 5 4 2 2 2 2 2 2" xfId="22456"/>
    <cellStyle name="Comma 5 4 2 2 2 2 3" xfId="8660"/>
    <cellStyle name="Comma 5 4 2 2 2 2 4" xfId="17449"/>
    <cellStyle name="Comma 5 4 2 2 2 3" xfId="4490"/>
    <cellStyle name="Comma 5 4 2 2 2 3 2" xfId="13330"/>
    <cellStyle name="Comma 5 4 2 2 2 3 2 2" xfId="23581"/>
    <cellStyle name="Comma 5 4 2 2 2 3 3" xfId="9751"/>
    <cellStyle name="Comma 5 4 2 2 2 3 4" xfId="18574"/>
    <cellStyle name="Comma 5 4 2 2 2 4" xfId="2202"/>
    <cellStyle name="Comma 5 4 2 2 2 4 2" xfId="11569"/>
    <cellStyle name="Comma 5 4 2 2 2 4 3" xfId="21573"/>
    <cellStyle name="Comma 5 4 2 2 2 5" xfId="5948"/>
    <cellStyle name="Comma 5 4 2 2 2 5 2" xfId="14775"/>
    <cellStyle name="Comma 5 4 2 2 2 5 3" xfId="25026"/>
    <cellStyle name="Comma 5 4 2 2 2 6" xfId="7392"/>
    <cellStyle name="Comma 5 4 2 2 2 6 2" xfId="20055"/>
    <cellStyle name="Comma 5 4 2 2 2 7" xfId="16566"/>
    <cellStyle name="Comma 5 4 2 2 3" xfId="674"/>
    <cellStyle name="Comma 5 4 2 2 3 2" xfId="3161"/>
    <cellStyle name="Comma 5 4 2 2 3 2 2" xfId="12306"/>
    <cellStyle name="Comma 5 4 2 2 3 2 2 2" xfId="22524"/>
    <cellStyle name="Comma 5 4 2 2 3 2 3" xfId="8728"/>
    <cellStyle name="Comma 5 4 2 2 3 2 4" xfId="17517"/>
    <cellStyle name="Comma 5 4 2 2 3 3" xfId="4839"/>
    <cellStyle name="Comma 5 4 2 2 3 3 2" xfId="13678"/>
    <cellStyle name="Comma 5 4 2 2 3 3 2 2" xfId="23929"/>
    <cellStyle name="Comma 5 4 2 2 3 3 3" xfId="10099"/>
    <cellStyle name="Comma 5 4 2 2 3 3 4" xfId="18922"/>
    <cellStyle name="Comma 5 4 2 2 3 4" xfId="2270"/>
    <cellStyle name="Comma 5 4 2 2 3 4 2" xfId="11637"/>
    <cellStyle name="Comma 5 4 2 2 3 4 3" xfId="21641"/>
    <cellStyle name="Comma 5 4 2 2 3 5" xfId="6296"/>
    <cellStyle name="Comma 5 4 2 2 3 5 2" xfId="15123"/>
    <cellStyle name="Comma 5 4 2 2 3 5 3" xfId="25374"/>
    <cellStyle name="Comma 5 4 2 2 3 6" xfId="7742"/>
    <cellStyle name="Comma 5 4 2 2 3 6 2" xfId="20123"/>
    <cellStyle name="Comma 5 4 2 2 3 7" xfId="16634"/>
    <cellStyle name="Comma 5 4 2 2 4" xfId="1378"/>
    <cellStyle name="Comma 5 4 2 2 4 2" xfId="3808"/>
    <cellStyle name="Comma 5 4 2 2 4 2 2" xfId="12946"/>
    <cellStyle name="Comma 5 4 2 2 4 2 2 2" xfId="23165"/>
    <cellStyle name="Comma 5 4 2 2 4 2 3" xfId="9367"/>
    <cellStyle name="Comma 5 4 2 2 4 2 4" xfId="18158"/>
    <cellStyle name="Comma 5 4 2 2 4 3" xfId="5471"/>
    <cellStyle name="Comma 5 4 2 2 4 3 2" xfId="14310"/>
    <cellStyle name="Comma 5 4 2 2 4 3 2 2" xfId="24561"/>
    <cellStyle name="Comma 5 4 2 2 4 3 3" xfId="10731"/>
    <cellStyle name="Comma 5 4 2 2 4 3 4" xfId="19554"/>
    <cellStyle name="Comma 5 4 2 2 4 4" xfId="1882"/>
    <cellStyle name="Comma 5 4 2 2 4 4 2" xfId="11252"/>
    <cellStyle name="Comma 5 4 2 2 4 4 3" xfId="21256"/>
    <cellStyle name="Comma 5 4 2 2 4 5" xfId="6928"/>
    <cellStyle name="Comma 5 4 2 2 4 5 2" xfId="15755"/>
    <cellStyle name="Comma 5 4 2 2 4 5 3" xfId="26006"/>
    <cellStyle name="Comma 5 4 2 2 4 6" xfId="8374"/>
    <cellStyle name="Comma 5 4 2 2 4 6 2" xfId="20764"/>
    <cellStyle name="Comma 5 4 2 2 4 7" xfId="16249"/>
    <cellStyle name="Comma 5 4 2 2 5" xfId="2776"/>
    <cellStyle name="Comma 5 4 2 2 5 2" xfId="12095"/>
    <cellStyle name="Comma 5 4 2 2 5 2 2" xfId="22139"/>
    <cellStyle name="Comma 5 4 2 2 5 3" xfId="8487"/>
    <cellStyle name="Comma 5 4 2 2 5 4" xfId="17132"/>
    <cellStyle name="Comma 5 4 2 2 6" xfId="4427"/>
    <cellStyle name="Comma 5 4 2 2 6 2" xfId="13267"/>
    <cellStyle name="Comma 5 4 2 2 6 2 2" xfId="23518"/>
    <cellStyle name="Comma 5 4 2 2 6 3" xfId="9688"/>
    <cellStyle name="Comma 5 4 2 2 6 4" xfId="18511"/>
    <cellStyle name="Comma 5 4 2 2 7" xfId="1699"/>
    <cellStyle name="Comma 5 4 2 2 7 2" xfId="11078"/>
    <cellStyle name="Comma 5 4 2 2 7 3" xfId="21082"/>
    <cellStyle name="Comma 5 4 2 2 8" xfId="5885"/>
    <cellStyle name="Comma 5 4 2 2 8 2" xfId="14712"/>
    <cellStyle name="Comma 5 4 2 2 8 3" xfId="24963"/>
    <cellStyle name="Comma 5 4 2 2 9" xfId="7329"/>
    <cellStyle name="Comma 5 4 2 2 9 2" xfId="19738"/>
    <cellStyle name="Comma 5 4 2 3" xfId="502"/>
    <cellStyle name="Comma 5 4 2 3 2" xfId="675"/>
    <cellStyle name="Comma 5 4 2 3 2 2" xfId="3162"/>
    <cellStyle name="Comma 5 4 2 3 2 2 2" xfId="12307"/>
    <cellStyle name="Comma 5 4 2 3 2 2 2 2" xfId="22525"/>
    <cellStyle name="Comma 5 4 2 3 2 2 3" xfId="8729"/>
    <cellStyle name="Comma 5 4 2 3 2 2 4" xfId="17518"/>
    <cellStyle name="Comma 5 4 2 3 2 3" xfId="4491"/>
    <cellStyle name="Comma 5 4 2 3 2 3 2" xfId="13331"/>
    <cellStyle name="Comma 5 4 2 3 2 3 2 2" xfId="23582"/>
    <cellStyle name="Comma 5 4 2 3 2 3 3" xfId="9752"/>
    <cellStyle name="Comma 5 4 2 3 2 3 4" xfId="18575"/>
    <cellStyle name="Comma 5 4 2 3 2 4" xfId="2271"/>
    <cellStyle name="Comma 5 4 2 3 2 4 2" xfId="11638"/>
    <cellStyle name="Comma 5 4 2 3 2 4 3" xfId="21642"/>
    <cellStyle name="Comma 5 4 2 3 2 5" xfId="5949"/>
    <cellStyle name="Comma 5 4 2 3 2 5 2" xfId="14776"/>
    <cellStyle name="Comma 5 4 2 3 2 5 3" xfId="25027"/>
    <cellStyle name="Comma 5 4 2 3 2 6" xfId="7393"/>
    <cellStyle name="Comma 5 4 2 3 2 6 2" xfId="20124"/>
    <cellStyle name="Comma 5 4 2 3 2 7" xfId="16635"/>
    <cellStyle name="Comma 5 4 2 3 3" xfId="1274"/>
    <cellStyle name="Comma 5 4 2 3 3 2" xfId="3704"/>
    <cellStyle name="Comma 5 4 2 3 3 2 2" xfId="12842"/>
    <cellStyle name="Comma 5 4 2 3 3 2 2 2" xfId="23061"/>
    <cellStyle name="Comma 5 4 2 3 3 2 3" xfId="9263"/>
    <cellStyle name="Comma 5 4 2 3 3 2 4" xfId="18054"/>
    <cellStyle name="Comma 5 4 2 3 3 3" xfId="4840"/>
    <cellStyle name="Comma 5 4 2 3 3 3 2" xfId="13679"/>
    <cellStyle name="Comma 5 4 2 3 3 3 2 2" xfId="23930"/>
    <cellStyle name="Comma 5 4 2 3 3 3 3" xfId="10100"/>
    <cellStyle name="Comma 5 4 2 3 3 3 4" xfId="18923"/>
    <cellStyle name="Comma 5 4 2 3 3 4" xfId="2098"/>
    <cellStyle name="Comma 5 4 2 3 3 4 2" xfId="11465"/>
    <cellStyle name="Comma 5 4 2 3 3 4 3" xfId="21469"/>
    <cellStyle name="Comma 5 4 2 3 3 5" xfId="6297"/>
    <cellStyle name="Comma 5 4 2 3 3 5 2" xfId="15124"/>
    <cellStyle name="Comma 5 4 2 3 3 5 3" xfId="25375"/>
    <cellStyle name="Comma 5 4 2 3 3 6" xfId="7743"/>
    <cellStyle name="Comma 5 4 2 3 3 6 2" xfId="20660"/>
    <cellStyle name="Comma 5 4 2 3 3 7" xfId="16462"/>
    <cellStyle name="Comma 5 4 2 3 4" xfId="2989"/>
    <cellStyle name="Comma 5 4 2 3 4 2" xfId="5367"/>
    <cellStyle name="Comma 5 4 2 3 4 2 2" xfId="14206"/>
    <cellStyle name="Comma 5 4 2 3 4 2 2 2" xfId="24457"/>
    <cellStyle name="Comma 5 4 2 3 4 2 3" xfId="10627"/>
    <cellStyle name="Comma 5 4 2 3 4 2 4" xfId="19450"/>
    <cellStyle name="Comma 5 4 2 3 4 3" xfId="6824"/>
    <cellStyle name="Comma 5 4 2 3 4 3 2" xfId="15651"/>
    <cellStyle name="Comma 5 4 2 3 4 3 3" xfId="25902"/>
    <cellStyle name="Comma 5 4 2 3 4 4" xfId="8270"/>
    <cellStyle name="Comma 5 4 2 3 4 4 2" xfId="22352"/>
    <cellStyle name="Comma 5 4 2 3 4 5" xfId="17345"/>
    <cellStyle name="Comma 5 4 2 3 5" xfId="4323"/>
    <cellStyle name="Comma 5 4 2 3 5 2" xfId="13163"/>
    <cellStyle name="Comma 5 4 2 3 5 2 2" xfId="23414"/>
    <cellStyle name="Comma 5 4 2 3 5 3" xfId="9584"/>
    <cellStyle name="Comma 5 4 2 3 5 4" xfId="18407"/>
    <cellStyle name="Comma 5 4 2 3 6" xfId="1595"/>
    <cellStyle name="Comma 5 4 2 3 6 2" xfId="10974"/>
    <cellStyle name="Comma 5 4 2 3 6 3" xfId="20978"/>
    <cellStyle name="Comma 5 4 2 3 7" xfId="5781"/>
    <cellStyle name="Comma 5 4 2 3 7 2" xfId="14608"/>
    <cellStyle name="Comma 5 4 2 3 7 3" xfId="24859"/>
    <cellStyle name="Comma 5 4 2 3 8" xfId="7225"/>
    <cellStyle name="Comma 5 4 2 3 8 2" xfId="19951"/>
    <cellStyle name="Comma 5 4 2 3 9" xfId="15971"/>
    <cellStyle name="Comma 5 4 2 4" xfId="402"/>
    <cellStyle name="Comma 5 4 2 4 2" xfId="2889"/>
    <cellStyle name="Comma 5 4 2 4 2 2" xfId="12179"/>
    <cellStyle name="Comma 5 4 2 4 2 2 2" xfId="22252"/>
    <cellStyle name="Comma 5 4 2 4 2 3" xfId="8429"/>
    <cellStyle name="Comma 5 4 2 4 2 4" xfId="17245"/>
    <cellStyle name="Comma 5 4 2 4 3" xfId="4489"/>
    <cellStyle name="Comma 5 4 2 4 3 2" xfId="13329"/>
    <cellStyle name="Comma 5 4 2 4 3 2 2" xfId="23580"/>
    <cellStyle name="Comma 5 4 2 4 3 3" xfId="9750"/>
    <cellStyle name="Comma 5 4 2 4 3 4" xfId="18573"/>
    <cellStyle name="Comma 5 4 2 4 4" xfId="1998"/>
    <cellStyle name="Comma 5 4 2 4 4 2" xfId="11365"/>
    <cellStyle name="Comma 5 4 2 4 4 3" xfId="21369"/>
    <cellStyle name="Comma 5 4 2 4 5" xfId="5947"/>
    <cellStyle name="Comma 5 4 2 4 5 2" xfId="14774"/>
    <cellStyle name="Comma 5 4 2 4 5 3" xfId="25025"/>
    <cellStyle name="Comma 5 4 2 4 6" xfId="7391"/>
    <cellStyle name="Comma 5 4 2 4 6 2" xfId="19851"/>
    <cellStyle name="Comma 5 4 2 4 7" xfId="16362"/>
    <cellStyle name="Comma 5 4 2 5" xfId="673"/>
    <cellStyle name="Comma 5 4 2 5 2" xfId="3160"/>
    <cellStyle name="Comma 5 4 2 5 2 2" xfId="12305"/>
    <cellStyle name="Comma 5 4 2 5 2 2 2" xfId="22523"/>
    <cellStyle name="Comma 5 4 2 5 2 3" xfId="8727"/>
    <cellStyle name="Comma 5 4 2 5 2 4" xfId="17516"/>
    <cellStyle name="Comma 5 4 2 5 3" xfId="4838"/>
    <cellStyle name="Comma 5 4 2 5 3 2" xfId="13677"/>
    <cellStyle name="Comma 5 4 2 5 3 2 2" xfId="23928"/>
    <cellStyle name="Comma 5 4 2 5 3 3" xfId="10098"/>
    <cellStyle name="Comma 5 4 2 5 3 4" xfId="18921"/>
    <cellStyle name="Comma 5 4 2 5 4" xfId="2269"/>
    <cellStyle name="Comma 5 4 2 5 4 2" xfId="11636"/>
    <cellStyle name="Comma 5 4 2 5 4 3" xfId="21640"/>
    <cellStyle name="Comma 5 4 2 5 5" xfId="6295"/>
    <cellStyle name="Comma 5 4 2 5 5 2" xfId="15122"/>
    <cellStyle name="Comma 5 4 2 5 5 3" xfId="25373"/>
    <cellStyle name="Comma 5 4 2 5 6" xfId="7741"/>
    <cellStyle name="Comma 5 4 2 5 6 2" xfId="20122"/>
    <cellStyle name="Comma 5 4 2 5 7" xfId="16633"/>
    <cellStyle name="Comma 5 4 2 6" xfId="1174"/>
    <cellStyle name="Comma 5 4 2 6 2" xfId="3604"/>
    <cellStyle name="Comma 5 4 2 6 2 2" xfId="12742"/>
    <cellStyle name="Comma 5 4 2 6 2 2 2" xfId="22961"/>
    <cellStyle name="Comma 5 4 2 6 2 3" xfId="9163"/>
    <cellStyle name="Comma 5 4 2 6 2 4" xfId="17954"/>
    <cellStyle name="Comma 5 4 2 6 3" xfId="5267"/>
    <cellStyle name="Comma 5 4 2 6 3 2" xfId="14106"/>
    <cellStyle name="Comma 5 4 2 6 3 2 2" xfId="24357"/>
    <cellStyle name="Comma 5 4 2 6 3 3" xfId="10527"/>
    <cellStyle name="Comma 5 4 2 6 3 4" xfId="19350"/>
    <cellStyle name="Comma 5 4 2 6 4" xfId="1775"/>
    <cellStyle name="Comma 5 4 2 6 4 2" xfId="11148"/>
    <cellStyle name="Comma 5 4 2 6 4 3" xfId="21152"/>
    <cellStyle name="Comma 5 4 2 6 5" xfId="6724"/>
    <cellStyle name="Comma 5 4 2 6 5 2" xfId="15551"/>
    <cellStyle name="Comma 5 4 2 6 5 3" xfId="25802"/>
    <cellStyle name="Comma 5 4 2 6 6" xfId="8170"/>
    <cellStyle name="Comma 5 4 2 6 6 2" xfId="20560"/>
    <cellStyle name="Comma 5 4 2 6 7" xfId="16145"/>
    <cellStyle name="Comma 5 4 2 7" xfId="2672"/>
    <cellStyle name="Comma 5 4 2 7 2" xfId="11991"/>
    <cellStyle name="Comma 5 4 2 7 2 2" xfId="22035"/>
    <cellStyle name="Comma 5 4 2 7 3" xfId="8588"/>
    <cellStyle name="Comma 5 4 2 7 4" xfId="17028"/>
    <cellStyle name="Comma 5 4 2 8" xfId="4223"/>
    <cellStyle name="Comma 5 4 2 8 2" xfId="13063"/>
    <cellStyle name="Comma 5 4 2 8 2 2" xfId="23314"/>
    <cellStyle name="Comma 5 4 2 8 3" xfId="9484"/>
    <cellStyle name="Comma 5 4 2 8 4" xfId="18307"/>
    <cellStyle name="Comma 5 4 2 9" xfId="1495"/>
    <cellStyle name="Comma 5 4 2 9 2" xfId="10874"/>
    <cellStyle name="Comma 5 4 2 9 3" xfId="20878"/>
    <cellStyle name="Comma 5 4 3" xfId="219"/>
    <cellStyle name="Comma 5 4 3 10" xfId="7168"/>
    <cellStyle name="Comma 5 4 3 10 2" xfId="19677"/>
    <cellStyle name="Comma 5 4 3 11" xfId="15914"/>
    <cellStyle name="Comma 5 4 3 2" xfId="545"/>
    <cellStyle name="Comma 5 4 3 2 2" xfId="677"/>
    <cellStyle name="Comma 5 4 3 2 2 2" xfId="3164"/>
    <cellStyle name="Comma 5 4 3 2 2 2 2" xfId="12309"/>
    <cellStyle name="Comma 5 4 3 2 2 2 2 2" xfId="22527"/>
    <cellStyle name="Comma 5 4 3 2 2 2 3" xfId="8731"/>
    <cellStyle name="Comma 5 4 3 2 2 2 4" xfId="17520"/>
    <cellStyle name="Comma 5 4 3 2 2 3" xfId="4493"/>
    <cellStyle name="Comma 5 4 3 2 2 3 2" xfId="13333"/>
    <cellStyle name="Comma 5 4 3 2 2 3 2 2" xfId="23584"/>
    <cellStyle name="Comma 5 4 3 2 2 3 3" xfId="9754"/>
    <cellStyle name="Comma 5 4 3 2 2 3 4" xfId="18577"/>
    <cellStyle name="Comma 5 4 3 2 2 4" xfId="2273"/>
    <cellStyle name="Comma 5 4 3 2 2 4 2" xfId="11640"/>
    <cellStyle name="Comma 5 4 3 2 2 4 3" xfId="21644"/>
    <cellStyle name="Comma 5 4 3 2 2 5" xfId="5951"/>
    <cellStyle name="Comma 5 4 3 2 2 5 2" xfId="14778"/>
    <cellStyle name="Comma 5 4 3 2 2 5 3" xfId="25029"/>
    <cellStyle name="Comma 5 4 3 2 2 6" xfId="7395"/>
    <cellStyle name="Comma 5 4 3 2 2 6 2" xfId="20126"/>
    <cellStyle name="Comma 5 4 3 2 2 7" xfId="16637"/>
    <cellStyle name="Comma 5 4 3 2 3" xfId="1317"/>
    <cellStyle name="Comma 5 4 3 2 3 2" xfId="3747"/>
    <cellStyle name="Comma 5 4 3 2 3 2 2" xfId="12885"/>
    <cellStyle name="Comma 5 4 3 2 3 2 2 2" xfId="23104"/>
    <cellStyle name="Comma 5 4 3 2 3 2 3" xfId="9306"/>
    <cellStyle name="Comma 5 4 3 2 3 2 4" xfId="18097"/>
    <cellStyle name="Comma 5 4 3 2 3 3" xfId="4842"/>
    <cellStyle name="Comma 5 4 3 2 3 3 2" xfId="13681"/>
    <cellStyle name="Comma 5 4 3 2 3 3 2 2" xfId="23932"/>
    <cellStyle name="Comma 5 4 3 2 3 3 3" xfId="10102"/>
    <cellStyle name="Comma 5 4 3 2 3 3 4" xfId="18925"/>
    <cellStyle name="Comma 5 4 3 2 3 4" xfId="2141"/>
    <cellStyle name="Comma 5 4 3 2 3 4 2" xfId="11508"/>
    <cellStyle name="Comma 5 4 3 2 3 4 3" xfId="21512"/>
    <cellStyle name="Comma 5 4 3 2 3 5" xfId="6299"/>
    <cellStyle name="Comma 5 4 3 2 3 5 2" xfId="15126"/>
    <cellStyle name="Comma 5 4 3 2 3 5 3" xfId="25377"/>
    <cellStyle name="Comma 5 4 3 2 3 6" xfId="7745"/>
    <cellStyle name="Comma 5 4 3 2 3 6 2" xfId="20703"/>
    <cellStyle name="Comma 5 4 3 2 3 7" xfId="16505"/>
    <cellStyle name="Comma 5 4 3 2 4" xfId="3032"/>
    <cellStyle name="Comma 5 4 3 2 4 2" xfId="5410"/>
    <cellStyle name="Comma 5 4 3 2 4 2 2" xfId="14249"/>
    <cellStyle name="Comma 5 4 3 2 4 2 2 2" xfId="24500"/>
    <cellStyle name="Comma 5 4 3 2 4 2 3" xfId="10670"/>
    <cellStyle name="Comma 5 4 3 2 4 2 4" xfId="19493"/>
    <cellStyle name="Comma 5 4 3 2 4 3" xfId="6867"/>
    <cellStyle name="Comma 5 4 3 2 4 3 2" xfId="15694"/>
    <cellStyle name="Comma 5 4 3 2 4 3 3" xfId="25945"/>
    <cellStyle name="Comma 5 4 3 2 4 4" xfId="8313"/>
    <cellStyle name="Comma 5 4 3 2 4 4 2" xfId="22395"/>
    <cellStyle name="Comma 5 4 3 2 4 5" xfId="17388"/>
    <cellStyle name="Comma 5 4 3 2 5" xfId="4366"/>
    <cellStyle name="Comma 5 4 3 2 5 2" xfId="13206"/>
    <cellStyle name="Comma 5 4 3 2 5 2 2" xfId="23457"/>
    <cellStyle name="Comma 5 4 3 2 5 3" xfId="9627"/>
    <cellStyle name="Comma 5 4 3 2 5 4" xfId="18450"/>
    <cellStyle name="Comma 5 4 3 2 6" xfId="1638"/>
    <cellStyle name="Comma 5 4 3 2 6 2" xfId="11017"/>
    <cellStyle name="Comma 5 4 3 2 6 3" xfId="21021"/>
    <cellStyle name="Comma 5 4 3 2 7" xfId="5824"/>
    <cellStyle name="Comma 5 4 3 2 7 2" xfId="14651"/>
    <cellStyle name="Comma 5 4 3 2 7 3" xfId="24902"/>
    <cellStyle name="Comma 5 4 3 2 8" xfId="7268"/>
    <cellStyle name="Comma 5 4 3 2 8 2" xfId="19994"/>
    <cellStyle name="Comma 5 4 3 2 9" xfId="16014"/>
    <cellStyle name="Comma 5 4 3 3" xfId="445"/>
    <cellStyle name="Comma 5 4 3 3 2" xfId="2932"/>
    <cellStyle name="Comma 5 4 3 3 2 2" xfId="12222"/>
    <cellStyle name="Comma 5 4 3 3 2 2 2" xfId="22295"/>
    <cellStyle name="Comma 5 4 3 3 2 3" xfId="8427"/>
    <cellStyle name="Comma 5 4 3 3 2 4" xfId="17288"/>
    <cellStyle name="Comma 5 4 3 3 3" xfId="4492"/>
    <cellStyle name="Comma 5 4 3 3 3 2" xfId="13332"/>
    <cellStyle name="Comma 5 4 3 3 3 2 2" xfId="23583"/>
    <cellStyle name="Comma 5 4 3 3 3 3" xfId="9753"/>
    <cellStyle name="Comma 5 4 3 3 3 4" xfId="18576"/>
    <cellStyle name="Comma 5 4 3 3 4" xfId="2041"/>
    <cellStyle name="Comma 5 4 3 3 4 2" xfId="11408"/>
    <cellStyle name="Comma 5 4 3 3 4 3" xfId="21412"/>
    <cellStyle name="Comma 5 4 3 3 5" xfId="5950"/>
    <cellStyle name="Comma 5 4 3 3 5 2" xfId="14777"/>
    <cellStyle name="Comma 5 4 3 3 5 3" xfId="25028"/>
    <cellStyle name="Comma 5 4 3 3 6" xfId="7394"/>
    <cellStyle name="Comma 5 4 3 3 6 2" xfId="19894"/>
    <cellStyle name="Comma 5 4 3 3 7" xfId="16405"/>
    <cellStyle name="Comma 5 4 3 4" xfId="676"/>
    <cellStyle name="Comma 5 4 3 4 2" xfId="3163"/>
    <cellStyle name="Comma 5 4 3 4 2 2" xfId="12308"/>
    <cellStyle name="Comma 5 4 3 4 2 2 2" xfId="22526"/>
    <cellStyle name="Comma 5 4 3 4 2 3" xfId="8730"/>
    <cellStyle name="Comma 5 4 3 4 2 4" xfId="17519"/>
    <cellStyle name="Comma 5 4 3 4 3" xfId="4841"/>
    <cellStyle name="Comma 5 4 3 4 3 2" xfId="13680"/>
    <cellStyle name="Comma 5 4 3 4 3 2 2" xfId="23931"/>
    <cellStyle name="Comma 5 4 3 4 3 3" xfId="10101"/>
    <cellStyle name="Comma 5 4 3 4 3 4" xfId="18924"/>
    <cellStyle name="Comma 5 4 3 4 4" xfId="2272"/>
    <cellStyle name="Comma 5 4 3 4 4 2" xfId="11639"/>
    <cellStyle name="Comma 5 4 3 4 4 3" xfId="21643"/>
    <cellStyle name="Comma 5 4 3 4 5" xfId="6298"/>
    <cellStyle name="Comma 5 4 3 4 5 2" xfId="15125"/>
    <cellStyle name="Comma 5 4 3 4 5 3" xfId="25376"/>
    <cellStyle name="Comma 5 4 3 4 6" xfId="7744"/>
    <cellStyle name="Comma 5 4 3 4 6 2" xfId="20125"/>
    <cellStyle name="Comma 5 4 3 4 7" xfId="16636"/>
    <cellStyle name="Comma 5 4 3 5" xfId="1217"/>
    <cellStyle name="Comma 5 4 3 5 2" xfId="3647"/>
    <cellStyle name="Comma 5 4 3 5 2 2" xfId="12785"/>
    <cellStyle name="Comma 5 4 3 5 2 2 2" xfId="23004"/>
    <cellStyle name="Comma 5 4 3 5 2 3" xfId="9206"/>
    <cellStyle name="Comma 5 4 3 5 2 4" xfId="17997"/>
    <cellStyle name="Comma 5 4 3 5 3" xfId="5310"/>
    <cellStyle name="Comma 5 4 3 5 3 2" xfId="14149"/>
    <cellStyle name="Comma 5 4 3 5 3 2 2" xfId="24400"/>
    <cellStyle name="Comma 5 4 3 5 3 3" xfId="10570"/>
    <cellStyle name="Comma 5 4 3 5 3 4" xfId="19393"/>
    <cellStyle name="Comma 5 4 3 5 4" xfId="1821"/>
    <cellStyle name="Comma 5 4 3 5 4 2" xfId="11191"/>
    <cellStyle name="Comma 5 4 3 5 4 3" xfId="21195"/>
    <cellStyle name="Comma 5 4 3 5 5" xfId="6767"/>
    <cellStyle name="Comma 5 4 3 5 5 2" xfId="15594"/>
    <cellStyle name="Comma 5 4 3 5 5 3" xfId="25845"/>
    <cellStyle name="Comma 5 4 3 5 6" xfId="8213"/>
    <cellStyle name="Comma 5 4 3 5 6 2" xfId="20603"/>
    <cellStyle name="Comma 5 4 3 5 7" xfId="16188"/>
    <cellStyle name="Comma 5 4 3 6" xfId="2715"/>
    <cellStyle name="Comma 5 4 3 6 2" xfId="12034"/>
    <cellStyle name="Comma 5 4 3 6 2 2" xfId="22078"/>
    <cellStyle name="Comma 5 4 3 6 3" xfId="7653"/>
    <cellStyle name="Comma 5 4 3 6 4" xfId="17071"/>
    <cellStyle name="Comma 5 4 3 7" xfId="4266"/>
    <cellStyle name="Comma 5 4 3 7 2" xfId="13106"/>
    <cellStyle name="Comma 5 4 3 7 2 2" xfId="23357"/>
    <cellStyle name="Comma 5 4 3 7 3" xfId="9527"/>
    <cellStyle name="Comma 5 4 3 7 4" xfId="18350"/>
    <cellStyle name="Comma 5 4 3 8" xfId="1538"/>
    <cellStyle name="Comma 5 4 3 8 2" xfId="10917"/>
    <cellStyle name="Comma 5 4 3 8 3" xfId="20921"/>
    <cellStyle name="Comma 5 4 3 9" xfId="5724"/>
    <cellStyle name="Comma 5 4 3 9 2" xfId="14551"/>
    <cellStyle name="Comma 5 4 3 9 3" xfId="24802"/>
    <cellStyle name="Comma 5 4 4" xfId="252"/>
    <cellStyle name="Comma 5 4 4 10" xfId="7093"/>
    <cellStyle name="Comma 5 4 4 10 2" xfId="19707"/>
    <cellStyle name="Comma 5 4 4 11" xfId="15839"/>
    <cellStyle name="Comma 5 4 4 2" xfId="575"/>
    <cellStyle name="Comma 5 4 4 2 2" xfId="679"/>
    <cellStyle name="Comma 5 4 4 2 2 2" xfId="3166"/>
    <cellStyle name="Comma 5 4 4 2 2 2 2" xfId="12311"/>
    <cellStyle name="Comma 5 4 4 2 2 2 2 2" xfId="22529"/>
    <cellStyle name="Comma 5 4 4 2 2 2 3" xfId="8733"/>
    <cellStyle name="Comma 5 4 4 2 2 2 4" xfId="17522"/>
    <cellStyle name="Comma 5 4 4 2 2 3" xfId="4495"/>
    <cellStyle name="Comma 5 4 4 2 2 3 2" xfId="13335"/>
    <cellStyle name="Comma 5 4 4 2 2 3 2 2" xfId="23586"/>
    <cellStyle name="Comma 5 4 4 2 2 3 3" xfId="9756"/>
    <cellStyle name="Comma 5 4 4 2 2 3 4" xfId="18579"/>
    <cellStyle name="Comma 5 4 4 2 2 4" xfId="2275"/>
    <cellStyle name="Comma 5 4 4 2 2 4 2" xfId="11642"/>
    <cellStyle name="Comma 5 4 4 2 2 4 3" xfId="21646"/>
    <cellStyle name="Comma 5 4 4 2 2 5" xfId="5953"/>
    <cellStyle name="Comma 5 4 4 2 2 5 2" xfId="14780"/>
    <cellStyle name="Comma 5 4 4 2 2 5 3" xfId="25031"/>
    <cellStyle name="Comma 5 4 4 2 2 6" xfId="7397"/>
    <cellStyle name="Comma 5 4 4 2 2 6 2" xfId="20128"/>
    <cellStyle name="Comma 5 4 4 2 2 7" xfId="16639"/>
    <cellStyle name="Comma 5 4 4 2 3" xfId="1347"/>
    <cellStyle name="Comma 5 4 4 2 3 2" xfId="3777"/>
    <cellStyle name="Comma 5 4 4 2 3 2 2" xfId="12915"/>
    <cellStyle name="Comma 5 4 4 2 3 2 2 2" xfId="23134"/>
    <cellStyle name="Comma 5 4 4 2 3 2 3" xfId="9336"/>
    <cellStyle name="Comma 5 4 4 2 3 2 4" xfId="18127"/>
    <cellStyle name="Comma 5 4 4 2 3 3" xfId="4844"/>
    <cellStyle name="Comma 5 4 4 2 3 3 2" xfId="13683"/>
    <cellStyle name="Comma 5 4 4 2 3 3 2 2" xfId="23934"/>
    <cellStyle name="Comma 5 4 4 2 3 3 3" xfId="10104"/>
    <cellStyle name="Comma 5 4 4 2 3 3 4" xfId="18927"/>
    <cellStyle name="Comma 5 4 4 2 3 4" xfId="2171"/>
    <cellStyle name="Comma 5 4 4 2 3 4 2" xfId="11538"/>
    <cellStyle name="Comma 5 4 4 2 3 4 3" xfId="21542"/>
    <cellStyle name="Comma 5 4 4 2 3 5" xfId="6301"/>
    <cellStyle name="Comma 5 4 4 2 3 5 2" xfId="15128"/>
    <cellStyle name="Comma 5 4 4 2 3 5 3" xfId="25379"/>
    <cellStyle name="Comma 5 4 4 2 3 6" xfId="7747"/>
    <cellStyle name="Comma 5 4 4 2 3 6 2" xfId="20733"/>
    <cellStyle name="Comma 5 4 4 2 3 7" xfId="16535"/>
    <cellStyle name="Comma 5 4 4 2 4" xfId="3062"/>
    <cellStyle name="Comma 5 4 4 2 4 2" xfId="5440"/>
    <cellStyle name="Comma 5 4 4 2 4 2 2" xfId="14279"/>
    <cellStyle name="Comma 5 4 4 2 4 2 2 2" xfId="24530"/>
    <cellStyle name="Comma 5 4 4 2 4 2 3" xfId="10700"/>
    <cellStyle name="Comma 5 4 4 2 4 2 4" xfId="19523"/>
    <cellStyle name="Comma 5 4 4 2 4 3" xfId="6897"/>
    <cellStyle name="Comma 5 4 4 2 4 3 2" xfId="15724"/>
    <cellStyle name="Comma 5 4 4 2 4 3 3" xfId="25975"/>
    <cellStyle name="Comma 5 4 4 2 4 4" xfId="8343"/>
    <cellStyle name="Comma 5 4 4 2 4 4 2" xfId="22425"/>
    <cellStyle name="Comma 5 4 4 2 4 5" xfId="17418"/>
    <cellStyle name="Comma 5 4 4 2 5" xfId="4396"/>
    <cellStyle name="Comma 5 4 4 2 5 2" xfId="13236"/>
    <cellStyle name="Comma 5 4 4 2 5 2 2" xfId="23487"/>
    <cellStyle name="Comma 5 4 4 2 5 3" xfId="9657"/>
    <cellStyle name="Comma 5 4 4 2 5 4" xfId="18480"/>
    <cellStyle name="Comma 5 4 4 2 6" xfId="1668"/>
    <cellStyle name="Comma 5 4 4 2 6 2" xfId="11047"/>
    <cellStyle name="Comma 5 4 4 2 6 3" xfId="21051"/>
    <cellStyle name="Comma 5 4 4 2 7" xfId="5854"/>
    <cellStyle name="Comma 5 4 4 2 7 2" xfId="14681"/>
    <cellStyle name="Comma 5 4 4 2 7 3" xfId="24932"/>
    <cellStyle name="Comma 5 4 4 2 8" xfId="7298"/>
    <cellStyle name="Comma 5 4 4 2 8 2" xfId="20024"/>
    <cellStyle name="Comma 5 4 4 2 9" xfId="16044"/>
    <cellStyle name="Comma 5 4 4 3" xfId="370"/>
    <cellStyle name="Comma 5 4 4 3 2" xfId="2857"/>
    <cellStyle name="Comma 5 4 4 3 2 2" xfId="12147"/>
    <cellStyle name="Comma 5 4 4 3 2 2 2" xfId="22220"/>
    <cellStyle name="Comma 5 4 4 3 2 3" xfId="8528"/>
    <cellStyle name="Comma 5 4 4 3 2 4" xfId="17213"/>
    <cellStyle name="Comma 5 4 4 3 3" xfId="4494"/>
    <cellStyle name="Comma 5 4 4 3 3 2" xfId="13334"/>
    <cellStyle name="Comma 5 4 4 3 3 2 2" xfId="23585"/>
    <cellStyle name="Comma 5 4 4 3 3 3" xfId="9755"/>
    <cellStyle name="Comma 5 4 4 3 3 4" xfId="18578"/>
    <cellStyle name="Comma 5 4 4 3 4" xfId="1966"/>
    <cellStyle name="Comma 5 4 4 3 4 2" xfId="11333"/>
    <cellStyle name="Comma 5 4 4 3 4 3" xfId="21337"/>
    <cellStyle name="Comma 5 4 4 3 5" xfId="5952"/>
    <cellStyle name="Comma 5 4 4 3 5 2" xfId="14779"/>
    <cellStyle name="Comma 5 4 4 3 5 3" xfId="25030"/>
    <cellStyle name="Comma 5 4 4 3 6" xfId="7396"/>
    <cellStyle name="Comma 5 4 4 3 6 2" xfId="19819"/>
    <cellStyle name="Comma 5 4 4 3 7" xfId="16330"/>
    <cellStyle name="Comma 5 4 4 4" xfId="678"/>
    <cellStyle name="Comma 5 4 4 4 2" xfId="3165"/>
    <cellStyle name="Comma 5 4 4 4 2 2" xfId="12310"/>
    <cellStyle name="Comma 5 4 4 4 2 2 2" xfId="22528"/>
    <cellStyle name="Comma 5 4 4 4 2 3" xfId="8732"/>
    <cellStyle name="Comma 5 4 4 4 2 4" xfId="17521"/>
    <cellStyle name="Comma 5 4 4 4 3" xfId="4843"/>
    <cellStyle name="Comma 5 4 4 4 3 2" xfId="13682"/>
    <cellStyle name="Comma 5 4 4 4 3 2 2" xfId="23933"/>
    <cellStyle name="Comma 5 4 4 4 3 3" xfId="10103"/>
    <cellStyle name="Comma 5 4 4 4 3 4" xfId="18926"/>
    <cellStyle name="Comma 5 4 4 4 4" xfId="2274"/>
    <cellStyle name="Comma 5 4 4 4 4 2" xfId="11641"/>
    <cellStyle name="Comma 5 4 4 4 4 3" xfId="21645"/>
    <cellStyle name="Comma 5 4 4 4 5" xfId="6300"/>
    <cellStyle name="Comma 5 4 4 4 5 2" xfId="15127"/>
    <cellStyle name="Comma 5 4 4 4 5 3" xfId="25378"/>
    <cellStyle name="Comma 5 4 4 4 6" xfId="7746"/>
    <cellStyle name="Comma 5 4 4 4 6 2" xfId="20127"/>
    <cellStyle name="Comma 5 4 4 4 7" xfId="16638"/>
    <cellStyle name="Comma 5 4 4 5" xfId="1142"/>
    <cellStyle name="Comma 5 4 4 5 2" xfId="3572"/>
    <cellStyle name="Comma 5 4 4 5 2 2" xfId="12710"/>
    <cellStyle name="Comma 5 4 4 5 2 2 2" xfId="22929"/>
    <cellStyle name="Comma 5 4 4 5 2 3" xfId="9131"/>
    <cellStyle name="Comma 5 4 4 5 2 4" xfId="17922"/>
    <cellStyle name="Comma 5 4 4 5 3" xfId="5235"/>
    <cellStyle name="Comma 5 4 4 5 3 2" xfId="14074"/>
    <cellStyle name="Comma 5 4 4 5 3 2 2" xfId="24325"/>
    <cellStyle name="Comma 5 4 4 5 3 3" xfId="10495"/>
    <cellStyle name="Comma 5 4 4 5 3 4" xfId="19318"/>
    <cellStyle name="Comma 5 4 4 5 4" xfId="1851"/>
    <cellStyle name="Comma 5 4 4 5 4 2" xfId="11221"/>
    <cellStyle name="Comma 5 4 4 5 4 3" xfId="21225"/>
    <cellStyle name="Comma 5 4 4 5 5" xfId="6692"/>
    <cellStyle name="Comma 5 4 4 5 5 2" xfId="15519"/>
    <cellStyle name="Comma 5 4 4 5 5 3" xfId="25770"/>
    <cellStyle name="Comma 5 4 4 5 6" xfId="8138"/>
    <cellStyle name="Comma 5 4 4 5 6 2" xfId="20528"/>
    <cellStyle name="Comma 5 4 4 5 7" xfId="16218"/>
    <cellStyle name="Comma 5 4 4 6" xfId="2745"/>
    <cellStyle name="Comma 5 4 4 6 2" xfId="12064"/>
    <cellStyle name="Comma 5 4 4 6 2 2" xfId="22108"/>
    <cellStyle name="Comma 5 4 4 6 3" xfId="8553"/>
    <cellStyle name="Comma 5 4 4 6 4" xfId="17101"/>
    <cellStyle name="Comma 5 4 4 7" xfId="4191"/>
    <cellStyle name="Comma 5 4 4 7 2" xfId="13031"/>
    <cellStyle name="Comma 5 4 4 7 2 2" xfId="23282"/>
    <cellStyle name="Comma 5 4 4 7 3" xfId="9452"/>
    <cellStyle name="Comma 5 4 4 7 4" xfId="18275"/>
    <cellStyle name="Comma 5 4 4 8" xfId="1463"/>
    <cellStyle name="Comma 5 4 4 8 2" xfId="10842"/>
    <cellStyle name="Comma 5 4 4 8 3" xfId="20846"/>
    <cellStyle name="Comma 5 4 4 9" xfId="5649"/>
    <cellStyle name="Comma 5 4 4 9 2" xfId="14476"/>
    <cellStyle name="Comma 5 4 4 9 3" xfId="24727"/>
    <cellStyle name="Comma 5 4 5" xfId="470"/>
    <cellStyle name="Comma 5 4 5 2" xfId="680"/>
    <cellStyle name="Comma 5 4 5 2 2" xfId="3167"/>
    <cellStyle name="Comma 5 4 5 2 2 2" xfId="12312"/>
    <cellStyle name="Comma 5 4 5 2 2 2 2" xfId="22530"/>
    <cellStyle name="Comma 5 4 5 2 2 3" xfId="8734"/>
    <cellStyle name="Comma 5 4 5 2 2 4" xfId="17523"/>
    <cellStyle name="Comma 5 4 5 2 3" xfId="4496"/>
    <cellStyle name="Comma 5 4 5 2 3 2" xfId="13336"/>
    <cellStyle name="Comma 5 4 5 2 3 2 2" xfId="23587"/>
    <cellStyle name="Comma 5 4 5 2 3 3" xfId="9757"/>
    <cellStyle name="Comma 5 4 5 2 3 4" xfId="18580"/>
    <cellStyle name="Comma 5 4 5 2 4" xfId="2276"/>
    <cellStyle name="Comma 5 4 5 2 4 2" xfId="11643"/>
    <cellStyle name="Comma 5 4 5 2 4 3" xfId="21647"/>
    <cellStyle name="Comma 5 4 5 2 5" xfId="5954"/>
    <cellStyle name="Comma 5 4 5 2 5 2" xfId="14781"/>
    <cellStyle name="Comma 5 4 5 2 5 3" xfId="25032"/>
    <cellStyle name="Comma 5 4 5 2 6" xfId="7398"/>
    <cellStyle name="Comma 5 4 5 2 6 2" xfId="20129"/>
    <cellStyle name="Comma 5 4 5 2 7" xfId="16640"/>
    <cellStyle name="Comma 5 4 5 3" xfId="1242"/>
    <cellStyle name="Comma 5 4 5 3 2" xfId="3672"/>
    <cellStyle name="Comma 5 4 5 3 2 2" xfId="12810"/>
    <cellStyle name="Comma 5 4 5 3 2 2 2" xfId="23029"/>
    <cellStyle name="Comma 5 4 5 3 2 3" xfId="9231"/>
    <cellStyle name="Comma 5 4 5 3 2 4" xfId="18022"/>
    <cellStyle name="Comma 5 4 5 3 3" xfId="4845"/>
    <cellStyle name="Comma 5 4 5 3 3 2" xfId="13684"/>
    <cellStyle name="Comma 5 4 5 3 3 2 2" xfId="23935"/>
    <cellStyle name="Comma 5 4 5 3 3 3" xfId="10105"/>
    <cellStyle name="Comma 5 4 5 3 3 4" xfId="18928"/>
    <cellStyle name="Comma 5 4 5 3 4" xfId="2066"/>
    <cellStyle name="Comma 5 4 5 3 4 2" xfId="11433"/>
    <cellStyle name="Comma 5 4 5 3 4 3" xfId="21437"/>
    <cellStyle name="Comma 5 4 5 3 5" xfId="6302"/>
    <cellStyle name="Comma 5 4 5 3 5 2" xfId="15129"/>
    <cellStyle name="Comma 5 4 5 3 5 3" xfId="25380"/>
    <cellStyle name="Comma 5 4 5 3 6" xfId="7748"/>
    <cellStyle name="Comma 5 4 5 3 6 2" xfId="20628"/>
    <cellStyle name="Comma 5 4 5 3 7" xfId="16430"/>
    <cellStyle name="Comma 5 4 5 4" xfId="2957"/>
    <cellStyle name="Comma 5 4 5 4 2" xfId="5335"/>
    <cellStyle name="Comma 5 4 5 4 2 2" xfId="14174"/>
    <cellStyle name="Comma 5 4 5 4 2 2 2" xfId="24425"/>
    <cellStyle name="Comma 5 4 5 4 2 3" xfId="10595"/>
    <cellStyle name="Comma 5 4 5 4 2 4" xfId="19418"/>
    <cellStyle name="Comma 5 4 5 4 3" xfId="6792"/>
    <cellStyle name="Comma 5 4 5 4 3 2" xfId="15619"/>
    <cellStyle name="Comma 5 4 5 4 3 3" xfId="25870"/>
    <cellStyle name="Comma 5 4 5 4 4" xfId="8238"/>
    <cellStyle name="Comma 5 4 5 4 4 2" xfId="22320"/>
    <cellStyle name="Comma 5 4 5 4 5" xfId="17313"/>
    <cellStyle name="Comma 5 4 5 5" xfId="4291"/>
    <cellStyle name="Comma 5 4 5 5 2" xfId="13131"/>
    <cellStyle name="Comma 5 4 5 5 2 2" xfId="23382"/>
    <cellStyle name="Comma 5 4 5 5 3" xfId="9552"/>
    <cellStyle name="Comma 5 4 5 5 4" xfId="18375"/>
    <cellStyle name="Comma 5 4 5 6" xfId="1563"/>
    <cellStyle name="Comma 5 4 5 6 2" xfId="10942"/>
    <cellStyle name="Comma 5 4 5 6 3" xfId="20946"/>
    <cellStyle name="Comma 5 4 5 7" xfId="5749"/>
    <cellStyle name="Comma 5 4 5 7 2" xfId="14576"/>
    <cellStyle name="Comma 5 4 5 7 3" xfId="24827"/>
    <cellStyle name="Comma 5 4 5 8" xfId="7193"/>
    <cellStyle name="Comma 5 4 5 8 2" xfId="19919"/>
    <cellStyle name="Comma 5 4 5 9" xfId="15939"/>
    <cellStyle name="Comma 5 4 6" xfId="345"/>
    <cellStyle name="Comma 5 4 6 2" xfId="681"/>
    <cellStyle name="Comma 5 4 6 2 2" xfId="3168"/>
    <cellStyle name="Comma 5 4 6 2 2 2" xfId="12313"/>
    <cellStyle name="Comma 5 4 6 2 2 2 2" xfId="22531"/>
    <cellStyle name="Comma 5 4 6 2 2 3" xfId="8735"/>
    <cellStyle name="Comma 5 4 6 2 2 4" xfId="17524"/>
    <cellStyle name="Comma 5 4 6 2 3" xfId="4497"/>
    <cellStyle name="Comma 5 4 6 2 3 2" xfId="13337"/>
    <cellStyle name="Comma 5 4 6 2 3 2 2" xfId="23588"/>
    <cellStyle name="Comma 5 4 6 2 3 3" xfId="9758"/>
    <cellStyle name="Comma 5 4 6 2 3 4" xfId="18581"/>
    <cellStyle name="Comma 5 4 6 2 4" xfId="2277"/>
    <cellStyle name="Comma 5 4 6 2 4 2" xfId="11644"/>
    <cellStyle name="Comma 5 4 6 2 4 3" xfId="21648"/>
    <cellStyle name="Comma 5 4 6 2 5" xfId="5955"/>
    <cellStyle name="Comma 5 4 6 2 5 2" xfId="14782"/>
    <cellStyle name="Comma 5 4 6 2 5 3" xfId="25033"/>
    <cellStyle name="Comma 5 4 6 2 6" xfId="7399"/>
    <cellStyle name="Comma 5 4 6 2 6 2" xfId="20130"/>
    <cellStyle name="Comma 5 4 6 2 7" xfId="16641"/>
    <cellStyle name="Comma 5 4 6 3" xfId="1117"/>
    <cellStyle name="Comma 5 4 6 3 2" xfId="3547"/>
    <cellStyle name="Comma 5 4 6 3 2 2" xfId="12685"/>
    <cellStyle name="Comma 5 4 6 3 2 2 2" xfId="22904"/>
    <cellStyle name="Comma 5 4 6 3 2 3" xfId="9106"/>
    <cellStyle name="Comma 5 4 6 3 2 4" xfId="17897"/>
    <cellStyle name="Comma 5 4 6 3 3" xfId="4846"/>
    <cellStyle name="Comma 5 4 6 3 3 2" xfId="13685"/>
    <cellStyle name="Comma 5 4 6 3 3 2 2" xfId="23936"/>
    <cellStyle name="Comma 5 4 6 3 3 3" xfId="10106"/>
    <cellStyle name="Comma 5 4 6 3 3 4" xfId="18929"/>
    <cellStyle name="Comma 5 4 6 3 4" xfId="2581"/>
    <cellStyle name="Comma 5 4 6 3 4 2" xfId="11947"/>
    <cellStyle name="Comma 5 4 6 3 4 3" xfId="21951"/>
    <cellStyle name="Comma 5 4 6 3 5" xfId="6303"/>
    <cellStyle name="Comma 5 4 6 3 5 2" xfId="15130"/>
    <cellStyle name="Comma 5 4 6 3 5 3" xfId="25381"/>
    <cellStyle name="Comma 5 4 6 3 6" xfId="7749"/>
    <cellStyle name="Comma 5 4 6 3 6 2" xfId="20503"/>
    <cellStyle name="Comma 5 4 6 3 7" xfId="16944"/>
    <cellStyle name="Comma 5 4 6 4" xfId="2832"/>
    <cellStyle name="Comma 5 4 6 4 2" xfId="5210"/>
    <cellStyle name="Comma 5 4 6 4 2 2" xfId="14049"/>
    <cellStyle name="Comma 5 4 6 4 2 2 2" xfId="24300"/>
    <cellStyle name="Comma 5 4 6 4 2 3" xfId="10470"/>
    <cellStyle name="Comma 5 4 6 4 2 4" xfId="19293"/>
    <cellStyle name="Comma 5 4 6 4 3" xfId="6667"/>
    <cellStyle name="Comma 5 4 6 4 3 2" xfId="15494"/>
    <cellStyle name="Comma 5 4 6 4 3 3" xfId="25745"/>
    <cellStyle name="Comma 5 4 6 4 4" xfId="8113"/>
    <cellStyle name="Comma 5 4 6 4 4 2" xfId="22195"/>
    <cellStyle name="Comma 5 4 6 4 5" xfId="17188"/>
    <cellStyle name="Comma 5 4 6 5" xfId="4164"/>
    <cellStyle name="Comma 5 4 6 5 2" xfId="13004"/>
    <cellStyle name="Comma 5 4 6 5 2 2" xfId="23255"/>
    <cellStyle name="Comma 5 4 6 5 3" xfId="9425"/>
    <cellStyle name="Comma 5 4 6 5 4" xfId="18248"/>
    <cellStyle name="Comma 5 4 6 6" xfId="1941"/>
    <cellStyle name="Comma 5 4 6 6 2" xfId="11308"/>
    <cellStyle name="Comma 5 4 6 6 3" xfId="21312"/>
    <cellStyle name="Comma 5 4 6 7" xfId="5624"/>
    <cellStyle name="Comma 5 4 6 7 2" xfId="14451"/>
    <cellStyle name="Comma 5 4 6 7 3" xfId="24702"/>
    <cellStyle name="Comma 5 4 6 8" xfId="7068"/>
    <cellStyle name="Comma 5 4 6 8 2" xfId="19794"/>
    <cellStyle name="Comma 5 4 6 9" xfId="16305"/>
    <cellStyle name="Comma 5 4 7" xfId="672"/>
    <cellStyle name="Comma 5 4 7 2" xfId="3159"/>
    <cellStyle name="Comma 5 4 7 2 2" xfId="12304"/>
    <cellStyle name="Comma 5 4 7 2 2 2" xfId="22522"/>
    <cellStyle name="Comma 5 4 7 2 3" xfId="8726"/>
    <cellStyle name="Comma 5 4 7 2 4" xfId="17515"/>
    <cellStyle name="Comma 5 4 7 3" xfId="4488"/>
    <cellStyle name="Comma 5 4 7 3 2" xfId="13328"/>
    <cellStyle name="Comma 5 4 7 3 2 2" xfId="23579"/>
    <cellStyle name="Comma 5 4 7 3 3" xfId="9749"/>
    <cellStyle name="Comma 5 4 7 3 4" xfId="18572"/>
    <cellStyle name="Comma 5 4 7 4" xfId="2268"/>
    <cellStyle name="Comma 5 4 7 4 2" xfId="11635"/>
    <cellStyle name="Comma 5 4 7 4 3" xfId="21639"/>
    <cellStyle name="Comma 5 4 7 5" xfId="5946"/>
    <cellStyle name="Comma 5 4 7 5 2" xfId="14773"/>
    <cellStyle name="Comma 5 4 7 5 3" xfId="25024"/>
    <cellStyle name="Comma 5 4 7 6" xfId="7390"/>
    <cellStyle name="Comma 5 4 7 6 2" xfId="20121"/>
    <cellStyle name="Comma 5 4 7 7" xfId="16632"/>
    <cellStyle name="Comma 5 4 8" xfId="1072"/>
    <cellStyle name="Comma 5 4 8 2" xfId="3502"/>
    <cellStyle name="Comma 5 4 8 2 2" xfId="12640"/>
    <cellStyle name="Comma 5 4 8 2 2 2" xfId="22859"/>
    <cellStyle name="Comma 5 4 8 2 3" xfId="9062"/>
    <cellStyle name="Comma 5 4 8 2 4" xfId="17852"/>
    <cellStyle name="Comma 5 4 8 3" xfId="4837"/>
    <cellStyle name="Comma 5 4 8 3 2" xfId="13676"/>
    <cellStyle name="Comma 5 4 8 3 2 2" xfId="23927"/>
    <cellStyle name="Comma 5 4 8 3 3" xfId="10097"/>
    <cellStyle name="Comma 5 4 8 3 4" xfId="18920"/>
    <cellStyle name="Comma 5 4 8 4" xfId="1739"/>
    <cellStyle name="Comma 5 4 8 4 2" xfId="11115"/>
    <cellStyle name="Comma 5 4 8 4 3" xfId="21119"/>
    <cellStyle name="Comma 5 4 8 5" xfId="6294"/>
    <cellStyle name="Comma 5 4 8 5 2" xfId="15121"/>
    <cellStyle name="Comma 5 4 8 5 3" xfId="25372"/>
    <cellStyle name="Comma 5 4 8 6" xfId="7740"/>
    <cellStyle name="Comma 5 4 8 6 2" xfId="20458"/>
    <cellStyle name="Comma 5 4 8 7" xfId="16112"/>
    <cellStyle name="Comma 5 4 9" xfId="2639"/>
    <cellStyle name="Comma 5 4 9 2" xfId="5165"/>
    <cellStyle name="Comma 5 4 9 2 2" xfId="14004"/>
    <cellStyle name="Comma 5 4 9 2 2 2" xfId="24255"/>
    <cellStyle name="Comma 5 4 9 2 3" xfId="10425"/>
    <cellStyle name="Comma 5 4 9 2 4" xfId="19248"/>
    <cellStyle name="Comma 5 4 9 3" xfId="6622"/>
    <cellStyle name="Comma 5 4 9 3 2" xfId="15449"/>
    <cellStyle name="Comma 5 4 9 3 3" xfId="25700"/>
    <cellStyle name="Comma 5 4 9 4" xfId="8068"/>
    <cellStyle name="Comma 5 4 9 4 2" xfId="22003"/>
    <cellStyle name="Comma 5 4 9 5" xfId="16996"/>
    <cellStyle name="Comma 5 5" xfId="147"/>
    <cellStyle name="Comma 5 5 10" xfId="1416"/>
    <cellStyle name="Comma 5 5 10 2" xfId="10795"/>
    <cellStyle name="Comma 5 5 10 3" xfId="20799"/>
    <cellStyle name="Comma 5 5 11" xfId="5527"/>
    <cellStyle name="Comma 5 5 11 2" xfId="14356"/>
    <cellStyle name="Comma 5 5 11 3" xfId="24607"/>
    <cellStyle name="Comma 5 5 12" xfId="6969"/>
    <cellStyle name="Comma 5 5 12 2" xfId="19614"/>
    <cellStyle name="Comma 5 5 13" xfId="15792"/>
    <cellStyle name="Comma 5 5 2" xfId="197"/>
    <cellStyle name="Comma 5 5 2 10" xfId="7148"/>
    <cellStyle name="Comma 5 5 2 10 2" xfId="19657"/>
    <cellStyle name="Comma 5 5 2 11" xfId="15894"/>
    <cellStyle name="Comma 5 5 2 2" xfId="525"/>
    <cellStyle name="Comma 5 5 2 2 2" xfId="684"/>
    <cellStyle name="Comma 5 5 2 2 2 2" xfId="3171"/>
    <cellStyle name="Comma 5 5 2 2 2 2 2" xfId="12316"/>
    <cellStyle name="Comma 5 5 2 2 2 2 2 2" xfId="22534"/>
    <cellStyle name="Comma 5 5 2 2 2 2 3" xfId="8738"/>
    <cellStyle name="Comma 5 5 2 2 2 2 4" xfId="17527"/>
    <cellStyle name="Comma 5 5 2 2 2 3" xfId="4500"/>
    <cellStyle name="Comma 5 5 2 2 2 3 2" xfId="13340"/>
    <cellStyle name="Comma 5 5 2 2 2 3 2 2" xfId="23591"/>
    <cellStyle name="Comma 5 5 2 2 2 3 3" xfId="9761"/>
    <cellStyle name="Comma 5 5 2 2 2 3 4" xfId="18584"/>
    <cellStyle name="Comma 5 5 2 2 2 4" xfId="2280"/>
    <cellStyle name="Comma 5 5 2 2 2 4 2" xfId="11647"/>
    <cellStyle name="Comma 5 5 2 2 2 4 3" xfId="21651"/>
    <cellStyle name="Comma 5 5 2 2 2 5" xfId="5958"/>
    <cellStyle name="Comma 5 5 2 2 2 5 2" xfId="14785"/>
    <cellStyle name="Comma 5 5 2 2 2 5 3" xfId="25036"/>
    <cellStyle name="Comma 5 5 2 2 2 6" xfId="7402"/>
    <cellStyle name="Comma 5 5 2 2 2 6 2" xfId="20133"/>
    <cellStyle name="Comma 5 5 2 2 2 7" xfId="16644"/>
    <cellStyle name="Comma 5 5 2 2 3" xfId="1297"/>
    <cellStyle name="Comma 5 5 2 2 3 2" xfId="3727"/>
    <cellStyle name="Comma 5 5 2 2 3 2 2" xfId="12865"/>
    <cellStyle name="Comma 5 5 2 2 3 2 2 2" xfId="23084"/>
    <cellStyle name="Comma 5 5 2 2 3 2 3" xfId="9286"/>
    <cellStyle name="Comma 5 5 2 2 3 2 4" xfId="18077"/>
    <cellStyle name="Comma 5 5 2 2 3 3" xfId="4849"/>
    <cellStyle name="Comma 5 5 2 2 3 3 2" xfId="13688"/>
    <cellStyle name="Comma 5 5 2 2 3 3 2 2" xfId="23939"/>
    <cellStyle name="Comma 5 5 2 2 3 3 3" xfId="10109"/>
    <cellStyle name="Comma 5 5 2 2 3 3 4" xfId="18932"/>
    <cellStyle name="Comma 5 5 2 2 3 4" xfId="2121"/>
    <cellStyle name="Comma 5 5 2 2 3 4 2" xfId="11488"/>
    <cellStyle name="Comma 5 5 2 2 3 4 3" xfId="21492"/>
    <cellStyle name="Comma 5 5 2 2 3 5" xfId="6306"/>
    <cellStyle name="Comma 5 5 2 2 3 5 2" xfId="15133"/>
    <cellStyle name="Comma 5 5 2 2 3 5 3" xfId="25384"/>
    <cellStyle name="Comma 5 5 2 2 3 6" xfId="7752"/>
    <cellStyle name="Comma 5 5 2 2 3 6 2" xfId="20683"/>
    <cellStyle name="Comma 5 5 2 2 3 7" xfId="16485"/>
    <cellStyle name="Comma 5 5 2 2 4" xfId="3012"/>
    <cellStyle name="Comma 5 5 2 2 4 2" xfId="5390"/>
    <cellStyle name="Comma 5 5 2 2 4 2 2" xfId="14229"/>
    <cellStyle name="Comma 5 5 2 2 4 2 2 2" xfId="24480"/>
    <cellStyle name="Comma 5 5 2 2 4 2 3" xfId="10650"/>
    <cellStyle name="Comma 5 5 2 2 4 2 4" xfId="19473"/>
    <cellStyle name="Comma 5 5 2 2 4 3" xfId="6847"/>
    <cellStyle name="Comma 5 5 2 2 4 3 2" xfId="15674"/>
    <cellStyle name="Comma 5 5 2 2 4 3 3" xfId="25925"/>
    <cellStyle name="Comma 5 5 2 2 4 4" xfId="8293"/>
    <cellStyle name="Comma 5 5 2 2 4 4 2" xfId="22375"/>
    <cellStyle name="Comma 5 5 2 2 4 5" xfId="17368"/>
    <cellStyle name="Comma 5 5 2 2 5" xfId="4346"/>
    <cellStyle name="Comma 5 5 2 2 5 2" xfId="13186"/>
    <cellStyle name="Comma 5 5 2 2 5 2 2" xfId="23437"/>
    <cellStyle name="Comma 5 5 2 2 5 3" xfId="9607"/>
    <cellStyle name="Comma 5 5 2 2 5 4" xfId="18430"/>
    <cellStyle name="Comma 5 5 2 2 6" xfId="1618"/>
    <cellStyle name="Comma 5 5 2 2 6 2" xfId="10997"/>
    <cellStyle name="Comma 5 5 2 2 6 3" xfId="21001"/>
    <cellStyle name="Comma 5 5 2 2 7" xfId="5804"/>
    <cellStyle name="Comma 5 5 2 2 7 2" xfId="14631"/>
    <cellStyle name="Comma 5 5 2 2 7 3" xfId="24882"/>
    <cellStyle name="Comma 5 5 2 2 8" xfId="7248"/>
    <cellStyle name="Comma 5 5 2 2 8 2" xfId="19974"/>
    <cellStyle name="Comma 5 5 2 2 9" xfId="15994"/>
    <cellStyle name="Comma 5 5 2 3" xfId="425"/>
    <cellStyle name="Comma 5 5 2 3 2" xfId="2912"/>
    <cellStyle name="Comma 5 5 2 3 2 2" xfId="12202"/>
    <cellStyle name="Comma 5 5 2 3 2 2 2" xfId="22275"/>
    <cellStyle name="Comma 5 5 2 3 2 3" xfId="8642"/>
    <cellStyle name="Comma 5 5 2 3 2 4" xfId="17268"/>
    <cellStyle name="Comma 5 5 2 3 3" xfId="4499"/>
    <cellStyle name="Comma 5 5 2 3 3 2" xfId="13339"/>
    <cellStyle name="Comma 5 5 2 3 3 2 2" xfId="23590"/>
    <cellStyle name="Comma 5 5 2 3 3 3" xfId="9760"/>
    <cellStyle name="Comma 5 5 2 3 3 4" xfId="18583"/>
    <cellStyle name="Comma 5 5 2 3 4" xfId="2021"/>
    <cellStyle name="Comma 5 5 2 3 4 2" xfId="11388"/>
    <cellStyle name="Comma 5 5 2 3 4 3" xfId="21392"/>
    <cellStyle name="Comma 5 5 2 3 5" xfId="5957"/>
    <cellStyle name="Comma 5 5 2 3 5 2" xfId="14784"/>
    <cellStyle name="Comma 5 5 2 3 5 3" xfId="25035"/>
    <cellStyle name="Comma 5 5 2 3 6" xfId="7401"/>
    <cellStyle name="Comma 5 5 2 3 6 2" xfId="19874"/>
    <cellStyle name="Comma 5 5 2 3 7" xfId="16385"/>
    <cellStyle name="Comma 5 5 2 4" xfId="683"/>
    <cellStyle name="Comma 5 5 2 4 2" xfId="3170"/>
    <cellStyle name="Comma 5 5 2 4 2 2" xfId="12315"/>
    <cellStyle name="Comma 5 5 2 4 2 2 2" xfId="22533"/>
    <cellStyle name="Comma 5 5 2 4 2 3" xfId="8737"/>
    <cellStyle name="Comma 5 5 2 4 2 4" xfId="17526"/>
    <cellStyle name="Comma 5 5 2 4 3" xfId="4848"/>
    <cellStyle name="Comma 5 5 2 4 3 2" xfId="13687"/>
    <cellStyle name="Comma 5 5 2 4 3 2 2" xfId="23938"/>
    <cellStyle name="Comma 5 5 2 4 3 3" xfId="10108"/>
    <cellStyle name="Comma 5 5 2 4 3 4" xfId="18931"/>
    <cellStyle name="Comma 5 5 2 4 4" xfId="2279"/>
    <cellStyle name="Comma 5 5 2 4 4 2" xfId="11646"/>
    <cellStyle name="Comma 5 5 2 4 4 3" xfId="21650"/>
    <cellStyle name="Comma 5 5 2 4 5" xfId="6305"/>
    <cellStyle name="Comma 5 5 2 4 5 2" xfId="15132"/>
    <cellStyle name="Comma 5 5 2 4 5 3" xfId="25383"/>
    <cellStyle name="Comma 5 5 2 4 6" xfId="7751"/>
    <cellStyle name="Comma 5 5 2 4 6 2" xfId="20132"/>
    <cellStyle name="Comma 5 5 2 4 7" xfId="16643"/>
    <cellStyle name="Comma 5 5 2 5" xfId="1197"/>
    <cellStyle name="Comma 5 5 2 5 2" xfId="3627"/>
    <cellStyle name="Comma 5 5 2 5 2 2" xfId="12765"/>
    <cellStyle name="Comma 5 5 2 5 2 2 2" xfId="22984"/>
    <cellStyle name="Comma 5 5 2 5 2 3" xfId="9186"/>
    <cellStyle name="Comma 5 5 2 5 2 4" xfId="17977"/>
    <cellStyle name="Comma 5 5 2 5 3" xfId="5290"/>
    <cellStyle name="Comma 5 5 2 5 3 2" xfId="14129"/>
    <cellStyle name="Comma 5 5 2 5 3 2 2" xfId="24380"/>
    <cellStyle name="Comma 5 5 2 5 3 3" xfId="10550"/>
    <cellStyle name="Comma 5 5 2 5 3 4" xfId="19373"/>
    <cellStyle name="Comma 5 5 2 5 4" xfId="1800"/>
    <cellStyle name="Comma 5 5 2 5 4 2" xfId="11171"/>
    <cellStyle name="Comma 5 5 2 5 4 3" xfId="21175"/>
    <cellStyle name="Comma 5 5 2 5 5" xfId="6747"/>
    <cellStyle name="Comma 5 5 2 5 5 2" xfId="15574"/>
    <cellStyle name="Comma 5 5 2 5 5 3" xfId="25825"/>
    <cellStyle name="Comma 5 5 2 5 6" xfId="8193"/>
    <cellStyle name="Comma 5 5 2 5 6 2" xfId="20583"/>
    <cellStyle name="Comma 5 5 2 5 7" xfId="16168"/>
    <cellStyle name="Comma 5 5 2 6" xfId="2695"/>
    <cellStyle name="Comma 5 5 2 6 2" xfId="12014"/>
    <cellStyle name="Comma 5 5 2 6 2 2" xfId="22058"/>
    <cellStyle name="Comma 5 5 2 6 3" xfId="8506"/>
    <cellStyle name="Comma 5 5 2 6 4" xfId="17051"/>
    <cellStyle name="Comma 5 5 2 7" xfId="4246"/>
    <cellStyle name="Comma 5 5 2 7 2" xfId="13086"/>
    <cellStyle name="Comma 5 5 2 7 2 2" xfId="23337"/>
    <cellStyle name="Comma 5 5 2 7 3" xfId="9507"/>
    <cellStyle name="Comma 5 5 2 7 4" xfId="18330"/>
    <cellStyle name="Comma 5 5 2 8" xfId="1518"/>
    <cellStyle name="Comma 5 5 2 8 2" xfId="10897"/>
    <cellStyle name="Comma 5 5 2 8 3" xfId="20901"/>
    <cellStyle name="Comma 5 5 2 9" xfId="5704"/>
    <cellStyle name="Comma 5 5 2 9 2" xfId="14531"/>
    <cellStyle name="Comma 5 5 2 9 3" xfId="24782"/>
    <cellStyle name="Comma 5 5 3" xfId="264"/>
    <cellStyle name="Comma 5 5 3 10" xfId="7105"/>
    <cellStyle name="Comma 5 5 3 10 2" xfId="19719"/>
    <cellStyle name="Comma 5 5 3 11" xfId="15851"/>
    <cellStyle name="Comma 5 5 3 2" xfId="587"/>
    <cellStyle name="Comma 5 5 3 2 2" xfId="686"/>
    <cellStyle name="Comma 5 5 3 2 2 2" xfId="3173"/>
    <cellStyle name="Comma 5 5 3 2 2 2 2" xfId="12318"/>
    <cellStyle name="Comma 5 5 3 2 2 2 2 2" xfId="22536"/>
    <cellStyle name="Comma 5 5 3 2 2 2 3" xfId="8740"/>
    <cellStyle name="Comma 5 5 3 2 2 2 4" xfId="17529"/>
    <cellStyle name="Comma 5 5 3 2 2 3" xfId="4502"/>
    <cellStyle name="Comma 5 5 3 2 2 3 2" xfId="13342"/>
    <cellStyle name="Comma 5 5 3 2 2 3 2 2" xfId="23593"/>
    <cellStyle name="Comma 5 5 3 2 2 3 3" xfId="9763"/>
    <cellStyle name="Comma 5 5 3 2 2 3 4" xfId="18586"/>
    <cellStyle name="Comma 5 5 3 2 2 4" xfId="2282"/>
    <cellStyle name="Comma 5 5 3 2 2 4 2" xfId="11649"/>
    <cellStyle name="Comma 5 5 3 2 2 4 3" xfId="21653"/>
    <cellStyle name="Comma 5 5 3 2 2 5" xfId="5960"/>
    <cellStyle name="Comma 5 5 3 2 2 5 2" xfId="14787"/>
    <cellStyle name="Comma 5 5 3 2 2 5 3" xfId="25038"/>
    <cellStyle name="Comma 5 5 3 2 2 6" xfId="7404"/>
    <cellStyle name="Comma 5 5 3 2 2 6 2" xfId="20135"/>
    <cellStyle name="Comma 5 5 3 2 2 7" xfId="16646"/>
    <cellStyle name="Comma 5 5 3 2 3" xfId="1359"/>
    <cellStyle name="Comma 5 5 3 2 3 2" xfId="3789"/>
    <cellStyle name="Comma 5 5 3 2 3 2 2" xfId="12927"/>
    <cellStyle name="Comma 5 5 3 2 3 2 2 2" xfId="23146"/>
    <cellStyle name="Comma 5 5 3 2 3 2 3" xfId="9348"/>
    <cellStyle name="Comma 5 5 3 2 3 2 4" xfId="18139"/>
    <cellStyle name="Comma 5 5 3 2 3 3" xfId="4851"/>
    <cellStyle name="Comma 5 5 3 2 3 3 2" xfId="13690"/>
    <cellStyle name="Comma 5 5 3 2 3 3 2 2" xfId="23941"/>
    <cellStyle name="Comma 5 5 3 2 3 3 3" xfId="10111"/>
    <cellStyle name="Comma 5 5 3 2 3 3 4" xfId="18934"/>
    <cellStyle name="Comma 5 5 3 2 3 4" xfId="2183"/>
    <cellStyle name="Comma 5 5 3 2 3 4 2" xfId="11550"/>
    <cellStyle name="Comma 5 5 3 2 3 4 3" xfId="21554"/>
    <cellStyle name="Comma 5 5 3 2 3 5" xfId="6308"/>
    <cellStyle name="Comma 5 5 3 2 3 5 2" xfId="15135"/>
    <cellStyle name="Comma 5 5 3 2 3 5 3" xfId="25386"/>
    <cellStyle name="Comma 5 5 3 2 3 6" xfId="7754"/>
    <cellStyle name="Comma 5 5 3 2 3 6 2" xfId="20745"/>
    <cellStyle name="Comma 5 5 3 2 3 7" xfId="16547"/>
    <cellStyle name="Comma 5 5 3 2 4" xfId="3074"/>
    <cellStyle name="Comma 5 5 3 2 4 2" xfId="5452"/>
    <cellStyle name="Comma 5 5 3 2 4 2 2" xfId="14291"/>
    <cellStyle name="Comma 5 5 3 2 4 2 2 2" xfId="24542"/>
    <cellStyle name="Comma 5 5 3 2 4 2 3" xfId="10712"/>
    <cellStyle name="Comma 5 5 3 2 4 2 4" xfId="19535"/>
    <cellStyle name="Comma 5 5 3 2 4 3" xfId="6909"/>
    <cellStyle name="Comma 5 5 3 2 4 3 2" xfId="15736"/>
    <cellStyle name="Comma 5 5 3 2 4 3 3" xfId="25987"/>
    <cellStyle name="Comma 5 5 3 2 4 4" xfId="8355"/>
    <cellStyle name="Comma 5 5 3 2 4 4 2" xfId="22437"/>
    <cellStyle name="Comma 5 5 3 2 4 5" xfId="17430"/>
    <cellStyle name="Comma 5 5 3 2 5" xfId="4408"/>
    <cellStyle name="Comma 5 5 3 2 5 2" xfId="13248"/>
    <cellStyle name="Comma 5 5 3 2 5 2 2" xfId="23499"/>
    <cellStyle name="Comma 5 5 3 2 5 3" xfId="9669"/>
    <cellStyle name="Comma 5 5 3 2 5 4" xfId="18492"/>
    <cellStyle name="Comma 5 5 3 2 6" xfId="1680"/>
    <cellStyle name="Comma 5 5 3 2 6 2" xfId="11059"/>
    <cellStyle name="Comma 5 5 3 2 6 3" xfId="21063"/>
    <cellStyle name="Comma 5 5 3 2 7" xfId="5866"/>
    <cellStyle name="Comma 5 5 3 2 7 2" xfId="14693"/>
    <cellStyle name="Comma 5 5 3 2 7 3" xfId="24944"/>
    <cellStyle name="Comma 5 5 3 2 8" xfId="7310"/>
    <cellStyle name="Comma 5 5 3 2 8 2" xfId="20036"/>
    <cellStyle name="Comma 5 5 3 2 9" xfId="16056"/>
    <cellStyle name="Comma 5 5 3 3" xfId="382"/>
    <cellStyle name="Comma 5 5 3 3 2" xfId="2869"/>
    <cellStyle name="Comma 5 5 3 3 2 2" xfId="12159"/>
    <cellStyle name="Comma 5 5 3 3 2 2 2" xfId="22232"/>
    <cellStyle name="Comma 5 5 3 3 2 3" xfId="8472"/>
    <cellStyle name="Comma 5 5 3 3 2 4" xfId="17225"/>
    <cellStyle name="Comma 5 5 3 3 3" xfId="4501"/>
    <cellStyle name="Comma 5 5 3 3 3 2" xfId="13341"/>
    <cellStyle name="Comma 5 5 3 3 3 2 2" xfId="23592"/>
    <cellStyle name="Comma 5 5 3 3 3 3" xfId="9762"/>
    <cellStyle name="Comma 5 5 3 3 3 4" xfId="18585"/>
    <cellStyle name="Comma 5 5 3 3 4" xfId="1978"/>
    <cellStyle name="Comma 5 5 3 3 4 2" xfId="11345"/>
    <cellStyle name="Comma 5 5 3 3 4 3" xfId="21349"/>
    <cellStyle name="Comma 5 5 3 3 5" xfId="5959"/>
    <cellStyle name="Comma 5 5 3 3 5 2" xfId="14786"/>
    <cellStyle name="Comma 5 5 3 3 5 3" xfId="25037"/>
    <cellStyle name="Comma 5 5 3 3 6" xfId="7403"/>
    <cellStyle name="Comma 5 5 3 3 6 2" xfId="19831"/>
    <cellStyle name="Comma 5 5 3 3 7" xfId="16342"/>
    <cellStyle name="Comma 5 5 3 4" xfId="685"/>
    <cellStyle name="Comma 5 5 3 4 2" xfId="3172"/>
    <cellStyle name="Comma 5 5 3 4 2 2" xfId="12317"/>
    <cellStyle name="Comma 5 5 3 4 2 2 2" xfId="22535"/>
    <cellStyle name="Comma 5 5 3 4 2 3" xfId="8739"/>
    <cellStyle name="Comma 5 5 3 4 2 4" xfId="17528"/>
    <cellStyle name="Comma 5 5 3 4 3" xfId="4850"/>
    <cellStyle name="Comma 5 5 3 4 3 2" xfId="13689"/>
    <cellStyle name="Comma 5 5 3 4 3 2 2" xfId="23940"/>
    <cellStyle name="Comma 5 5 3 4 3 3" xfId="10110"/>
    <cellStyle name="Comma 5 5 3 4 3 4" xfId="18933"/>
    <cellStyle name="Comma 5 5 3 4 4" xfId="2281"/>
    <cellStyle name="Comma 5 5 3 4 4 2" xfId="11648"/>
    <cellStyle name="Comma 5 5 3 4 4 3" xfId="21652"/>
    <cellStyle name="Comma 5 5 3 4 5" xfId="6307"/>
    <cellStyle name="Comma 5 5 3 4 5 2" xfId="15134"/>
    <cellStyle name="Comma 5 5 3 4 5 3" xfId="25385"/>
    <cellStyle name="Comma 5 5 3 4 6" xfId="7753"/>
    <cellStyle name="Comma 5 5 3 4 6 2" xfId="20134"/>
    <cellStyle name="Comma 5 5 3 4 7" xfId="16645"/>
    <cellStyle name="Comma 5 5 3 5" xfId="1154"/>
    <cellStyle name="Comma 5 5 3 5 2" xfId="3584"/>
    <cellStyle name="Comma 5 5 3 5 2 2" xfId="12722"/>
    <cellStyle name="Comma 5 5 3 5 2 2 2" xfId="22941"/>
    <cellStyle name="Comma 5 5 3 5 2 3" xfId="9143"/>
    <cellStyle name="Comma 5 5 3 5 2 4" xfId="17934"/>
    <cellStyle name="Comma 5 5 3 5 3" xfId="5247"/>
    <cellStyle name="Comma 5 5 3 5 3 2" xfId="14086"/>
    <cellStyle name="Comma 5 5 3 5 3 2 2" xfId="24337"/>
    <cellStyle name="Comma 5 5 3 5 3 3" xfId="10507"/>
    <cellStyle name="Comma 5 5 3 5 3 4" xfId="19330"/>
    <cellStyle name="Comma 5 5 3 5 4" xfId="1863"/>
    <cellStyle name="Comma 5 5 3 5 4 2" xfId="11233"/>
    <cellStyle name="Comma 5 5 3 5 4 3" xfId="21237"/>
    <cellStyle name="Comma 5 5 3 5 5" xfId="6704"/>
    <cellStyle name="Comma 5 5 3 5 5 2" xfId="15531"/>
    <cellStyle name="Comma 5 5 3 5 5 3" xfId="25782"/>
    <cellStyle name="Comma 5 5 3 5 6" xfId="8150"/>
    <cellStyle name="Comma 5 5 3 5 6 2" xfId="20540"/>
    <cellStyle name="Comma 5 5 3 5 7" xfId="16230"/>
    <cellStyle name="Comma 5 5 3 6" xfId="2757"/>
    <cellStyle name="Comma 5 5 3 6 2" xfId="12076"/>
    <cellStyle name="Comma 5 5 3 6 2 2" xfId="22120"/>
    <cellStyle name="Comma 5 5 3 6 3" xfId="8493"/>
    <cellStyle name="Comma 5 5 3 6 4" xfId="17113"/>
    <cellStyle name="Comma 5 5 3 7" xfId="4203"/>
    <cellStyle name="Comma 5 5 3 7 2" xfId="13043"/>
    <cellStyle name="Comma 5 5 3 7 2 2" xfId="23294"/>
    <cellStyle name="Comma 5 5 3 7 3" xfId="9464"/>
    <cellStyle name="Comma 5 5 3 7 4" xfId="18287"/>
    <cellStyle name="Comma 5 5 3 8" xfId="1475"/>
    <cellStyle name="Comma 5 5 3 8 2" xfId="10854"/>
    <cellStyle name="Comma 5 5 3 8 3" xfId="20858"/>
    <cellStyle name="Comma 5 5 3 9" xfId="5661"/>
    <cellStyle name="Comma 5 5 3 9 2" xfId="14488"/>
    <cellStyle name="Comma 5 5 3 9 3" xfId="24739"/>
    <cellStyle name="Comma 5 5 4" xfId="482"/>
    <cellStyle name="Comma 5 5 4 2" xfId="687"/>
    <cellStyle name="Comma 5 5 4 2 2" xfId="3174"/>
    <cellStyle name="Comma 5 5 4 2 2 2" xfId="12319"/>
    <cellStyle name="Comma 5 5 4 2 2 2 2" xfId="22537"/>
    <cellStyle name="Comma 5 5 4 2 2 3" xfId="8741"/>
    <cellStyle name="Comma 5 5 4 2 2 4" xfId="17530"/>
    <cellStyle name="Comma 5 5 4 2 3" xfId="4503"/>
    <cellStyle name="Comma 5 5 4 2 3 2" xfId="13343"/>
    <cellStyle name="Comma 5 5 4 2 3 2 2" xfId="23594"/>
    <cellStyle name="Comma 5 5 4 2 3 3" xfId="9764"/>
    <cellStyle name="Comma 5 5 4 2 3 4" xfId="18587"/>
    <cellStyle name="Comma 5 5 4 2 4" xfId="2283"/>
    <cellStyle name="Comma 5 5 4 2 4 2" xfId="11650"/>
    <cellStyle name="Comma 5 5 4 2 4 3" xfId="21654"/>
    <cellStyle name="Comma 5 5 4 2 5" xfId="5961"/>
    <cellStyle name="Comma 5 5 4 2 5 2" xfId="14788"/>
    <cellStyle name="Comma 5 5 4 2 5 3" xfId="25039"/>
    <cellStyle name="Comma 5 5 4 2 6" xfId="7405"/>
    <cellStyle name="Comma 5 5 4 2 6 2" xfId="20136"/>
    <cellStyle name="Comma 5 5 4 2 7" xfId="16647"/>
    <cellStyle name="Comma 5 5 4 3" xfId="1254"/>
    <cellStyle name="Comma 5 5 4 3 2" xfId="3684"/>
    <cellStyle name="Comma 5 5 4 3 2 2" xfId="12822"/>
    <cellStyle name="Comma 5 5 4 3 2 2 2" xfId="23041"/>
    <cellStyle name="Comma 5 5 4 3 2 3" xfId="9243"/>
    <cellStyle name="Comma 5 5 4 3 2 4" xfId="18034"/>
    <cellStyle name="Comma 5 5 4 3 3" xfId="4852"/>
    <cellStyle name="Comma 5 5 4 3 3 2" xfId="13691"/>
    <cellStyle name="Comma 5 5 4 3 3 2 2" xfId="23942"/>
    <cellStyle name="Comma 5 5 4 3 3 3" xfId="10112"/>
    <cellStyle name="Comma 5 5 4 3 3 4" xfId="18935"/>
    <cellStyle name="Comma 5 5 4 3 4" xfId="2078"/>
    <cellStyle name="Comma 5 5 4 3 4 2" xfId="11445"/>
    <cellStyle name="Comma 5 5 4 3 4 3" xfId="21449"/>
    <cellStyle name="Comma 5 5 4 3 5" xfId="6309"/>
    <cellStyle name="Comma 5 5 4 3 5 2" xfId="15136"/>
    <cellStyle name="Comma 5 5 4 3 5 3" xfId="25387"/>
    <cellStyle name="Comma 5 5 4 3 6" xfId="7755"/>
    <cellStyle name="Comma 5 5 4 3 6 2" xfId="20640"/>
    <cellStyle name="Comma 5 5 4 3 7" xfId="16442"/>
    <cellStyle name="Comma 5 5 4 4" xfId="2969"/>
    <cellStyle name="Comma 5 5 4 4 2" xfId="5347"/>
    <cellStyle name="Comma 5 5 4 4 2 2" xfId="14186"/>
    <cellStyle name="Comma 5 5 4 4 2 2 2" xfId="24437"/>
    <cellStyle name="Comma 5 5 4 4 2 3" xfId="10607"/>
    <cellStyle name="Comma 5 5 4 4 2 4" xfId="19430"/>
    <cellStyle name="Comma 5 5 4 4 3" xfId="6804"/>
    <cellStyle name="Comma 5 5 4 4 3 2" xfId="15631"/>
    <cellStyle name="Comma 5 5 4 4 3 3" xfId="25882"/>
    <cellStyle name="Comma 5 5 4 4 4" xfId="8250"/>
    <cellStyle name="Comma 5 5 4 4 4 2" xfId="22332"/>
    <cellStyle name="Comma 5 5 4 4 5" xfId="17325"/>
    <cellStyle name="Comma 5 5 4 5" xfId="4303"/>
    <cellStyle name="Comma 5 5 4 5 2" xfId="13143"/>
    <cellStyle name="Comma 5 5 4 5 2 2" xfId="23394"/>
    <cellStyle name="Comma 5 5 4 5 3" xfId="9564"/>
    <cellStyle name="Comma 5 5 4 5 4" xfId="18387"/>
    <cellStyle name="Comma 5 5 4 6" xfId="1575"/>
    <cellStyle name="Comma 5 5 4 6 2" xfId="10954"/>
    <cellStyle name="Comma 5 5 4 6 3" xfId="20958"/>
    <cellStyle name="Comma 5 5 4 7" xfId="5761"/>
    <cellStyle name="Comma 5 5 4 7 2" xfId="14588"/>
    <cellStyle name="Comma 5 5 4 7 3" xfId="24839"/>
    <cellStyle name="Comma 5 5 4 8" xfId="7205"/>
    <cellStyle name="Comma 5 5 4 8 2" xfId="19931"/>
    <cellStyle name="Comma 5 5 4 9" xfId="15951"/>
    <cellStyle name="Comma 5 5 5" xfId="323"/>
    <cellStyle name="Comma 5 5 5 2" xfId="2810"/>
    <cellStyle name="Comma 5 5 5 2 2" xfId="12116"/>
    <cellStyle name="Comma 5 5 5 2 2 2" xfId="22173"/>
    <cellStyle name="Comma 5 5 5 2 3" xfId="8545"/>
    <cellStyle name="Comma 5 5 5 2 4" xfId="17166"/>
    <cellStyle name="Comma 5 5 5 3" xfId="4498"/>
    <cellStyle name="Comma 5 5 5 3 2" xfId="13338"/>
    <cellStyle name="Comma 5 5 5 3 2 2" xfId="23589"/>
    <cellStyle name="Comma 5 5 5 3 3" xfId="9759"/>
    <cellStyle name="Comma 5 5 5 3 4" xfId="18582"/>
    <cellStyle name="Comma 5 5 5 4" xfId="1919"/>
    <cellStyle name="Comma 5 5 5 4 2" xfId="11286"/>
    <cellStyle name="Comma 5 5 5 4 3" xfId="21290"/>
    <cellStyle name="Comma 5 5 5 5" xfId="5956"/>
    <cellStyle name="Comma 5 5 5 5 2" xfId="14783"/>
    <cellStyle name="Comma 5 5 5 5 3" xfId="25034"/>
    <cellStyle name="Comma 5 5 5 6" xfId="7400"/>
    <cellStyle name="Comma 5 5 5 6 2" xfId="19772"/>
    <cellStyle name="Comma 5 5 5 7" xfId="16283"/>
    <cellStyle name="Comma 5 5 6" xfId="682"/>
    <cellStyle name="Comma 5 5 6 2" xfId="3169"/>
    <cellStyle name="Comma 5 5 6 2 2" xfId="12314"/>
    <cellStyle name="Comma 5 5 6 2 2 2" xfId="22532"/>
    <cellStyle name="Comma 5 5 6 2 3" xfId="8736"/>
    <cellStyle name="Comma 5 5 6 2 4" xfId="17525"/>
    <cellStyle name="Comma 5 5 6 3" xfId="4847"/>
    <cellStyle name="Comma 5 5 6 3 2" xfId="13686"/>
    <cellStyle name="Comma 5 5 6 3 2 2" xfId="23937"/>
    <cellStyle name="Comma 5 5 6 3 3" xfId="10107"/>
    <cellStyle name="Comma 5 5 6 3 4" xfId="18930"/>
    <cellStyle name="Comma 5 5 6 4" xfId="2278"/>
    <cellStyle name="Comma 5 5 6 4 2" xfId="11645"/>
    <cellStyle name="Comma 5 5 6 4 3" xfId="21649"/>
    <cellStyle name="Comma 5 5 6 5" xfId="6304"/>
    <cellStyle name="Comma 5 5 6 5 2" xfId="15131"/>
    <cellStyle name="Comma 5 5 6 5 3" xfId="25382"/>
    <cellStyle name="Comma 5 5 6 6" xfId="7750"/>
    <cellStyle name="Comma 5 5 6 6 2" xfId="20131"/>
    <cellStyle name="Comma 5 5 6 7" xfId="16642"/>
    <cellStyle name="Comma 5 5 7" xfId="1095"/>
    <cellStyle name="Comma 5 5 7 2" xfId="3525"/>
    <cellStyle name="Comma 5 5 7 2 2" xfId="12663"/>
    <cellStyle name="Comma 5 5 7 2 2 2" xfId="22882"/>
    <cellStyle name="Comma 5 5 7 2 3" xfId="9085"/>
    <cellStyle name="Comma 5 5 7 2 4" xfId="17875"/>
    <cellStyle name="Comma 5 5 7 3" xfId="5188"/>
    <cellStyle name="Comma 5 5 7 3 2" xfId="14027"/>
    <cellStyle name="Comma 5 5 7 3 2 2" xfId="24278"/>
    <cellStyle name="Comma 5 5 7 3 3" xfId="10448"/>
    <cellStyle name="Comma 5 5 7 3 4" xfId="19271"/>
    <cellStyle name="Comma 5 5 7 4" xfId="1754"/>
    <cellStyle name="Comma 5 5 7 4 2" xfId="11127"/>
    <cellStyle name="Comma 5 5 7 4 3" xfId="21131"/>
    <cellStyle name="Comma 5 5 7 5" xfId="6645"/>
    <cellStyle name="Comma 5 5 7 5 2" xfId="15472"/>
    <cellStyle name="Comma 5 5 7 5 3" xfId="25723"/>
    <cellStyle name="Comma 5 5 7 6" xfId="8091"/>
    <cellStyle name="Comma 5 5 7 6 2" xfId="20481"/>
    <cellStyle name="Comma 5 5 7 7" xfId="16124"/>
    <cellStyle name="Comma 5 5 8" xfId="2652"/>
    <cellStyle name="Comma 5 5 8 2" xfId="5602"/>
    <cellStyle name="Comma 5 5 8 2 2" xfId="14429"/>
    <cellStyle name="Comma 5 5 8 2 3" xfId="24680"/>
    <cellStyle name="Comma 5 5 8 3" xfId="7046"/>
    <cellStyle name="Comma 5 5 8 3 2" xfId="22015"/>
    <cellStyle name="Comma 5 5 8 4" xfId="17008"/>
    <cellStyle name="Comma 5 5 9" xfId="4142"/>
    <cellStyle name="Comma 5 5 9 2" xfId="12982"/>
    <cellStyle name="Comma 5 5 9 2 2" xfId="23233"/>
    <cellStyle name="Comma 5 5 9 3" xfId="9403"/>
    <cellStyle name="Comma 5 5 9 4" xfId="18226"/>
    <cellStyle name="Comma 5 6" xfId="180"/>
    <cellStyle name="Comma 5 6 10" xfId="7131"/>
    <cellStyle name="Comma 5 6 10 2" xfId="19640"/>
    <cellStyle name="Comma 5 6 11" xfId="15877"/>
    <cellStyle name="Comma 5 6 2" xfId="508"/>
    <cellStyle name="Comma 5 6 2 2" xfId="689"/>
    <cellStyle name="Comma 5 6 2 2 2" xfId="3176"/>
    <cellStyle name="Comma 5 6 2 2 2 2" xfId="12321"/>
    <cellStyle name="Comma 5 6 2 2 2 2 2" xfId="22539"/>
    <cellStyle name="Comma 5 6 2 2 2 3" xfId="8743"/>
    <cellStyle name="Comma 5 6 2 2 2 4" xfId="17532"/>
    <cellStyle name="Comma 5 6 2 2 3" xfId="4505"/>
    <cellStyle name="Comma 5 6 2 2 3 2" xfId="13345"/>
    <cellStyle name="Comma 5 6 2 2 3 2 2" xfId="23596"/>
    <cellStyle name="Comma 5 6 2 2 3 3" xfId="9766"/>
    <cellStyle name="Comma 5 6 2 2 3 4" xfId="18589"/>
    <cellStyle name="Comma 5 6 2 2 4" xfId="2285"/>
    <cellStyle name="Comma 5 6 2 2 4 2" xfId="11652"/>
    <cellStyle name="Comma 5 6 2 2 4 3" xfId="21656"/>
    <cellStyle name="Comma 5 6 2 2 5" xfId="5963"/>
    <cellStyle name="Comma 5 6 2 2 5 2" xfId="14790"/>
    <cellStyle name="Comma 5 6 2 2 5 3" xfId="25041"/>
    <cellStyle name="Comma 5 6 2 2 6" xfId="7407"/>
    <cellStyle name="Comma 5 6 2 2 6 2" xfId="20138"/>
    <cellStyle name="Comma 5 6 2 2 7" xfId="16649"/>
    <cellStyle name="Comma 5 6 2 3" xfId="1280"/>
    <cellStyle name="Comma 5 6 2 3 2" xfId="3710"/>
    <cellStyle name="Comma 5 6 2 3 2 2" xfId="12848"/>
    <cellStyle name="Comma 5 6 2 3 2 2 2" xfId="23067"/>
    <cellStyle name="Comma 5 6 2 3 2 3" xfId="9269"/>
    <cellStyle name="Comma 5 6 2 3 2 4" xfId="18060"/>
    <cellStyle name="Comma 5 6 2 3 3" xfId="4854"/>
    <cellStyle name="Comma 5 6 2 3 3 2" xfId="13693"/>
    <cellStyle name="Comma 5 6 2 3 3 2 2" xfId="23944"/>
    <cellStyle name="Comma 5 6 2 3 3 3" xfId="10114"/>
    <cellStyle name="Comma 5 6 2 3 3 4" xfId="18937"/>
    <cellStyle name="Comma 5 6 2 3 4" xfId="2104"/>
    <cellStyle name="Comma 5 6 2 3 4 2" xfId="11471"/>
    <cellStyle name="Comma 5 6 2 3 4 3" xfId="21475"/>
    <cellStyle name="Comma 5 6 2 3 5" xfId="6311"/>
    <cellStyle name="Comma 5 6 2 3 5 2" xfId="15138"/>
    <cellStyle name="Comma 5 6 2 3 5 3" xfId="25389"/>
    <cellStyle name="Comma 5 6 2 3 6" xfId="7757"/>
    <cellStyle name="Comma 5 6 2 3 6 2" xfId="20666"/>
    <cellStyle name="Comma 5 6 2 3 7" xfId="16468"/>
    <cellStyle name="Comma 5 6 2 4" xfId="2995"/>
    <cellStyle name="Comma 5 6 2 4 2" xfId="5373"/>
    <cellStyle name="Comma 5 6 2 4 2 2" xfId="14212"/>
    <cellStyle name="Comma 5 6 2 4 2 2 2" xfId="24463"/>
    <cellStyle name="Comma 5 6 2 4 2 3" xfId="10633"/>
    <cellStyle name="Comma 5 6 2 4 2 4" xfId="19456"/>
    <cellStyle name="Comma 5 6 2 4 3" xfId="6830"/>
    <cellStyle name="Comma 5 6 2 4 3 2" xfId="15657"/>
    <cellStyle name="Comma 5 6 2 4 3 3" xfId="25908"/>
    <cellStyle name="Comma 5 6 2 4 4" xfId="8276"/>
    <cellStyle name="Comma 5 6 2 4 4 2" xfId="22358"/>
    <cellStyle name="Comma 5 6 2 4 5" xfId="17351"/>
    <cellStyle name="Comma 5 6 2 5" xfId="4329"/>
    <cellStyle name="Comma 5 6 2 5 2" xfId="13169"/>
    <cellStyle name="Comma 5 6 2 5 2 2" xfId="23420"/>
    <cellStyle name="Comma 5 6 2 5 3" xfId="9590"/>
    <cellStyle name="Comma 5 6 2 5 4" xfId="18413"/>
    <cellStyle name="Comma 5 6 2 6" xfId="1601"/>
    <cellStyle name="Comma 5 6 2 6 2" xfId="10980"/>
    <cellStyle name="Comma 5 6 2 6 3" xfId="20984"/>
    <cellStyle name="Comma 5 6 2 7" xfId="5787"/>
    <cellStyle name="Comma 5 6 2 7 2" xfId="14614"/>
    <cellStyle name="Comma 5 6 2 7 3" xfId="24865"/>
    <cellStyle name="Comma 5 6 2 8" xfId="7231"/>
    <cellStyle name="Comma 5 6 2 8 2" xfId="19957"/>
    <cellStyle name="Comma 5 6 2 9" xfId="15977"/>
    <cellStyle name="Comma 5 6 3" xfId="408"/>
    <cellStyle name="Comma 5 6 3 2" xfId="2895"/>
    <cellStyle name="Comma 5 6 3 2 2" xfId="12185"/>
    <cellStyle name="Comma 5 6 3 2 2 2" xfId="22258"/>
    <cellStyle name="Comma 5 6 3 2 3" xfId="8392"/>
    <cellStyle name="Comma 5 6 3 2 4" xfId="17251"/>
    <cellStyle name="Comma 5 6 3 3" xfId="4504"/>
    <cellStyle name="Comma 5 6 3 3 2" xfId="13344"/>
    <cellStyle name="Comma 5 6 3 3 2 2" xfId="23595"/>
    <cellStyle name="Comma 5 6 3 3 3" xfId="9765"/>
    <cellStyle name="Comma 5 6 3 3 4" xfId="18588"/>
    <cellStyle name="Comma 5 6 3 4" xfId="2004"/>
    <cellStyle name="Comma 5 6 3 4 2" xfId="11371"/>
    <cellStyle name="Comma 5 6 3 4 3" xfId="21375"/>
    <cellStyle name="Comma 5 6 3 5" xfId="5962"/>
    <cellStyle name="Comma 5 6 3 5 2" xfId="14789"/>
    <cellStyle name="Comma 5 6 3 5 3" xfId="25040"/>
    <cellStyle name="Comma 5 6 3 6" xfId="7406"/>
    <cellStyle name="Comma 5 6 3 6 2" xfId="19857"/>
    <cellStyle name="Comma 5 6 3 7" xfId="16368"/>
    <cellStyle name="Comma 5 6 4" xfId="688"/>
    <cellStyle name="Comma 5 6 4 2" xfId="3175"/>
    <cellStyle name="Comma 5 6 4 2 2" xfId="12320"/>
    <cellStyle name="Comma 5 6 4 2 2 2" xfId="22538"/>
    <cellStyle name="Comma 5 6 4 2 3" xfId="8742"/>
    <cellStyle name="Comma 5 6 4 2 4" xfId="17531"/>
    <cellStyle name="Comma 5 6 4 3" xfId="4853"/>
    <cellStyle name="Comma 5 6 4 3 2" xfId="13692"/>
    <cellStyle name="Comma 5 6 4 3 2 2" xfId="23943"/>
    <cellStyle name="Comma 5 6 4 3 3" xfId="10113"/>
    <cellStyle name="Comma 5 6 4 3 4" xfId="18936"/>
    <cellStyle name="Comma 5 6 4 4" xfId="2284"/>
    <cellStyle name="Comma 5 6 4 4 2" xfId="11651"/>
    <cellStyle name="Comma 5 6 4 4 3" xfId="21655"/>
    <cellStyle name="Comma 5 6 4 5" xfId="6310"/>
    <cellStyle name="Comma 5 6 4 5 2" xfId="15137"/>
    <cellStyle name="Comma 5 6 4 5 3" xfId="25388"/>
    <cellStyle name="Comma 5 6 4 6" xfId="7756"/>
    <cellStyle name="Comma 5 6 4 6 2" xfId="20137"/>
    <cellStyle name="Comma 5 6 4 7" xfId="16648"/>
    <cellStyle name="Comma 5 6 5" xfId="1180"/>
    <cellStyle name="Comma 5 6 5 2" xfId="3610"/>
    <cellStyle name="Comma 5 6 5 2 2" xfId="12748"/>
    <cellStyle name="Comma 5 6 5 2 2 2" xfId="22967"/>
    <cellStyle name="Comma 5 6 5 2 3" xfId="9169"/>
    <cellStyle name="Comma 5 6 5 2 4" xfId="17960"/>
    <cellStyle name="Comma 5 6 5 3" xfId="5273"/>
    <cellStyle name="Comma 5 6 5 3 2" xfId="14112"/>
    <cellStyle name="Comma 5 6 5 3 2 2" xfId="24363"/>
    <cellStyle name="Comma 5 6 5 3 3" xfId="10533"/>
    <cellStyle name="Comma 5 6 5 3 4" xfId="19356"/>
    <cellStyle name="Comma 5 6 5 4" xfId="1783"/>
    <cellStyle name="Comma 5 6 5 4 2" xfId="11154"/>
    <cellStyle name="Comma 5 6 5 4 3" xfId="21158"/>
    <cellStyle name="Comma 5 6 5 5" xfId="6730"/>
    <cellStyle name="Comma 5 6 5 5 2" xfId="15557"/>
    <cellStyle name="Comma 5 6 5 5 3" xfId="25808"/>
    <cellStyle name="Comma 5 6 5 6" xfId="8176"/>
    <cellStyle name="Comma 5 6 5 6 2" xfId="20566"/>
    <cellStyle name="Comma 5 6 5 7" xfId="16151"/>
    <cellStyle name="Comma 5 6 6" xfId="2678"/>
    <cellStyle name="Comma 5 6 6 2" xfId="11997"/>
    <cellStyle name="Comma 5 6 6 2 2" xfId="22041"/>
    <cellStyle name="Comma 5 6 6 3" xfId="8571"/>
    <cellStyle name="Comma 5 6 6 4" xfId="17034"/>
    <cellStyle name="Comma 5 6 7" xfId="4229"/>
    <cellStyle name="Comma 5 6 7 2" xfId="13069"/>
    <cellStyle name="Comma 5 6 7 2 2" xfId="23320"/>
    <cellStyle name="Comma 5 6 7 3" xfId="9490"/>
    <cellStyle name="Comma 5 6 7 4" xfId="18313"/>
    <cellStyle name="Comma 5 6 8" xfId="1501"/>
    <cellStyle name="Comma 5 6 8 2" xfId="10880"/>
    <cellStyle name="Comma 5 6 8 3" xfId="20884"/>
    <cellStyle name="Comma 5 6 9" xfId="5687"/>
    <cellStyle name="Comma 5 6 9 2" xfId="14514"/>
    <cellStyle name="Comma 5 6 9 3" xfId="24765"/>
    <cellStyle name="Comma 5 7" xfId="233"/>
    <cellStyle name="Comma 5 7 10" xfId="7074"/>
    <cellStyle name="Comma 5 7 10 2" xfId="19688"/>
    <cellStyle name="Comma 5 7 11" xfId="15820"/>
    <cellStyle name="Comma 5 7 2" xfId="556"/>
    <cellStyle name="Comma 5 7 2 2" xfId="691"/>
    <cellStyle name="Comma 5 7 2 2 2" xfId="3178"/>
    <cellStyle name="Comma 5 7 2 2 2 2" xfId="12323"/>
    <cellStyle name="Comma 5 7 2 2 2 2 2" xfId="22541"/>
    <cellStyle name="Comma 5 7 2 2 2 3" xfId="8745"/>
    <cellStyle name="Comma 5 7 2 2 2 4" xfId="17534"/>
    <cellStyle name="Comma 5 7 2 2 3" xfId="4507"/>
    <cellStyle name="Comma 5 7 2 2 3 2" xfId="13347"/>
    <cellStyle name="Comma 5 7 2 2 3 2 2" xfId="23598"/>
    <cellStyle name="Comma 5 7 2 2 3 3" xfId="9768"/>
    <cellStyle name="Comma 5 7 2 2 3 4" xfId="18591"/>
    <cellStyle name="Comma 5 7 2 2 4" xfId="2287"/>
    <cellStyle name="Comma 5 7 2 2 4 2" xfId="11654"/>
    <cellStyle name="Comma 5 7 2 2 4 3" xfId="21658"/>
    <cellStyle name="Comma 5 7 2 2 5" xfId="5965"/>
    <cellStyle name="Comma 5 7 2 2 5 2" xfId="14792"/>
    <cellStyle name="Comma 5 7 2 2 5 3" xfId="25043"/>
    <cellStyle name="Comma 5 7 2 2 6" xfId="7409"/>
    <cellStyle name="Comma 5 7 2 2 6 2" xfId="20140"/>
    <cellStyle name="Comma 5 7 2 2 7" xfId="16651"/>
    <cellStyle name="Comma 5 7 2 3" xfId="1328"/>
    <cellStyle name="Comma 5 7 2 3 2" xfId="3758"/>
    <cellStyle name="Comma 5 7 2 3 2 2" xfId="12896"/>
    <cellStyle name="Comma 5 7 2 3 2 2 2" xfId="23115"/>
    <cellStyle name="Comma 5 7 2 3 2 3" xfId="9317"/>
    <cellStyle name="Comma 5 7 2 3 2 4" xfId="18108"/>
    <cellStyle name="Comma 5 7 2 3 3" xfId="4856"/>
    <cellStyle name="Comma 5 7 2 3 3 2" xfId="13695"/>
    <cellStyle name="Comma 5 7 2 3 3 2 2" xfId="23946"/>
    <cellStyle name="Comma 5 7 2 3 3 3" xfId="10116"/>
    <cellStyle name="Comma 5 7 2 3 3 4" xfId="18939"/>
    <cellStyle name="Comma 5 7 2 3 4" xfId="2152"/>
    <cellStyle name="Comma 5 7 2 3 4 2" xfId="11519"/>
    <cellStyle name="Comma 5 7 2 3 4 3" xfId="21523"/>
    <cellStyle name="Comma 5 7 2 3 5" xfId="6313"/>
    <cellStyle name="Comma 5 7 2 3 5 2" xfId="15140"/>
    <cellStyle name="Comma 5 7 2 3 5 3" xfId="25391"/>
    <cellStyle name="Comma 5 7 2 3 6" xfId="7759"/>
    <cellStyle name="Comma 5 7 2 3 6 2" xfId="20714"/>
    <cellStyle name="Comma 5 7 2 3 7" xfId="16516"/>
    <cellStyle name="Comma 5 7 2 4" xfId="3043"/>
    <cellStyle name="Comma 5 7 2 4 2" xfId="5421"/>
    <cellStyle name="Comma 5 7 2 4 2 2" xfId="14260"/>
    <cellStyle name="Comma 5 7 2 4 2 2 2" xfId="24511"/>
    <cellStyle name="Comma 5 7 2 4 2 3" xfId="10681"/>
    <cellStyle name="Comma 5 7 2 4 2 4" xfId="19504"/>
    <cellStyle name="Comma 5 7 2 4 3" xfId="6878"/>
    <cellStyle name="Comma 5 7 2 4 3 2" xfId="15705"/>
    <cellStyle name="Comma 5 7 2 4 3 3" xfId="25956"/>
    <cellStyle name="Comma 5 7 2 4 4" xfId="8324"/>
    <cellStyle name="Comma 5 7 2 4 4 2" xfId="22406"/>
    <cellStyle name="Comma 5 7 2 4 5" xfId="17399"/>
    <cellStyle name="Comma 5 7 2 5" xfId="4377"/>
    <cellStyle name="Comma 5 7 2 5 2" xfId="13217"/>
    <cellStyle name="Comma 5 7 2 5 2 2" xfId="23468"/>
    <cellStyle name="Comma 5 7 2 5 3" xfId="9638"/>
    <cellStyle name="Comma 5 7 2 5 4" xfId="18461"/>
    <cellStyle name="Comma 5 7 2 6" xfId="1649"/>
    <cellStyle name="Comma 5 7 2 6 2" xfId="11028"/>
    <cellStyle name="Comma 5 7 2 6 3" xfId="21032"/>
    <cellStyle name="Comma 5 7 2 7" xfId="5835"/>
    <cellStyle name="Comma 5 7 2 7 2" xfId="14662"/>
    <cellStyle name="Comma 5 7 2 7 3" xfId="24913"/>
    <cellStyle name="Comma 5 7 2 8" xfId="7279"/>
    <cellStyle name="Comma 5 7 2 8 2" xfId="20005"/>
    <cellStyle name="Comma 5 7 2 9" xfId="16025"/>
    <cellStyle name="Comma 5 7 3" xfId="351"/>
    <cellStyle name="Comma 5 7 3 2" xfId="2838"/>
    <cellStyle name="Comma 5 7 3 2 2" xfId="12128"/>
    <cellStyle name="Comma 5 7 3 2 2 2" xfId="22201"/>
    <cellStyle name="Comma 5 7 3 2 3" xfId="8541"/>
    <cellStyle name="Comma 5 7 3 2 4" xfId="17194"/>
    <cellStyle name="Comma 5 7 3 3" xfId="4506"/>
    <cellStyle name="Comma 5 7 3 3 2" xfId="13346"/>
    <cellStyle name="Comma 5 7 3 3 2 2" xfId="23597"/>
    <cellStyle name="Comma 5 7 3 3 3" xfId="9767"/>
    <cellStyle name="Comma 5 7 3 3 4" xfId="18590"/>
    <cellStyle name="Comma 5 7 3 4" xfId="1947"/>
    <cellStyle name="Comma 5 7 3 4 2" xfId="11314"/>
    <cellStyle name="Comma 5 7 3 4 3" xfId="21318"/>
    <cellStyle name="Comma 5 7 3 5" xfId="5964"/>
    <cellStyle name="Comma 5 7 3 5 2" xfId="14791"/>
    <cellStyle name="Comma 5 7 3 5 3" xfId="25042"/>
    <cellStyle name="Comma 5 7 3 6" xfId="7408"/>
    <cellStyle name="Comma 5 7 3 6 2" xfId="19800"/>
    <cellStyle name="Comma 5 7 3 7" xfId="16311"/>
    <cellStyle name="Comma 5 7 4" xfId="690"/>
    <cellStyle name="Comma 5 7 4 2" xfId="3177"/>
    <cellStyle name="Comma 5 7 4 2 2" xfId="12322"/>
    <cellStyle name="Comma 5 7 4 2 2 2" xfId="22540"/>
    <cellStyle name="Comma 5 7 4 2 3" xfId="8744"/>
    <cellStyle name="Comma 5 7 4 2 4" xfId="17533"/>
    <cellStyle name="Comma 5 7 4 3" xfId="4855"/>
    <cellStyle name="Comma 5 7 4 3 2" xfId="13694"/>
    <cellStyle name="Comma 5 7 4 3 2 2" xfId="23945"/>
    <cellStyle name="Comma 5 7 4 3 3" xfId="10115"/>
    <cellStyle name="Comma 5 7 4 3 4" xfId="18938"/>
    <cellStyle name="Comma 5 7 4 4" xfId="2286"/>
    <cellStyle name="Comma 5 7 4 4 2" xfId="11653"/>
    <cellStyle name="Comma 5 7 4 4 3" xfId="21657"/>
    <cellStyle name="Comma 5 7 4 5" xfId="6312"/>
    <cellStyle name="Comma 5 7 4 5 2" xfId="15139"/>
    <cellStyle name="Comma 5 7 4 5 3" xfId="25390"/>
    <cellStyle name="Comma 5 7 4 6" xfId="7758"/>
    <cellStyle name="Comma 5 7 4 6 2" xfId="20139"/>
    <cellStyle name="Comma 5 7 4 7" xfId="16650"/>
    <cellStyle name="Comma 5 7 5" xfId="1123"/>
    <cellStyle name="Comma 5 7 5 2" xfId="3553"/>
    <cellStyle name="Comma 5 7 5 2 2" xfId="12691"/>
    <cellStyle name="Comma 5 7 5 2 2 2" xfId="22910"/>
    <cellStyle name="Comma 5 7 5 2 3" xfId="9112"/>
    <cellStyle name="Comma 5 7 5 2 4" xfId="17903"/>
    <cellStyle name="Comma 5 7 5 3" xfId="5216"/>
    <cellStyle name="Comma 5 7 5 3 2" xfId="14055"/>
    <cellStyle name="Comma 5 7 5 3 2 2" xfId="24306"/>
    <cellStyle name="Comma 5 7 5 3 3" xfId="10476"/>
    <cellStyle name="Comma 5 7 5 3 4" xfId="19299"/>
    <cellStyle name="Comma 5 7 5 4" xfId="1832"/>
    <cellStyle name="Comma 5 7 5 4 2" xfId="11202"/>
    <cellStyle name="Comma 5 7 5 4 3" xfId="21206"/>
    <cellStyle name="Comma 5 7 5 5" xfId="6673"/>
    <cellStyle name="Comma 5 7 5 5 2" xfId="15500"/>
    <cellStyle name="Comma 5 7 5 5 3" xfId="25751"/>
    <cellStyle name="Comma 5 7 5 6" xfId="8119"/>
    <cellStyle name="Comma 5 7 5 6 2" xfId="20509"/>
    <cellStyle name="Comma 5 7 5 7" xfId="16199"/>
    <cellStyle name="Comma 5 7 6" xfId="2726"/>
    <cellStyle name="Comma 5 7 6 2" xfId="12045"/>
    <cellStyle name="Comma 5 7 6 2 2" xfId="22089"/>
    <cellStyle name="Comma 5 7 6 3" xfId="8501"/>
    <cellStyle name="Comma 5 7 6 4" xfId="17082"/>
    <cellStyle name="Comma 5 7 7" xfId="4172"/>
    <cellStyle name="Comma 5 7 7 2" xfId="13012"/>
    <cellStyle name="Comma 5 7 7 2 2" xfId="23263"/>
    <cellStyle name="Comma 5 7 7 3" xfId="9433"/>
    <cellStyle name="Comma 5 7 7 4" xfId="18256"/>
    <cellStyle name="Comma 5 7 8" xfId="1444"/>
    <cellStyle name="Comma 5 7 8 2" xfId="10823"/>
    <cellStyle name="Comma 5 7 8 3" xfId="20827"/>
    <cellStyle name="Comma 5 7 9" xfId="5630"/>
    <cellStyle name="Comma 5 7 9 2" xfId="14457"/>
    <cellStyle name="Comma 5 7 9 3" xfId="24708"/>
    <cellStyle name="Comma 5 8" xfId="290"/>
    <cellStyle name="Comma 5 8 10" xfId="16081"/>
    <cellStyle name="Comma 5 8 2" xfId="612"/>
    <cellStyle name="Comma 5 8 2 2" xfId="3099"/>
    <cellStyle name="Comma 5 8 2 2 2" xfId="12244"/>
    <cellStyle name="Comma 5 8 2 2 2 2" xfId="22462"/>
    <cellStyle name="Comma 5 8 2 2 3" xfId="8666"/>
    <cellStyle name="Comma 5 8 2 2 4" xfId="17455"/>
    <cellStyle name="Comma 5 8 2 3" xfId="4508"/>
    <cellStyle name="Comma 5 8 2 3 2" xfId="13348"/>
    <cellStyle name="Comma 5 8 2 3 2 2" xfId="23599"/>
    <cellStyle name="Comma 5 8 2 3 3" xfId="9769"/>
    <cellStyle name="Comma 5 8 2 3 4" xfId="18592"/>
    <cellStyle name="Comma 5 8 2 4" xfId="2208"/>
    <cellStyle name="Comma 5 8 2 4 2" xfId="11575"/>
    <cellStyle name="Comma 5 8 2 4 3" xfId="21579"/>
    <cellStyle name="Comma 5 8 2 5" xfId="5966"/>
    <cellStyle name="Comma 5 8 2 5 2" xfId="14793"/>
    <cellStyle name="Comma 5 8 2 5 3" xfId="25044"/>
    <cellStyle name="Comma 5 8 2 6" xfId="7410"/>
    <cellStyle name="Comma 5 8 2 6 2" xfId="20061"/>
    <cellStyle name="Comma 5 8 2 7" xfId="16572"/>
    <cellStyle name="Comma 5 8 3" xfId="692"/>
    <cellStyle name="Comma 5 8 3 2" xfId="3179"/>
    <cellStyle name="Comma 5 8 3 2 2" xfId="12324"/>
    <cellStyle name="Comma 5 8 3 2 2 2" xfId="22542"/>
    <cellStyle name="Comma 5 8 3 2 3" xfId="8746"/>
    <cellStyle name="Comma 5 8 3 2 4" xfId="17535"/>
    <cellStyle name="Comma 5 8 3 3" xfId="4857"/>
    <cellStyle name="Comma 5 8 3 3 2" xfId="13696"/>
    <cellStyle name="Comma 5 8 3 3 2 2" xfId="23947"/>
    <cellStyle name="Comma 5 8 3 3 3" xfId="10117"/>
    <cellStyle name="Comma 5 8 3 3 4" xfId="18940"/>
    <cellStyle name="Comma 5 8 3 4" xfId="2288"/>
    <cellStyle name="Comma 5 8 3 4 2" xfId="11655"/>
    <cellStyle name="Comma 5 8 3 4 3" xfId="21659"/>
    <cellStyle name="Comma 5 8 3 5" xfId="6314"/>
    <cellStyle name="Comma 5 8 3 5 2" xfId="15141"/>
    <cellStyle name="Comma 5 8 3 5 3" xfId="25392"/>
    <cellStyle name="Comma 5 8 3 6" xfId="7760"/>
    <cellStyle name="Comma 5 8 3 6 2" xfId="20141"/>
    <cellStyle name="Comma 5 8 3 7" xfId="16652"/>
    <cellStyle name="Comma 5 8 4" xfId="1384"/>
    <cellStyle name="Comma 5 8 4 2" xfId="3814"/>
    <cellStyle name="Comma 5 8 4 2 2" xfId="12952"/>
    <cellStyle name="Comma 5 8 4 2 2 2" xfId="23171"/>
    <cellStyle name="Comma 5 8 4 2 3" xfId="9373"/>
    <cellStyle name="Comma 5 8 4 2 4" xfId="18164"/>
    <cellStyle name="Comma 5 8 4 3" xfId="5477"/>
    <cellStyle name="Comma 5 8 4 3 2" xfId="14316"/>
    <cellStyle name="Comma 5 8 4 3 2 2" xfId="24567"/>
    <cellStyle name="Comma 5 8 4 3 3" xfId="10737"/>
    <cellStyle name="Comma 5 8 4 3 4" xfId="19560"/>
    <cellStyle name="Comma 5 8 4 4" xfId="1888"/>
    <cellStyle name="Comma 5 8 4 4 2" xfId="11258"/>
    <cellStyle name="Comma 5 8 4 4 3" xfId="21262"/>
    <cellStyle name="Comma 5 8 4 5" xfId="6934"/>
    <cellStyle name="Comma 5 8 4 5 2" xfId="15761"/>
    <cellStyle name="Comma 5 8 4 5 3" xfId="26012"/>
    <cellStyle name="Comma 5 8 4 6" xfId="8380"/>
    <cellStyle name="Comma 5 8 4 6 2" xfId="20770"/>
    <cellStyle name="Comma 5 8 4 7" xfId="16255"/>
    <cellStyle name="Comma 5 8 5" xfId="2782"/>
    <cellStyle name="Comma 5 8 5 2" xfId="12101"/>
    <cellStyle name="Comma 5 8 5 2 2" xfId="22145"/>
    <cellStyle name="Comma 5 8 5 3" xfId="8613"/>
    <cellStyle name="Comma 5 8 5 4" xfId="17138"/>
    <cellStyle name="Comma 5 8 6" xfId="4433"/>
    <cellStyle name="Comma 5 8 6 2" xfId="13273"/>
    <cellStyle name="Comma 5 8 6 2 2" xfId="23524"/>
    <cellStyle name="Comma 5 8 6 3" xfId="9694"/>
    <cellStyle name="Comma 5 8 6 4" xfId="18517"/>
    <cellStyle name="Comma 5 8 7" xfId="1705"/>
    <cellStyle name="Comma 5 8 7 2" xfId="11084"/>
    <cellStyle name="Comma 5 8 7 3" xfId="21088"/>
    <cellStyle name="Comma 5 8 8" xfId="5891"/>
    <cellStyle name="Comma 5 8 8 2" xfId="14718"/>
    <cellStyle name="Comma 5 8 8 3" xfId="24969"/>
    <cellStyle name="Comma 5 8 9" xfId="7335"/>
    <cellStyle name="Comma 5 8 9 2" xfId="19744"/>
    <cellStyle name="Comma 5 9" xfId="451"/>
    <cellStyle name="Comma 5 9 2" xfId="693"/>
    <cellStyle name="Comma 5 9 2 2" xfId="3180"/>
    <cellStyle name="Comma 5 9 2 2 2" xfId="12325"/>
    <cellStyle name="Comma 5 9 2 2 2 2" xfId="22543"/>
    <cellStyle name="Comma 5 9 2 2 3" xfId="8747"/>
    <cellStyle name="Comma 5 9 2 2 4" xfId="17536"/>
    <cellStyle name="Comma 5 9 2 3" xfId="4509"/>
    <cellStyle name="Comma 5 9 2 3 2" xfId="13349"/>
    <cellStyle name="Comma 5 9 2 3 2 2" xfId="23600"/>
    <cellStyle name="Comma 5 9 2 3 3" xfId="9770"/>
    <cellStyle name="Comma 5 9 2 3 4" xfId="18593"/>
    <cellStyle name="Comma 5 9 2 4" xfId="2289"/>
    <cellStyle name="Comma 5 9 2 4 2" xfId="11656"/>
    <cellStyle name="Comma 5 9 2 4 3" xfId="21660"/>
    <cellStyle name="Comma 5 9 2 5" xfId="5967"/>
    <cellStyle name="Comma 5 9 2 5 2" xfId="14794"/>
    <cellStyle name="Comma 5 9 2 5 3" xfId="25045"/>
    <cellStyle name="Comma 5 9 2 6" xfId="7411"/>
    <cellStyle name="Comma 5 9 2 6 2" xfId="20142"/>
    <cellStyle name="Comma 5 9 2 7" xfId="16653"/>
    <cellStyle name="Comma 5 9 3" xfId="1223"/>
    <cellStyle name="Comma 5 9 3 2" xfId="3653"/>
    <cellStyle name="Comma 5 9 3 2 2" xfId="12791"/>
    <cellStyle name="Comma 5 9 3 2 2 2" xfId="23010"/>
    <cellStyle name="Comma 5 9 3 2 3" xfId="9212"/>
    <cellStyle name="Comma 5 9 3 2 4" xfId="18003"/>
    <cellStyle name="Comma 5 9 3 3" xfId="4858"/>
    <cellStyle name="Comma 5 9 3 3 2" xfId="13697"/>
    <cellStyle name="Comma 5 9 3 3 2 2" xfId="23948"/>
    <cellStyle name="Comma 5 9 3 3 3" xfId="10118"/>
    <cellStyle name="Comma 5 9 3 3 4" xfId="18941"/>
    <cellStyle name="Comma 5 9 3 4" xfId="2047"/>
    <cellStyle name="Comma 5 9 3 4 2" xfId="11414"/>
    <cellStyle name="Comma 5 9 3 4 3" xfId="21418"/>
    <cellStyle name="Comma 5 9 3 5" xfId="6315"/>
    <cellStyle name="Comma 5 9 3 5 2" xfId="15142"/>
    <cellStyle name="Comma 5 9 3 5 3" xfId="25393"/>
    <cellStyle name="Comma 5 9 3 6" xfId="7761"/>
    <cellStyle name="Comma 5 9 3 6 2" xfId="20609"/>
    <cellStyle name="Comma 5 9 3 7" xfId="16411"/>
    <cellStyle name="Comma 5 9 4" xfId="2938"/>
    <cellStyle name="Comma 5 9 4 2" xfId="5316"/>
    <cellStyle name="Comma 5 9 4 2 2" xfId="14155"/>
    <cellStyle name="Comma 5 9 4 2 2 2" xfId="24406"/>
    <cellStyle name="Comma 5 9 4 2 3" xfId="10576"/>
    <cellStyle name="Comma 5 9 4 2 4" xfId="19399"/>
    <cellStyle name="Comma 5 9 4 3" xfId="6773"/>
    <cellStyle name="Comma 5 9 4 3 2" xfId="15600"/>
    <cellStyle name="Comma 5 9 4 3 3" xfId="25851"/>
    <cellStyle name="Comma 5 9 4 4" xfId="8219"/>
    <cellStyle name="Comma 5 9 4 4 2" xfId="22301"/>
    <cellStyle name="Comma 5 9 4 5" xfId="17294"/>
    <cellStyle name="Comma 5 9 5" xfId="4272"/>
    <cellStyle name="Comma 5 9 5 2" xfId="13112"/>
    <cellStyle name="Comma 5 9 5 2 2" xfId="23363"/>
    <cellStyle name="Comma 5 9 5 3" xfId="9533"/>
    <cellStyle name="Comma 5 9 5 4" xfId="18356"/>
    <cellStyle name="Comma 5 9 6" xfId="1544"/>
    <cellStyle name="Comma 5 9 6 2" xfId="10923"/>
    <cellStyle name="Comma 5 9 6 3" xfId="20927"/>
    <cellStyle name="Comma 5 9 7" xfId="5730"/>
    <cellStyle name="Comma 5 9 7 2" xfId="14557"/>
    <cellStyle name="Comma 5 9 7 3" xfId="24808"/>
    <cellStyle name="Comma 5 9 8" xfId="7174"/>
    <cellStyle name="Comma 5 9 8 2" xfId="19900"/>
    <cellStyle name="Comma 5 9 9" xfId="15920"/>
    <cellStyle name="Comma 6" xfId="124"/>
    <cellStyle name="Comma 6 10" xfId="4104"/>
    <cellStyle name="Comma 6 10 2" xfId="5564"/>
    <cellStyle name="Comma 6 10 2 2" xfId="14391"/>
    <cellStyle name="Comma 6 10 2 3" xfId="24642"/>
    <cellStyle name="Comma 6 10 3" xfId="7008"/>
    <cellStyle name="Comma 6 10 3 2" xfId="23195"/>
    <cellStyle name="Comma 6 10 4" xfId="18188"/>
    <cellStyle name="Comma 6 11" xfId="1397"/>
    <cellStyle name="Comma 6 11 2" xfId="10777"/>
    <cellStyle name="Comma 6 11 3" xfId="20781"/>
    <cellStyle name="Comma 6 12" xfId="5532"/>
    <cellStyle name="Comma 6 12 2" xfId="14361"/>
    <cellStyle name="Comma 6 12 3" xfId="24612"/>
    <cellStyle name="Comma 6 13" xfId="6975"/>
    <cellStyle name="Comma 6 13 2" xfId="19600"/>
    <cellStyle name="Comma 6 14" xfId="15774"/>
    <cellStyle name="Comma 6 2" xfId="152"/>
    <cellStyle name="Comma 6 2 10" xfId="1421"/>
    <cellStyle name="Comma 6 2 10 2" xfId="10800"/>
    <cellStyle name="Comma 6 2 10 3" xfId="20804"/>
    <cellStyle name="Comma 6 2 11" xfId="5607"/>
    <cellStyle name="Comma 6 2 11 2" xfId="14434"/>
    <cellStyle name="Comma 6 2 11 3" xfId="24685"/>
    <cellStyle name="Comma 6 2 12" xfId="7051"/>
    <cellStyle name="Comma 6 2 12 2" xfId="19619"/>
    <cellStyle name="Comma 6 2 13" xfId="15797"/>
    <cellStyle name="Comma 6 2 2" xfId="268"/>
    <cellStyle name="Comma 6 2 2 10" xfId="7110"/>
    <cellStyle name="Comma 6 2 2 10 2" xfId="19723"/>
    <cellStyle name="Comma 6 2 2 11" xfId="15856"/>
    <cellStyle name="Comma 6 2 2 2" xfId="591"/>
    <cellStyle name="Comma 6 2 2 2 2" xfId="697"/>
    <cellStyle name="Comma 6 2 2 2 2 2" xfId="3184"/>
    <cellStyle name="Comma 6 2 2 2 2 2 2" xfId="12329"/>
    <cellStyle name="Comma 6 2 2 2 2 2 2 2" xfId="22547"/>
    <cellStyle name="Comma 6 2 2 2 2 2 3" xfId="8751"/>
    <cellStyle name="Comma 6 2 2 2 2 2 4" xfId="17540"/>
    <cellStyle name="Comma 6 2 2 2 2 3" xfId="4513"/>
    <cellStyle name="Comma 6 2 2 2 2 3 2" xfId="13353"/>
    <cellStyle name="Comma 6 2 2 2 2 3 2 2" xfId="23604"/>
    <cellStyle name="Comma 6 2 2 2 2 3 3" xfId="9774"/>
    <cellStyle name="Comma 6 2 2 2 2 3 4" xfId="18597"/>
    <cellStyle name="Comma 6 2 2 2 2 4" xfId="2293"/>
    <cellStyle name="Comma 6 2 2 2 2 4 2" xfId="11660"/>
    <cellStyle name="Comma 6 2 2 2 2 4 3" xfId="21664"/>
    <cellStyle name="Comma 6 2 2 2 2 5" xfId="5971"/>
    <cellStyle name="Comma 6 2 2 2 2 5 2" xfId="14798"/>
    <cellStyle name="Comma 6 2 2 2 2 5 3" xfId="25049"/>
    <cellStyle name="Comma 6 2 2 2 2 6" xfId="7415"/>
    <cellStyle name="Comma 6 2 2 2 2 6 2" xfId="20146"/>
    <cellStyle name="Comma 6 2 2 2 2 7" xfId="16657"/>
    <cellStyle name="Comma 6 2 2 2 3" xfId="1363"/>
    <cellStyle name="Comma 6 2 2 2 3 2" xfId="3793"/>
    <cellStyle name="Comma 6 2 2 2 3 2 2" xfId="12931"/>
    <cellStyle name="Comma 6 2 2 2 3 2 2 2" xfId="23150"/>
    <cellStyle name="Comma 6 2 2 2 3 2 3" xfId="9352"/>
    <cellStyle name="Comma 6 2 2 2 3 2 4" xfId="18143"/>
    <cellStyle name="Comma 6 2 2 2 3 3" xfId="4862"/>
    <cellStyle name="Comma 6 2 2 2 3 3 2" xfId="13701"/>
    <cellStyle name="Comma 6 2 2 2 3 3 2 2" xfId="23952"/>
    <cellStyle name="Comma 6 2 2 2 3 3 3" xfId="10122"/>
    <cellStyle name="Comma 6 2 2 2 3 3 4" xfId="18945"/>
    <cellStyle name="Comma 6 2 2 2 3 4" xfId="2187"/>
    <cellStyle name="Comma 6 2 2 2 3 4 2" xfId="11554"/>
    <cellStyle name="Comma 6 2 2 2 3 4 3" xfId="21558"/>
    <cellStyle name="Comma 6 2 2 2 3 5" xfId="6319"/>
    <cellStyle name="Comma 6 2 2 2 3 5 2" xfId="15146"/>
    <cellStyle name="Comma 6 2 2 2 3 5 3" xfId="25397"/>
    <cellStyle name="Comma 6 2 2 2 3 6" xfId="7765"/>
    <cellStyle name="Comma 6 2 2 2 3 6 2" xfId="20749"/>
    <cellStyle name="Comma 6 2 2 2 3 7" xfId="16551"/>
    <cellStyle name="Comma 6 2 2 2 4" xfId="3078"/>
    <cellStyle name="Comma 6 2 2 2 4 2" xfId="5456"/>
    <cellStyle name="Comma 6 2 2 2 4 2 2" xfId="14295"/>
    <cellStyle name="Comma 6 2 2 2 4 2 2 2" xfId="24546"/>
    <cellStyle name="Comma 6 2 2 2 4 2 3" xfId="10716"/>
    <cellStyle name="Comma 6 2 2 2 4 2 4" xfId="19539"/>
    <cellStyle name="Comma 6 2 2 2 4 3" xfId="6913"/>
    <cellStyle name="Comma 6 2 2 2 4 3 2" xfId="15740"/>
    <cellStyle name="Comma 6 2 2 2 4 3 3" xfId="25991"/>
    <cellStyle name="Comma 6 2 2 2 4 4" xfId="8359"/>
    <cellStyle name="Comma 6 2 2 2 4 4 2" xfId="22441"/>
    <cellStyle name="Comma 6 2 2 2 4 5" xfId="17434"/>
    <cellStyle name="Comma 6 2 2 2 5" xfId="4412"/>
    <cellStyle name="Comma 6 2 2 2 5 2" xfId="13252"/>
    <cellStyle name="Comma 6 2 2 2 5 2 2" xfId="23503"/>
    <cellStyle name="Comma 6 2 2 2 5 3" xfId="9673"/>
    <cellStyle name="Comma 6 2 2 2 5 4" xfId="18496"/>
    <cellStyle name="Comma 6 2 2 2 6" xfId="1684"/>
    <cellStyle name="Comma 6 2 2 2 6 2" xfId="11063"/>
    <cellStyle name="Comma 6 2 2 2 6 3" xfId="21067"/>
    <cellStyle name="Comma 6 2 2 2 7" xfId="5870"/>
    <cellStyle name="Comma 6 2 2 2 7 2" xfId="14697"/>
    <cellStyle name="Comma 6 2 2 2 7 3" xfId="24948"/>
    <cellStyle name="Comma 6 2 2 2 8" xfId="7314"/>
    <cellStyle name="Comma 6 2 2 2 8 2" xfId="20040"/>
    <cellStyle name="Comma 6 2 2 2 9" xfId="16060"/>
    <cellStyle name="Comma 6 2 2 3" xfId="387"/>
    <cellStyle name="Comma 6 2 2 3 2" xfId="2874"/>
    <cellStyle name="Comma 6 2 2 3 2 2" xfId="12164"/>
    <cellStyle name="Comma 6 2 2 3 2 2 2" xfId="22237"/>
    <cellStyle name="Comma 6 2 2 3 2 3" xfId="8406"/>
    <cellStyle name="Comma 6 2 2 3 2 4" xfId="17230"/>
    <cellStyle name="Comma 6 2 2 3 3" xfId="4512"/>
    <cellStyle name="Comma 6 2 2 3 3 2" xfId="13352"/>
    <cellStyle name="Comma 6 2 2 3 3 2 2" xfId="23603"/>
    <cellStyle name="Comma 6 2 2 3 3 3" xfId="9773"/>
    <cellStyle name="Comma 6 2 2 3 3 4" xfId="18596"/>
    <cellStyle name="Comma 6 2 2 3 4" xfId="1983"/>
    <cellStyle name="Comma 6 2 2 3 4 2" xfId="11350"/>
    <cellStyle name="Comma 6 2 2 3 4 3" xfId="21354"/>
    <cellStyle name="Comma 6 2 2 3 5" xfId="5970"/>
    <cellStyle name="Comma 6 2 2 3 5 2" xfId="14797"/>
    <cellStyle name="Comma 6 2 2 3 5 3" xfId="25048"/>
    <cellStyle name="Comma 6 2 2 3 6" xfId="7414"/>
    <cellStyle name="Comma 6 2 2 3 6 2" xfId="19836"/>
    <cellStyle name="Comma 6 2 2 3 7" xfId="16347"/>
    <cellStyle name="Comma 6 2 2 4" xfId="696"/>
    <cellStyle name="Comma 6 2 2 4 2" xfId="3183"/>
    <cellStyle name="Comma 6 2 2 4 2 2" xfId="12328"/>
    <cellStyle name="Comma 6 2 2 4 2 2 2" xfId="22546"/>
    <cellStyle name="Comma 6 2 2 4 2 3" xfId="8750"/>
    <cellStyle name="Comma 6 2 2 4 2 4" xfId="17539"/>
    <cellStyle name="Comma 6 2 2 4 3" xfId="4861"/>
    <cellStyle name="Comma 6 2 2 4 3 2" xfId="13700"/>
    <cellStyle name="Comma 6 2 2 4 3 2 2" xfId="23951"/>
    <cellStyle name="Comma 6 2 2 4 3 3" xfId="10121"/>
    <cellStyle name="Comma 6 2 2 4 3 4" xfId="18944"/>
    <cellStyle name="Comma 6 2 2 4 4" xfId="2292"/>
    <cellStyle name="Comma 6 2 2 4 4 2" xfId="11659"/>
    <cellStyle name="Comma 6 2 2 4 4 3" xfId="21663"/>
    <cellStyle name="Comma 6 2 2 4 5" xfId="6318"/>
    <cellStyle name="Comma 6 2 2 4 5 2" xfId="15145"/>
    <cellStyle name="Comma 6 2 2 4 5 3" xfId="25396"/>
    <cellStyle name="Comma 6 2 2 4 6" xfId="7764"/>
    <cellStyle name="Comma 6 2 2 4 6 2" xfId="20145"/>
    <cellStyle name="Comma 6 2 2 4 7" xfId="16656"/>
    <cellStyle name="Comma 6 2 2 5" xfId="1159"/>
    <cellStyle name="Comma 6 2 2 5 2" xfId="3589"/>
    <cellStyle name="Comma 6 2 2 5 2 2" xfId="12727"/>
    <cellStyle name="Comma 6 2 2 5 2 2 2" xfId="22946"/>
    <cellStyle name="Comma 6 2 2 5 2 3" xfId="9148"/>
    <cellStyle name="Comma 6 2 2 5 2 4" xfId="17939"/>
    <cellStyle name="Comma 6 2 2 5 3" xfId="5252"/>
    <cellStyle name="Comma 6 2 2 5 3 2" xfId="14091"/>
    <cellStyle name="Comma 6 2 2 5 3 2 2" xfId="24342"/>
    <cellStyle name="Comma 6 2 2 5 3 3" xfId="10512"/>
    <cellStyle name="Comma 6 2 2 5 3 4" xfId="19335"/>
    <cellStyle name="Comma 6 2 2 5 4" xfId="1867"/>
    <cellStyle name="Comma 6 2 2 5 4 2" xfId="11237"/>
    <cellStyle name="Comma 6 2 2 5 4 3" xfId="21241"/>
    <cellStyle name="Comma 6 2 2 5 5" xfId="6709"/>
    <cellStyle name="Comma 6 2 2 5 5 2" xfId="15536"/>
    <cellStyle name="Comma 6 2 2 5 5 3" xfId="25787"/>
    <cellStyle name="Comma 6 2 2 5 6" xfId="8155"/>
    <cellStyle name="Comma 6 2 2 5 6 2" xfId="20545"/>
    <cellStyle name="Comma 6 2 2 5 7" xfId="16234"/>
    <cellStyle name="Comma 6 2 2 6" xfId="2761"/>
    <cellStyle name="Comma 6 2 2 6 2" xfId="12080"/>
    <cellStyle name="Comma 6 2 2 6 2 2" xfId="22124"/>
    <cellStyle name="Comma 6 2 2 6 3" xfId="8447"/>
    <cellStyle name="Comma 6 2 2 6 4" xfId="17117"/>
    <cellStyle name="Comma 6 2 2 7" xfId="4208"/>
    <cellStyle name="Comma 6 2 2 7 2" xfId="13048"/>
    <cellStyle name="Comma 6 2 2 7 2 2" xfId="23299"/>
    <cellStyle name="Comma 6 2 2 7 3" xfId="9469"/>
    <cellStyle name="Comma 6 2 2 7 4" xfId="18292"/>
    <cellStyle name="Comma 6 2 2 8" xfId="1480"/>
    <cellStyle name="Comma 6 2 2 8 2" xfId="10859"/>
    <cellStyle name="Comma 6 2 2 8 3" xfId="20863"/>
    <cellStyle name="Comma 6 2 2 9" xfId="5666"/>
    <cellStyle name="Comma 6 2 2 9 2" xfId="14493"/>
    <cellStyle name="Comma 6 2 2 9 3" xfId="24744"/>
    <cellStyle name="Comma 6 2 3" xfId="223"/>
    <cellStyle name="Comma 6 2 3 10" xfId="16018"/>
    <cellStyle name="Comma 6 2 3 2" xfId="549"/>
    <cellStyle name="Comma 6 2 3 2 2" xfId="3036"/>
    <cellStyle name="Comma 6 2 3 2 2 2" xfId="12226"/>
    <cellStyle name="Comma 6 2 3 2 2 2 2" xfId="22399"/>
    <cellStyle name="Comma 6 2 3 2 2 3" xfId="6947"/>
    <cellStyle name="Comma 6 2 3 2 2 4" xfId="17392"/>
    <cellStyle name="Comma 6 2 3 2 3" xfId="4514"/>
    <cellStyle name="Comma 6 2 3 2 3 2" xfId="13354"/>
    <cellStyle name="Comma 6 2 3 2 3 2 2" xfId="23605"/>
    <cellStyle name="Comma 6 2 3 2 3 3" xfId="9775"/>
    <cellStyle name="Comma 6 2 3 2 3 4" xfId="18598"/>
    <cellStyle name="Comma 6 2 3 2 4" xfId="2145"/>
    <cellStyle name="Comma 6 2 3 2 4 2" xfId="11512"/>
    <cellStyle name="Comma 6 2 3 2 4 3" xfId="21516"/>
    <cellStyle name="Comma 6 2 3 2 5" xfId="5972"/>
    <cellStyle name="Comma 6 2 3 2 5 2" xfId="14799"/>
    <cellStyle name="Comma 6 2 3 2 5 3" xfId="25050"/>
    <cellStyle name="Comma 6 2 3 2 6" xfId="7416"/>
    <cellStyle name="Comma 6 2 3 2 6 2" xfId="19998"/>
    <cellStyle name="Comma 6 2 3 2 7" xfId="16509"/>
    <cellStyle name="Comma 6 2 3 3" xfId="698"/>
    <cellStyle name="Comma 6 2 3 3 2" xfId="3185"/>
    <cellStyle name="Comma 6 2 3 3 2 2" xfId="12330"/>
    <cellStyle name="Comma 6 2 3 3 2 2 2" xfId="22548"/>
    <cellStyle name="Comma 6 2 3 3 2 3" xfId="8752"/>
    <cellStyle name="Comma 6 2 3 3 2 4" xfId="17541"/>
    <cellStyle name="Comma 6 2 3 3 3" xfId="4863"/>
    <cellStyle name="Comma 6 2 3 3 3 2" xfId="13702"/>
    <cellStyle name="Comma 6 2 3 3 3 2 2" xfId="23953"/>
    <cellStyle name="Comma 6 2 3 3 3 3" xfId="10123"/>
    <cellStyle name="Comma 6 2 3 3 3 4" xfId="18946"/>
    <cellStyle name="Comma 6 2 3 3 4" xfId="2294"/>
    <cellStyle name="Comma 6 2 3 3 4 2" xfId="11661"/>
    <cellStyle name="Comma 6 2 3 3 4 3" xfId="21665"/>
    <cellStyle name="Comma 6 2 3 3 5" xfId="6320"/>
    <cellStyle name="Comma 6 2 3 3 5 2" xfId="15147"/>
    <cellStyle name="Comma 6 2 3 3 5 3" xfId="25398"/>
    <cellStyle name="Comma 6 2 3 3 6" xfId="7766"/>
    <cellStyle name="Comma 6 2 3 3 6 2" xfId="20147"/>
    <cellStyle name="Comma 6 2 3 3 7" xfId="16658"/>
    <cellStyle name="Comma 6 2 3 4" xfId="1321"/>
    <cellStyle name="Comma 6 2 3 4 2" xfId="3751"/>
    <cellStyle name="Comma 6 2 3 4 2 2" xfId="12889"/>
    <cellStyle name="Comma 6 2 3 4 2 2 2" xfId="23108"/>
    <cellStyle name="Comma 6 2 3 4 2 3" xfId="9310"/>
    <cellStyle name="Comma 6 2 3 4 2 4" xfId="18101"/>
    <cellStyle name="Comma 6 2 3 4 3" xfId="5414"/>
    <cellStyle name="Comma 6 2 3 4 3 2" xfId="14253"/>
    <cellStyle name="Comma 6 2 3 4 3 2 2" xfId="24504"/>
    <cellStyle name="Comma 6 2 3 4 3 3" xfId="10674"/>
    <cellStyle name="Comma 6 2 3 4 3 4" xfId="19497"/>
    <cellStyle name="Comma 6 2 3 4 4" xfId="1825"/>
    <cellStyle name="Comma 6 2 3 4 4 2" xfId="11195"/>
    <cellStyle name="Comma 6 2 3 4 4 3" xfId="21199"/>
    <cellStyle name="Comma 6 2 3 4 5" xfId="6871"/>
    <cellStyle name="Comma 6 2 3 4 5 2" xfId="15698"/>
    <cellStyle name="Comma 6 2 3 4 5 3" xfId="25949"/>
    <cellStyle name="Comma 6 2 3 4 6" xfId="8317"/>
    <cellStyle name="Comma 6 2 3 4 6 2" xfId="20707"/>
    <cellStyle name="Comma 6 2 3 4 7" xfId="16192"/>
    <cellStyle name="Comma 6 2 3 5" xfId="2719"/>
    <cellStyle name="Comma 6 2 3 5 2" xfId="12038"/>
    <cellStyle name="Comma 6 2 3 5 2 2" xfId="22082"/>
    <cellStyle name="Comma 6 2 3 5 3" xfId="8491"/>
    <cellStyle name="Comma 6 2 3 5 4" xfId="17075"/>
    <cellStyle name="Comma 6 2 3 6" xfId="4370"/>
    <cellStyle name="Comma 6 2 3 6 2" xfId="13210"/>
    <cellStyle name="Comma 6 2 3 6 2 2" xfId="23461"/>
    <cellStyle name="Comma 6 2 3 6 3" xfId="9631"/>
    <cellStyle name="Comma 6 2 3 6 4" xfId="18454"/>
    <cellStyle name="Comma 6 2 3 7" xfId="1642"/>
    <cellStyle name="Comma 6 2 3 7 2" xfId="11021"/>
    <cellStyle name="Comma 6 2 3 7 3" xfId="21025"/>
    <cellStyle name="Comma 6 2 3 8" xfId="5828"/>
    <cellStyle name="Comma 6 2 3 8 2" xfId="14655"/>
    <cellStyle name="Comma 6 2 3 8 3" xfId="24906"/>
    <cellStyle name="Comma 6 2 3 9" xfId="7272"/>
    <cellStyle name="Comma 6 2 3 9 2" xfId="19681"/>
    <cellStyle name="Comma 6 2 4" xfId="487"/>
    <cellStyle name="Comma 6 2 4 2" xfId="699"/>
    <cellStyle name="Comma 6 2 4 2 2" xfId="3186"/>
    <cellStyle name="Comma 6 2 4 2 2 2" xfId="12331"/>
    <cellStyle name="Comma 6 2 4 2 2 2 2" xfId="22549"/>
    <cellStyle name="Comma 6 2 4 2 2 3" xfId="8753"/>
    <cellStyle name="Comma 6 2 4 2 2 4" xfId="17542"/>
    <cellStyle name="Comma 6 2 4 2 3" xfId="4515"/>
    <cellStyle name="Comma 6 2 4 2 3 2" xfId="13355"/>
    <cellStyle name="Comma 6 2 4 2 3 2 2" xfId="23606"/>
    <cellStyle name="Comma 6 2 4 2 3 3" xfId="9776"/>
    <cellStyle name="Comma 6 2 4 2 3 4" xfId="18599"/>
    <cellStyle name="Comma 6 2 4 2 4" xfId="2295"/>
    <cellStyle name="Comma 6 2 4 2 4 2" xfId="11662"/>
    <cellStyle name="Comma 6 2 4 2 4 3" xfId="21666"/>
    <cellStyle name="Comma 6 2 4 2 5" xfId="5973"/>
    <cellStyle name="Comma 6 2 4 2 5 2" xfId="14800"/>
    <cellStyle name="Comma 6 2 4 2 5 3" xfId="25051"/>
    <cellStyle name="Comma 6 2 4 2 6" xfId="7417"/>
    <cellStyle name="Comma 6 2 4 2 6 2" xfId="20148"/>
    <cellStyle name="Comma 6 2 4 2 7" xfId="16659"/>
    <cellStyle name="Comma 6 2 4 3" xfId="1259"/>
    <cellStyle name="Comma 6 2 4 3 2" xfId="3689"/>
    <cellStyle name="Comma 6 2 4 3 2 2" xfId="12827"/>
    <cellStyle name="Comma 6 2 4 3 2 2 2" xfId="23046"/>
    <cellStyle name="Comma 6 2 4 3 2 3" xfId="9248"/>
    <cellStyle name="Comma 6 2 4 3 2 4" xfId="18039"/>
    <cellStyle name="Comma 6 2 4 3 3" xfId="4864"/>
    <cellStyle name="Comma 6 2 4 3 3 2" xfId="13703"/>
    <cellStyle name="Comma 6 2 4 3 3 2 2" xfId="23954"/>
    <cellStyle name="Comma 6 2 4 3 3 3" xfId="10124"/>
    <cellStyle name="Comma 6 2 4 3 3 4" xfId="18947"/>
    <cellStyle name="Comma 6 2 4 3 4" xfId="2083"/>
    <cellStyle name="Comma 6 2 4 3 4 2" xfId="11450"/>
    <cellStyle name="Comma 6 2 4 3 4 3" xfId="21454"/>
    <cellStyle name="Comma 6 2 4 3 5" xfId="6321"/>
    <cellStyle name="Comma 6 2 4 3 5 2" xfId="15148"/>
    <cellStyle name="Comma 6 2 4 3 5 3" xfId="25399"/>
    <cellStyle name="Comma 6 2 4 3 6" xfId="7767"/>
    <cellStyle name="Comma 6 2 4 3 6 2" xfId="20645"/>
    <cellStyle name="Comma 6 2 4 3 7" xfId="16447"/>
    <cellStyle name="Comma 6 2 4 4" xfId="2974"/>
    <cellStyle name="Comma 6 2 4 4 2" xfId="5352"/>
    <cellStyle name="Comma 6 2 4 4 2 2" xfId="14191"/>
    <cellStyle name="Comma 6 2 4 4 2 2 2" xfId="24442"/>
    <cellStyle name="Comma 6 2 4 4 2 3" xfId="10612"/>
    <cellStyle name="Comma 6 2 4 4 2 4" xfId="19435"/>
    <cellStyle name="Comma 6 2 4 4 3" xfId="6809"/>
    <cellStyle name="Comma 6 2 4 4 3 2" xfId="15636"/>
    <cellStyle name="Comma 6 2 4 4 3 3" xfId="25887"/>
    <cellStyle name="Comma 6 2 4 4 4" xfId="8255"/>
    <cellStyle name="Comma 6 2 4 4 4 2" xfId="22337"/>
    <cellStyle name="Comma 6 2 4 4 5" xfId="17330"/>
    <cellStyle name="Comma 6 2 4 5" xfId="4308"/>
    <cellStyle name="Comma 6 2 4 5 2" xfId="13148"/>
    <cellStyle name="Comma 6 2 4 5 2 2" xfId="23399"/>
    <cellStyle name="Comma 6 2 4 5 3" xfId="9569"/>
    <cellStyle name="Comma 6 2 4 5 4" xfId="18392"/>
    <cellStyle name="Comma 6 2 4 6" xfId="1580"/>
    <cellStyle name="Comma 6 2 4 6 2" xfId="10959"/>
    <cellStyle name="Comma 6 2 4 6 3" xfId="20963"/>
    <cellStyle name="Comma 6 2 4 7" xfId="5766"/>
    <cellStyle name="Comma 6 2 4 7 2" xfId="14593"/>
    <cellStyle name="Comma 6 2 4 7 3" xfId="24844"/>
    <cellStyle name="Comma 6 2 4 8" xfId="7210"/>
    <cellStyle name="Comma 6 2 4 8 2" xfId="19936"/>
    <cellStyle name="Comma 6 2 4 9" xfId="15956"/>
    <cellStyle name="Comma 6 2 5" xfId="328"/>
    <cellStyle name="Comma 6 2 5 2" xfId="2815"/>
    <cellStyle name="Comma 6 2 5 2 2" xfId="12120"/>
    <cellStyle name="Comma 6 2 5 2 2 2" xfId="22178"/>
    <cellStyle name="Comma 6 2 5 2 3" xfId="8590"/>
    <cellStyle name="Comma 6 2 5 2 4" xfId="17171"/>
    <cellStyle name="Comma 6 2 5 3" xfId="4511"/>
    <cellStyle name="Comma 6 2 5 3 2" xfId="13351"/>
    <cellStyle name="Comma 6 2 5 3 2 2" xfId="23602"/>
    <cellStyle name="Comma 6 2 5 3 3" xfId="9772"/>
    <cellStyle name="Comma 6 2 5 3 4" xfId="18595"/>
    <cellStyle name="Comma 6 2 5 4" xfId="1924"/>
    <cellStyle name="Comma 6 2 5 4 2" xfId="11291"/>
    <cellStyle name="Comma 6 2 5 4 3" xfId="21295"/>
    <cellStyle name="Comma 6 2 5 5" xfId="5969"/>
    <cellStyle name="Comma 6 2 5 5 2" xfId="14796"/>
    <cellStyle name="Comma 6 2 5 5 3" xfId="25047"/>
    <cellStyle name="Comma 6 2 5 6" xfId="7413"/>
    <cellStyle name="Comma 6 2 5 6 2" xfId="19777"/>
    <cellStyle name="Comma 6 2 5 7" xfId="16288"/>
    <cellStyle name="Comma 6 2 6" xfId="695"/>
    <cellStyle name="Comma 6 2 6 2" xfId="3182"/>
    <cellStyle name="Comma 6 2 6 2 2" xfId="12327"/>
    <cellStyle name="Comma 6 2 6 2 2 2" xfId="22545"/>
    <cellStyle name="Comma 6 2 6 2 3" xfId="8749"/>
    <cellStyle name="Comma 6 2 6 2 4" xfId="17538"/>
    <cellStyle name="Comma 6 2 6 3" xfId="4860"/>
    <cellStyle name="Comma 6 2 6 3 2" xfId="13699"/>
    <cellStyle name="Comma 6 2 6 3 2 2" xfId="23950"/>
    <cellStyle name="Comma 6 2 6 3 3" xfId="10120"/>
    <cellStyle name="Comma 6 2 6 3 4" xfId="18943"/>
    <cellStyle name="Comma 6 2 6 4" xfId="2291"/>
    <cellStyle name="Comma 6 2 6 4 2" xfId="11658"/>
    <cellStyle name="Comma 6 2 6 4 3" xfId="21662"/>
    <cellStyle name="Comma 6 2 6 5" xfId="6317"/>
    <cellStyle name="Comma 6 2 6 5 2" xfId="15144"/>
    <cellStyle name="Comma 6 2 6 5 3" xfId="25395"/>
    <cellStyle name="Comma 6 2 6 6" xfId="7763"/>
    <cellStyle name="Comma 6 2 6 6 2" xfId="20144"/>
    <cellStyle name="Comma 6 2 6 7" xfId="16655"/>
    <cellStyle name="Comma 6 2 7" xfId="1100"/>
    <cellStyle name="Comma 6 2 7 2" xfId="3530"/>
    <cellStyle name="Comma 6 2 7 2 2" xfId="12668"/>
    <cellStyle name="Comma 6 2 7 2 2 2" xfId="22887"/>
    <cellStyle name="Comma 6 2 7 2 3" xfId="9090"/>
    <cellStyle name="Comma 6 2 7 2 4" xfId="17880"/>
    <cellStyle name="Comma 6 2 7 3" xfId="5193"/>
    <cellStyle name="Comma 6 2 7 3 2" xfId="14032"/>
    <cellStyle name="Comma 6 2 7 3 2 2" xfId="24283"/>
    <cellStyle name="Comma 6 2 7 3 3" xfId="10453"/>
    <cellStyle name="Comma 6 2 7 3 4" xfId="19276"/>
    <cellStyle name="Comma 6 2 7 4" xfId="1759"/>
    <cellStyle name="Comma 6 2 7 4 2" xfId="11132"/>
    <cellStyle name="Comma 6 2 7 4 3" xfId="21136"/>
    <cellStyle name="Comma 6 2 7 5" xfId="6650"/>
    <cellStyle name="Comma 6 2 7 5 2" xfId="15477"/>
    <cellStyle name="Comma 6 2 7 5 3" xfId="25728"/>
    <cellStyle name="Comma 6 2 7 6" xfId="8096"/>
    <cellStyle name="Comma 6 2 7 6 2" xfId="20486"/>
    <cellStyle name="Comma 6 2 7 7" xfId="16129"/>
    <cellStyle name="Comma 6 2 8" xfId="2657"/>
    <cellStyle name="Comma 6 2 8 2" xfId="11981"/>
    <cellStyle name="Comma 6 2 8 2 2" xfId="22020"/>
    <cellStyle name="Comma 6 2 8 3" xfId="8583"/>
    <cellStyle name="Comma 6 2 8 4" xfId="17013"/>
    <cellStyle name="Comma 6 2 9" xfId="4147"/>
    <cellStyle name="Comma 6 2 9 2" xfId="12987"/>
    <cellStyle name="Comma 6 2 9 2 2" xfId="23238"/>
    <cellStyle name="Comma 6 2 9 3" xfId="9408"/>
    <cellStyle name="Comma 6 2 9 4" xfId="18231"/>
    <cellStyle name="Comma 6 3" xfId="202"/>
    <cellStyle name="Comma 6 3 10" xfId="7153"/>
    <cellStyle name="Comma 6 3 10 2" xfId="19662"/>
    <cellStyle name="Comma 6 3 11" xfId="15899"/>
    <cellStyle name="Comma 6 3 2" xfId="530"/>
    <cellStyle name="Comma 6 3 2 2" xfId="701"/>
    <cellStyle name="Comma 6 3 2 2 2" xfId="3188"/>
    <cellStyle name="Comma 6 3 2 2 2 2" xfId="12333"/>
    <cellStyle name="Comma 6 3 2 2 2 2 2" xfId="22551"/>
    <cellStyle name="Comma 6 3 2 2 2 3" xfId="8755"/>
    <cellStyle name="Comma 6 3 2 2 2 4" xfId="17544"/>
    <cellStyle name="Comma 6 3 2 2 3" xfId="4517"/>
    <cellStyle name="Comma 6 3 2 2 3 2" xfId="13357"/>
    <cellStyle name="Comma 6 3 2 2 3 2 2" xfId="23608"/>
    <cellStyle name="Comma 6 3 2 2 3 3" xfId="9778"/>
    <cellStyle name="Comma 6 3 2 2 3 4" xfId="18601"/>
    <cellStyle name="Comma 6 3 2 2 4" xfId="2297"/>
    <cellStyle name="Comma 6 3 2 2 4 2" xfId="11664"/>
    <cellStyle name="Comma 6 3 2 2 4 3" xfId="21668"/>
    <cellStyle name="Comma 6 3 2 2 5" xfId="5975"/>
    <cellStyle name="Comma 6 3 2 2 5 2" xfId="14802"/>
    <cellStyle name="Comma 6 3 2 2 5 3" xfId="25053"/>
    <cellStyle name="Comma 6 3 2 2 6" xfId="7419"/>
    <cellStyle name="Comma 6 3 2 2 6 2" xfId="20150"/>
    <cellStyle name="Comma 6 3 2 2 7" xfId="16661"/>
    <cellStyle name="Comma 6 3 2 3" xfId="1302"/>
    <cellStyle name="Comma 6 3 2 3 2" xfId="3732"/>
    <cellStyle name="Comma 6 3 2 3 2 2" xfId="12870"/>
    <cellStyle name="Comma 6 3 2 3 2 2 2" xfId="23089"/>
    <cellStyle name="Comma 6 3 2 3 2 3" xfId="9291"/>
    <cellStyle name="Comma 6 3 2 3 2 4" xfId="18082"/>
    <cellStyle name="Comma 6 3 2 3 3" xfId="4866"/>
    <cellStyle name="Comma 6 3 2 3 3 2" xfId="13705"/>
    <cellStyle name="Comma 6 3 2 3 3 2 2" xfId="23956"/>
    <cellStyle name="Comma 6 3 2 3 3 3" xfId="10126"/>
    <cellStyle name="Comma 6 3 2 3 3 4" xfId="18949"/>
    <cellStyle name="Comma 6 3 2 3 4" xfId="2126"/>
    <cellStyle name="Comma 6 3 2 3 4 2" xfId="11493"/>
    <cellStyle name="Comma 6 3 2 3 4 3" xfId="21497"/>
    <cellStyle name="Comma 6 3 2 3 5" xfId="6323"/>
    <cellStyle name="Comma 6 3 2 3 5 2" xfId="15150"/>
    <cellStyle name="Comma 6 3 2 3 5 3" xfId="25401"/>
    <cellStyle name="Comma 6 3 2 3 6" xfId="7769"/>
    <cellStyle name="Comma 6 3 2 3 6 2" xfId="20688"/>
    <cellStyle name="Comma 6 3 2 3 7" xfId="16490"/>
    <cellStyle name="Comma 6 3 2 4" xfId="3017"/>
    <cellStyle name="Comma 6 3 2 4 2" xfId="5395"/>
    <cellStyle name="Comma 6 3 2 4 2 2" xfId="14234"/>
    <cellStyle name="Comma 6 3 2 4 2 2 2" xfId="24485"/>
    <cellStyle name="Comma 6 3 2 4 2 3" xfId="10655"/>
    <cellStyle name="Comma 6 3 2 4 2 4" xfId="19478"/>
    <cellStyle name="Comma 6 3 2 4 3" xfId="6852"/>
    <cellStyle name="Comma 6 3 2 4 3 2" xfId="15679"/>
    <cellStyle name="Comma 6 3 2 4 3 3" xfId="25930"/>
    <cellStyle name="Comma 6 3 2 4 4" xfId="8298"/>
    <cellStyle name="Comma 6 3 2 4 4 2" xfId="22380"/>
    <cellStyle name="Comma 6 3 2 4 5" xfId="17373"/>
    <cellStyle name="Comma 6 3 2 5" xfId="4351"/>
    <cellStyle name="Comma 6 3 2 5 2" xfId="13191"/>
    <cellStyle name="Comma 6 3 2 5 2 2" xfId="23442"/>
    <cellStyle name="Comma 6 3 2 5 3" xfId="9612"/>
    <cellStyle name="Comma 6 3 2 5 4" xfId="18435"/>
    <cellStyle name="Comma 6 3 2 6" xfId="1623"/>
    <cellStyle name="Comma 6 3 2 6 2" xfId="11002"/>
    <cellStyle name="Comma 6 3 2 6 3" xfId="21006"/>
    <cellStyle name="Comma 6 3 2 7" xfId="5809"/>
    <cellStyle name="Comma 6 3 2 7 2" xfId="14636"/>
    <cellStyle name="Comma 6 3 2 7 3" xfId="24887"/>
    <cellStyle name="Comma 6 3 2 8" xfId="7253"/>
    <cellStyle name="Comma 6 3 2 8 2" xfId="19979"/>
    <cellStyle name="Comma 6 3 2 9" xfId="15999"/>
    <cellStyle name="Comma 6 3 3" xfId="430"/>
    <cellStyle name="Comma 6 3 3 2" xfId="2917"/>
    <cellStyle name="Comma 6 3 3 2 2" xfId="12207"/>
    <cellStyle name="Comma 6 3 3 2 2 2" xfId="22280"/>
    <cellStyle name="Comma 6 3 3 2 3" xfId="8614"/>
    <cellStyle name="Comma 6 3 3 2 4" xfId="17273"/>
    <cellStyle name="Comma 6 3 3 3" xfId="4516"/>
    <cellStyle name="Comma 6 3 3 3 2" xfId="13356"/>
    <cellStyle name="Comma 6 3 3 3 2 2" xfId="23607"/>
    <cellStyle name="Comma 6 3 3 3 3" xfId="9777"/>
    <cellStyle name="Comma 6 3 3 3 4" xfId="18600"/>
    <cellStyle name="Comma 6 3 3 4" xfId="2026"/>
    <cellStyle name="Comma 6 3 3 4 2" xfId="11393"/>
    <cellStyle name="Comma 6 3 3 4 3" xfId="21397"/>
    <cellStyle name="Comma 6 3 3 5" xfId="5974"/>
    <cellStyle name="Comma 6 3 3 5 2" xfId="14801"/>
    <cellStyle name="Comma 6 3 3 5 3" xfId="25052"/>
    <cellStyle name="Comma 6 3 3 6" xfId="7418"/>
    <cellStyle name="Comma 6 3 3 6 2" xfId="19879"/>
    <cellStyle name="Comma 6 3 3 7" xfId="16390"/>
    <cellStyle name="Comma 6 3 4" xfId="700"/>
    <cellStyle name="Comma 6 3 4 2" xfId="3187"/>
    <cellStyle name="Comma 6 3 4 2 2" xfId="12332"/>
    <cellStyle name="Comma 6 3 4 2 2 2" xfId="22550"/>
    <cellStyle name="Comma 6 3 4 2 3" xfId="8754"/>
    <cellStyle name="Comma 6 3 4 2 4" xfId="17543"/>
    <cellStyle name="Comma 6 3 4 3" xfId="4865"/>
    <cellStyle name="Comma 6 3 4 3 2" xfId="13704"/>
    <cellStyle name="Comma 6 3 4 3 2 2" xfId="23955"/>
    <cellStyle name="Comma 6 3 4 3 3" xfId="10125"/>
    <cellStyle name="Comma 6 3 4 3 4" xfId="18948"/>
    <cellStyle name="Comma 6 3 4 4" xfId="2296"/>
    <cellStyle name="Comma 6 3 4 4 2" xfId="11663"/>
    <cellStyle name="Comma 6 3 4 4 3" xfId="21667"/>
    <cellStyle name="Comma 6 3 4 5" xfId="6322"/>
    <cellStyle name="Comma 6 3 4 5 2" xfId="15149"/>
    <cellStyle name="Comma 6 3 4 5 3" xfId="25400"/>
    <cellStyle name="Comma 6 3 4 6" xfId="7768"/>
    <cellStyle name="Comma 6 3 4 6 2" xfId="20149"/>
    <cellStyle name="Comma 6 3 4 7" xfId="16660"/>
    <cellStyle name="Comma 6 3 5" xfId="1202"/>
    <cellStyle name="Comma 6 3 5 2" xfId="3632"/>
    <cellStyle name="Comma 6 3 5 2 2" xfId="12770"/>
    <cellStyle name="Comma 6 3 5 2 2 2" xfId="22989"/>
    <cellStyle name="Comma 6 3 5 2 3" xfId="9191"/>
    <cellStyle name="Comma 6 3 5 2 4" xfId="17982"/>
    <cellStyle name="Comma 6 3 5 3" xfId="5295"/>
    <cellStyle name="Comma 6 3 5 3 2" xfId="14134"/>
    <cellStyle name="Comma 6 3 5 3 2 2" xfId="24385"/>
    <cellStyle name="Comma 6 3 5 3 3" xfId="10555"/>
    <cellStyle name="Comma 6 3 5 3 4" xfId="19378"/>
    <cellStyle name="Comma 6 3 5 4" xfId="1805"/>
    <cellStyle name="Comma 6 3 5 4 2" xfId="11176"/>
    <cellStyle name="Comma 6 3 5 4 3" xfId="21180"/>
    <cellStyle name="Comma 6 3 5 5" xfId="6752"/>
    <cellStyle name="Comma 6 3 5 5 2" xfId="15579"/>
    <cellStyle name="Comma 6 3 5 5 3" xfId="25830"/>
    <cellStyle name="Comma 6 3 5 6" xfId="8198"/>
    <cellStyle name="Comma 6 3 5 6 2" xfId="20588"/>
    <cellStyle name="Comma 6 3 5 7" xfId="16173"/>
    <cellStyle name="Comma 6 3 6" xfId="2700"/>
    <cellStyle name="Comma 6 3 6 2" xfId="12019"/>
    <cellStyle name="Comma 6 3 6 2 2" xfId="22063"/>
    <cellStyle name="Comma 6 3 6 3" xfId="8451"/>
    <cellStyle name="Comma 6 3 6 4" xfId="17056"/>
    <cellStyle name="Comma 6 3 7" xfId="4251"/>
    <cellStyle name="Comma 6 3 7 2" xfId="13091"/>
    <cellStyle name="Comma 6 3 7 2 2" xfId="23342"/>
    <cellStyle name="Comma 6 3 7 3" xfId="9512"/>
    <cellStyle name="Comma 6 3 7 4" xfId="18335"/>
    <cellStyle name="Comma 6 3 8" xfId="1523"/>
    <cellStyle name="Comma 6 3 8 2" xfId="10902"/>
    <cellStyle name="Comma 6 3 8 3" xfId="20906"/>
    <cellStyle name="Comma 6 3 9" xfId="5709"/>
    <cellStyle name="Comma 6 3 9 2" xfId="14536"/>
    <cellStyle name="Comma 6 3 9 3" xfId="24787"/>
    <cellStyle name="Comma 6 4" xfId="250"/>
    <cellStyle name="Comma 6 4 10" xfId="7091"/>
    <cellStyle name="Comma 6 4 10 2" xfId="19705"/>
    <cellStyle name="Comma 6 4 11" xfId="15837"/>
    <cellStyle name="Comma 6 4 2" xfId="573"/>
    <cellStyle name="Comma 6 4 2 2" xfId="703"/>
    <cellStyle name="Comma 6 4 2 2 2" xfId="3190"/>
    <cellStyle name="Comma 6 4 2 2 2 2" xfId="12335"/>
    <cellStyle name="Comma 6 4 2 2 2 2 2" xfId="22553"/>
    <cellStyle name="Comma 6 4 2 2 2 3" xfId="8757"/>
    <cellStyle name="Comma 6 4 2 2 2 4" xfId="17546"/>
    <cellStyle name="Comma 6 4 2 2 3" xfId="4519"/>
    <cellStyle name="Comma 6 4 2 2 3 2" xfId="13359"/>
    <cellStyle name="Comma 6 4 2 2 3 2 2" xfId="23610"/>
    <cellStyle name="Comma 6 4 2 2 3 3" xfId="9780"/>
    <cellStyle name="Comma 6 4 2 2 3 4" xfId="18603"/>
    <cellStyle name="Comma 6 4 2 2 4" xfId="2299"/>
    <cellStyle name="Comma 6 4 2 2 4 2" xfId="11666"/>
    <cellStyle name="Comma 6 4 2 2 4 3" xfId="21670"/>
    <cellStyle name="Comma 6 4 2 2 5" xfId="5977"/>
    <cellStyle name="Comma 6 4 2 2 5 2" xfId="14804"/>
    <cellStyle name="Comma 6 4 2 2 5 3" xfId="25055"/>
    <cellStyle name="Comma 6 4 2 2 6" xfId="7421"/>
    <cellStyle name="Comma 6 4 2 2 6 2" xfId="20152"/>
    <cellStyle name="Comma 6 4 2 2 7" xfId="16663"/>
    <cellStyle name="Comma 6 4 2 3" xfId="1345"/>
    <cellStyle name="Comma 6 4 2 3 2" xfId="3775"/>
    <cellStyle name="Comma 6 4 2 3 2 2" xfId="12913"/>
    <cellStyle name="Comma 6 4 2 3 2 2 2" xfId="23132"/>
    <cellStyle name="Comma 6 4 2 3 2 3" xfId="9334"/>
    <cellStyle name="Comma 6 4 2 3 2 4" xfId="18125"/>
    <cellStyle name="Comma 6 4 2 3 3" xfId="4868"/>
    <cellStyle name="Comma 6 4 2 3 3 2" xfId="13707"/>
    <cellStyle name="Comma 6 4 2 3 3 2 2" xfId="23958"/>
    <cellStyle name="Comma 6 4 2 3 3 3" xfId="10128"/>
    <cellStyle name="Comma 6 4 2 3 3 4" xfId="18951"/>
    <cellStyle name="Comma 6 4 2 3 4" xfId="2169"/>
    <cellStyle name="Comma 6 4 2 3 4 2" xfId="11536"/>
    <cellStyle name="Comma 6 4 2 3 4 3" xfId="21540"/>
    <cellStyle name="Comma 6 4 2 3 5" xfId="6325"/>
    <cellStyle name="Comma 6 4 2 3 5 2" xfId="15152"/>
    <cellStyle name="Comma 6 4 2 3 5 3" xfId="25403"/>
    <cellStyle name="Comma 6 4 2 3 6" xfId="7771"/>
    <cellStyle name="Comma 6 4 2 3 6 2" xfId="20731"/>
    <cellStyle name="Comma 6 4 2 3 7" xfId="16533"/>
    <cellStyle name="Comma 6 4 2 4" xfId="3060"/>
    <cellStyle name="Comma 6 4 2 4 2" xfId="5438"/>
    <cellStyle name="Comma 6 4 2 4 2 2" xfId="14277"/>
    <cellStyle name="Comma 6 4 2 4 2 2 2" xfId="24528"/>
    <cellStyle name="Comma 6 4 2 4 2 3" xfId="10698"/>
    <cellStyle name="Comma 6 4 2 4 2 4" xfId="19521"/>
    <cellStyle name="Comma 6 4 2 4 3" xfId="6895"/>
    <cellStyle name="Comma 6 4 2 4 3 2" xfId="15722"/>
    <cellStyle name="Comma 6 4 2 4 3 3" xfId="25973"/>
    <cellStyle name="Comma 6 4 2 4 4" xfId="8341"/>
    <cellStyle name="Comma 6 4 2 4 4 2" xfId="22423"/>
    <cellStyle name="Comma 6 4 2 4 5" xfId="17416"/>
    <cellStyle name="Comma 6 4 2 5" xfId="4394"/>
    <cellStyle name="Comma 6 4 2 5 2" xfId="13234"/>
    <cellStyle name="Comma 6 4 2 5 2 2" xfId="23485"/>
    <cellStyle name="Comma 6 4 2 5 3" xfId="9655"/>
    <cellStyle name="Comma 6 4 2 5 4" xfId="18478"/>
    <cellStyle name="Comma 6 4 2 6" xfId="1666"/>
    <cellStyle name="Comma 6 4 2 6 2" xfId="11045"/>
    <cellStyle name="Comma 6 4 2 6 3" xfId="21049"/>
    <cellStyle name="Comma 6 4 2 7" xfId="5852"/>
    <cellStyle name="Comma 6 4 2 7 2" xfId="14679"/>
    <cellStyle name="Comma 6 4 2 7 3" xfId="24930"/>
    <cellStyle name="Comma 6 4 2 8" xfId="7296"/>
    <cellStyle name="Comma 6 4 2 8 2" xfId="20022"/>
    <cellStyle name="Comma 6 4 2 9" xfId="16042"/>
    <cellStyle name="Comma 6 4 3" xfId="368"/>
    <cellStyle name="Comma 6 4 3 2" xfId="2855"/>
    <cellStyle name="Comma 6 4 3 2 2" xfId="12145"/>
    <cellStyle name="Comma 6 4 3 2 2 2" xfId="22218"/>
    <cellStyle name="Comma 6 4 3 2 3" xfId="6973"/>
    <cellStyle name="Comma 6 4 3 2 4" xfId="17211"/>
    <cellStyle name="Comma 6 4 3 3" xfId="4518"/>
    <cellStyle name="Comma 6 4 3 3 2" xfId="13358"/>
    <cellStyle name="Comma 6 4 3 3 2 2" xfId="23609"/>
    <cellStyle name="Comma 6 4 3 3 3" xfId="9779"/>
    <cellStyle name="Comma 6 4 3 3 4" xfId="18602"/>
    <cellStyle name="Comma 6 4 3 4" xfId="1964"/>
    <cellStyle name="Comma 6 4 3 4 2" xfId="11331"/>
    <cellStyle name="Comma 6 4 3 4 3" xfId="21335"/>
    <cellStyle name="Comma 6 4 3 5" xfId="5976"/>
    <cellStyle name="Comma 6 4 3 5 2" xfId="14803"/>
    <cellStyle name="Comma 6 4 3 5 3" xfId="25054"/>
    <cellStyle name="Comma 6 4 3 6" xfId="7420"/>
    <cellStyle name="Comma 6 4 3 6 2" xfId="19817"/>
    <cellStyle name="Comma 6 4 3 7" xfId="16328"/>
    <cellStyle name="Comma 6 4 4" xfId="702"/>
    <cellStyle name="Comma 6 4 4 2" xfId="3189"/>
    <cellStyle name="Comma 6 4 4 2 2" xfId="12334"/>
    <cellStyle name="Comma 6 4 4 2 2 2" xfId="22552"/>
    <cellStyle name="Comma 6 4 4 2 3" xfId="8756"/>
    <cellStyle name="Comma 6 4 4 2 4" xfId="17545"/>
    <cellStyle name="Comma 6 4 4 3" xfId="4867"/>
    <cellStyle name="Comma 6 4 4 3 2" xfId="13706"/>
    <cellStyle name="Comma 6 4 4 3 2 2" xfId="23957"/>
    <cellStyle name="Comma 6 4 4 3 3" xfId="10127"/>
    <cellStyle name="Comma 6 4 4 3 4" xfId="18950"/>
    <cellStyle name="Comma 6 4 4 4" xfId="2298"/>
    <cellStyle name="Comma 6 4 4 4 2" xfId="11665"/>
    <cellStyle name="Comma 6 4 4 4 3" xfId="21669"/>
    <cellStyle name="Comma 6 4 4 5" xfId="6324"/>
    <cellStyle name="Comma 6 4 4 5 2" xfId="15151"/>
    <cellStyle name="Comma 6 4 4 5 3" xfId="25402"/>
    <cellStyle name="Comma 6 4 4 6" xfId="7770"/>
    <cellStyle name="Comma 6 4 4 6 2" xfId="20151"/>
    <cellStyle name="Comma 6 4 4 7" xfId="16662"/>
    <cellStyle name="Comma 6 4 5" xfId="1140"/>
    <cellStyle name="Comma 6 4 5 2" xfId="3570"/>
    <cellStyle name="Comma 6 4 5 2 2" xfId="12708"/>
    <cellStyle name="Comma 6 4 5 2 2 2" xfId="22927"/>
    <cellStyle name="Comma 6 4 5 2 3" xfId="9129"/>
    <cellStyle name="Comma 6 4 5 2 4" xfId="17920"/>
    <cellStyle name="Comma 6 4 5 3" xfId="5233"/>
    <cellStyle name="Comma 6 4 5 3 2" xfId="14072"/>
    <cellStyle name="Comma 6 4 5 3 2 2" xfId="24323"/>
    <cellStyle name="Comma 6 4 5 3 3" xfId="10493"/>
    <cellStyle name="Comma 6 4 5 3 4" xfId="19316"/>
    <cellStyle name="Comma 6 4 5 4" xfId="1849"/>
    <cellStyle name="Comma 6 4 5 4 2" xfId="11219"/>
    <cellStyle name="Comma 6 4 5 4 3" xfId="21223"/>
    <cellStyle name="Comma 6 4 5 5" xfId="6690"/>
    <cellStyle name="Comma 6 4 5 5 2" xfId="15517"/>
    <cellStyle name="Comma 6 4 5 5 3" xfId="25768"/>
    <cellStyle name="Comma 6 4 5 6" xfId="8136"/>
    <cellStyle name="Comma 6 4 5 6 2" xfId="20526"/>
    <cellStyle name="Comma 6 4 5 7" xfId="16216"/>
    <cellStyle name="Comma 6 4 6" xfId="2743"/>
    <cellStyle name="Comma 6 4 6 2" xfId="12062"/>
    <cellStyle name="Comma 6 4 6 2 2" xfId="22106"/>
    <cellStyle name="Comma 6 4 6 3" xfId="8418"/>
    <cellStyle name="Comma 6 4 6 4" xfId="17099"/>
    <cellStyle name="Comma 6 4 7" xfId="4189"/>
    <cellStyle name="Comma 6 4 7 2" xfId="13029"/>
    <cellStyle name="Comma 6 4 7 2 2" xfId="23280"/>
    <cellStyle name="Comma 6 4 7 3" xfId="9450"/>
    <cellStyle name="Comma 6 4 7 4" xfId="18273"/>
    <cellStyle name="Comma 6 4 8" xfId="1461"/>
    <cellStyle name="Comma 6 4 8 2" xfId="10840"/>
    <cellStyle name="Comma 6 4 8 3" xfId="20844"/>
    <cellStyle name="Comma 6 4 9" xfId="5647"/>
    <cellStyle name="Comma 6 4 9 2" xfId="14474"/>
    <cellStyle name="Comma 6 4 9 3" xfId="24725"/>
    <cellStyle name="Comma 6 5" xfId="468"/>
    <cellStyle name="Comma 6 5 2" xfId="704"/>
    <cellStyle name="Comma 6 5 2 2" xfId="3191"/>
    <cellStyle name="Comma 6 5 2 2 2" xfId="12336"/>
    <cellStyle name="Comma 6 5 2 2 2 2" xfId="22554"/>
    <cellStyle name="Comma 6 5 2 2 3" xfId="8758"/>
    <cellStyle name="Comma 6 5 2 2 4" xfId="17547"/>
    <cellStyle name="Comma 6 5 2 3" xfId="4520"/>
    <cellStyle name="Comma 6 5 2 3 2" xfId="13360"/>
    <cellStyle name="Comma 6 5 2 3 2 2" xfId="23611"/>
    <cellStyle name="Comma 6 5 2 3 3" xfId="9781"/>
    <cellStyle name="Comma 6 5 2 3 4" xfId="18604"/>
    <cellStyle name="Comma 6 5 2 4" xfId="2300"/>
    <cellStyle name="Comma 6 5 2 4 2" xfId="11667"/>
    <cellStyle name="Comma 6 5 2 4 3" xfId="21671"/>
    <cellStyle name="Comma 6 5 2 5" xfId="5978"/>
    <cellStyle name="Comma 6 5 2 5 2" xfId="14805"/>
    <cellStyle name="Comma 6 5 2 5 3" xfId="25056"/>
    <cellStyle name="Comma 6 5 2 6" xfId="7422"/>
    <cellStyle name="Comma 6 5 2 6 2" xfId="20153"/>
    <cellStyle name="Comma 6 5 2 7" xfId="16664"/>
    <cellStyle name="Comma 6 5 3" xfId="1240"/>
    <cellStyle name="Comma 6 5 3 2" xfId="3670"/>
    <cellStyle name="Comma 6 5 3 2 2" xfId="12808"/>
    <cellStyle name="Comma 6 5 3 2 2 2" xfId="23027"/>
    <cellStyle name="Comma 6 5 3 2 3" xfId="9229"/>
    <cellStyle name="Comma 6 5 3 2 4" xfId="18020"/>
    <cellStyle name="Comma 6 5 3 3" xfId="4869"/>
    <cellStyle name="Comma 6 5 3 3 2" xfId="13708"/>
    <cellStyle name="Comma 6 5 3 3 2 2" xfId="23959"/>
    <cellStyle name="Comma 6 5 3 3 3" xfId="10129"/>
    <cellStyle name="Comma 6 5 3 3 4" xfId="18952"/>
    <cellStyle name="Comma 6 5 3 4" xfId="2064"/>
    <cellStyle name="Comma 6 5 3 4 2" xfId="11431"/>
    <cellStyle name="Comma 6 5 3 4 3" xfId="21435"/>
    <cellStyle name="Comma 6 5 3 5" xfId="6326"/>
    <cellStyle name="Comma 6 5 3 5 2" xfId="15153"/>
    <cellStyle name="Comma 6 5 3 5 3" xfId="25404"/>
    <cellStyle name="Comma 6 5 3 6" xfId="7772"/>
    <cellStyle name="Comma 6 5 3 6 2" xfId="20626"/>
    <cellStyle name="Comma 6 5 3 7" xfId="16428"/>
    <cellStyle name="Comma 6 5 4" xfId="2955"/>
    <cellStyle name="Comma 6 5 4 2" xfId="5333"/>
    <cellStyle name="Comma 6 5 4 2 2" xfId="14172"/>
    <cellStyle name="Comma 6 5 4 2 2 2" xfId="24423"/>
    <cellStyle name="Comma 6 5 4 2 3" xfId="10593"/>
    <cellStyle name="Comma 6 5 4 2 4" xfId="19416"/>
    <cellStyle name="Comma 6 5 4 3" xfId="6790"/>
    <cellStyle name="Comma 6 5 4 3 2" xfId="15617"/>
    <cellStyle name="Comma 6 5 4 3 3" xfId="25868"/>
    <cellStyle name="Comma 6 5 4 4" xfId="8236"/>
    <cellStyle name="Comma 6 5 4 4 2" xfId="22318"/>
    <cellStyle name="Comma 6 5 4 5" xfId="17311"/>
    <cellStyle name="Comma 6 5 5" xfId="4289"/>
    <cellStyle name="Comma 6 5 5 2" xfId="13129"/>
    <cellStyle name="Comma 6 5 5 2 2" xfId="23380"/>
    <cellStyle name="Comma 6 5 5 3" xfId="9550"/>
    <cellStyle name="Comma 6 5 5 4" xfId="18373"/>
    <cellStyle name="Comma 6 5 6" xfId="1561"/>
    <cellStyle name="Comma 6 5 6 2" xfId="10940"/>
    <cellStyle name="Comma 6 5 6 3" xfId="20944"/>
    <cellStyle name="Comma 6 5 7" xfId="5747"/>
    <cellStyle name="Comma 6 5 7 2" xfId="14574"/>
    <cellStyle name="Comma 6 5 7 3" xfId="24825"/>
    <cellStyle name="Comma 6 5 8" xfId="7191"/>
    <cellStyle name="Comma 6 5 8 2" xfId="19917"/>
    <cellStyle name="Comma 6 5 9" xfId="15937"/>
    <cellStyle name="Comma 6 6" xfId="305"/>
    <cellStyle name="Comma 6 6 2" xfId="705"/>
    <cellStyle name="Comma 6 6 2 2" xfId="3192"/>
    <cellStyle name="Comma 6 6 2 2 2" xfId="12337"/>
    <cellStyle name="Comma 6 6 2 2 2 2" xfId="22555"/>
    <cellStyle name="Comma 6 6 2 2 3" xfId="8759"/>
    <cellStyle name="Comma 6 6 2 2 4" xfId="17548"/>
    <cellStyle name="Comma 6 6 2 3" xfId="4521"/>
    <cellStyle name="Comma 6 6 2 3 2" xfId="13361"/>
    <cellStyle name="Comma 6 6 2 3 2 2" xfId="23612"/>
    <cellStyle name="Comma 6 6 2 3 3" xfId="9782"/>
    <cellStyle name="Comma 6 6 2 3 4" xfId="18605"/>
    <cellStyle name="Comma 6 6 2 4" xfId="2301"/>
    <cellStyle name="Comma 6 6 2 4 2" xfId="11668"/>
    <cellStyle name="Comma 6 6 2 4 3" xfId="21672"/>
    <cellStyle name="Comma 6 6 2 5" xfId="5979"/>
    <cellStyle name="Comma 6 6 2 5 2" xfId="14806"/>
    <cellStyle name="Comma 6 6 2 5 3" xfId="25057"/>
    <cellStyle name="Comma 6 6 2 6" xfId="7423"/>
    <cellStyle name="Comma 6 6 2 6 2" xfId="20154"/>
    <cellStyle name="Comma 6 6 2 7" xfId="16665"/>
    <cellStyle name="Comma 6 6 3" xfId="1077"/>
    <cellStyle name="Comma 6 6 3 2" xfId="3507"/>
    <cellStyle name="Comma 6 6 3 2 2" xfId="12645"/>
    <cellStyle name="Comma 6 6 3 2 2 2" xfId="22864"/>
    <cellStyle name="Comma 6 6 3 2 3" xfId="9067"/>
    <cellStyle name="Comma 6 6 3 2 4" xfId="17857"/>
    <cellStyle name="Comma 6 6 3 3" xfId="4870"/>
    <cellStyle name="Comma 6 6 3 3 2" xfId="13709"/>
    <cellStyle name="Comma 6 6 3 3 2 2" xfId="23960"/>
    <cellStyle name="Comma 6 6 3 3 3" xfId="10130"/>
    <cellStyle name="Comma 6 6 3 3 4" xfId="18953"/>
    <cellStyle name="Comma 6 6 3 4" xfId="2599"/>
    <cellStyle name="Comma 6 6 3 4 2" xfId="11965"/>
    <cellStyle name="Comma 6 6 3 4 3" xfId="21969"/>
    <cellStyle name="Comma 6 6 3 5" xfId="6327"/>
    <cellStyle name="Comma 6 6 3 5 2" xfId="15154"/>
    <cellStyle name="Comma 6 6 3 5 3" xfId="25405"/>
    <cellStyle name="Comma 6 6 3 6" xfId="7773"/>
    <cellStyle name="Comma 6 6 3 6 2" xfId="20463"/>
    <cellStyle name="Comma 6 6 3 7" xfId="16962"/>
    <cellStyle name="Comma 6 6 4" xfId="2792"/>
    <cellStyle name="Comma 6 6 4 2" xfId="5170"/>
    <cellStyle name="Comma 6 6 4 2 2" xfId="14009"/>
    <cellStyle name="Comma 6 6 4 2 2 2" xfId="24260"/>
    <cellStyle name="Comma 6 6 4 2 3" xfId="10430"/>
    <cellStyle name="Comma 6 6 4 2 4" xfId="19253"/>
    <cellStyle name="Comma 6 6 4 3" xfId="6627"/>
    <cellStyle name="Comma 6 6 4 3 2" xfId="15454"/>
    <cellStyle name="Comma 6 6 4 3 3" xfId="25705"/>
    <cellStyle name="Comma 6 6 4 4" xfId="8073"/>
    <cellStyle name="Comma 6 6 4 4 2" xfId="22155"/>
    <cellStyle name="Comma 6 6 4 5" xfId="17148"/>
    <cellStyle name="Comma 6 6 5" xfId="4124"/>
    <cellStyle name="Comma 6 6 5 2" xfId="12964"/>
    <cellStyle name="Comma 6 6 5 2 2" xfId="23215"/>
    <cellStyle name="Comma 6 6 5 3" xfId="9385"/>
    <cellStyle name="Comma 6 6 5 4" xfId="18208"/>
    <cellStyle name="Comma 6 6 6" xfId="1901"/>
    <cellStyle name="Comma 6 6 6 2" xfId="11268"/>
    <cellStyle name="Comma 6 6 6 3" xfId="21272"/>
    <cellStyle name="Comma 6 6 7" xfId="5584"/>
    <cellStyle name="Comma 6 6 7 2" xfId="14411"/>
    <cellStyle name="Comma 6 6 7 3" xfId="24662"/>
    <cellStyle name="Comma 6 6 8" xfId="7028"/>
    <cellStyle name="Comma 6 6 8 2" xfId="19754"/>
    <cellStyle name="Comma 6 6 9" xfId="16265"/>
    <cellStyle name="Comma 6 7" xfId="694"/>
    <cellStyle name="Comma 6 7 2" xfId="3181"/>
    <cellStyle name="Comma 6 7 2 2" xfId="12326"/>
    <cellStyle name="Comma 6 7 2 2 2" xfId="22544"/>
    <cellStyle name="Comma 6 7 2 3" xfId="8748"/>
    <cellStyle name="Comma 6 7 2 4" xfId="17537"/>
    <cellStyle name="Comma 6 7 3" xfId="4510"/>
    <cellStyle name="Comma 6 7 3 2" xfId="13350"/>
    <cellStyle name="Comma 6 7 3 2 2" xfId="23601"/>
    <cellStyle name="Comma 6 7 3 3" xfId="9771"/>
    <cellStyle name="Comma 6 7 3 4" xfId="18594"/>
    <cellStyle name="Comma 6 7 4" xfId="2290"/>
    <cellStyle name="Comma 6 7 4 2" xfId="11657"/>
    <cellStyle name="Comma 6 7 4 3" xfId="21661"/>
    <cellStyle name="Comma 6 7 5" xfId="5968"/>
    <cellStyle name="Comma 6 7 5 2" xfId="14795"/>
    <cellStyle name="Comma 6 7 5 3" xfId="25046"/>
    <cellStyle name="Comma 6 7 6" xfId="7412"/>
    <cellStyle name="Comma 6 7 6 2" xfId="20143"/>
    <cellStyle name="Comma 6 7 7" xfId="16654"/>
    <cellStyle name="Comma 6 8" xfId="1057"/>
    <cellStyle name="Comma 6 8 2" xfId="3487"/>
    <cellStyle name="Comma 6 8 2 2" xfId="12625"/>
    <cellStyle name="Comma 6 8 2 2 2" xfId="22844"/>
    <cellStyle name="Comma 6 8 2 3" xfId="9047"/>
    <cellStyle name="Comma 6 8 2 4" xfId="17837"/>
    <cellStyle name="Comma 6 8 3" xfId="4859"/>
    <cellStyle name="Comma 6 8 3 2" xfId="13698"/>
    <cellStyle name="Comma 6 8 3 2 2" xfId="23949"/>
    <cellStyle name="Comma 6 8 3 3" xfId="10119"/>
    <cellStyle name="Comma 6 8 3 4" xfId="18942"/>
    <cellStyle name="Comma 6 8 4" xfId="1737"/>
    <cellStyle name="Comma 6 8 4 2" xfId="11113"/>
    <cellStyle name="Comma 6 8 4 3" xfId="21117"/>
    <cellStyle name="Comma 6 8 5" xfId="6316"/>
    <cellStyle name="Comma 6 8 5 2" xfId="15143"/>
    <cellStyle name="Comma 6 8 5 3" xfId="25394"/>
    <cellStyle name="Comma 6 8 6" xfId="7762"/>
    <cellStyle name="Comma 6 8 6 2" xfId="20443"/>
    <cellStyle name="Comma 6 8 7" xfId="16110"/>
    <cellStyle name="Comma 6 9" xfId="2635"/>
    <cellStyle name="Comma 6 9 2" xfId="5150"/>
    <cellStyle name="Comma 6 9 2 2" xfId="13989"/>
    <cellStyle name="Comma 6 9 2 2 2" xfId="24240"/>
    <cellStyle name="Comma 6 9 2 3" xfId="10410"/>
    <cellStyle name="Comma 6 9 2 4" xfId="19233"/>
    <cellStyle name="Comma 6 9 3" xfId="6607"/>
    <cellStyle name="Comma 6 9 3 2" xfId="15434"/>
    <cellStyle name="Comma 6 9 3 3" xfId="25685"/>
    <cellStyle name="Comma 6 9 4" xfId="8053"/>
    <cellStyle name="Comma 6 9 4 2" xfId="22000"/>
    <cellStyle name="Comma 6 9 5" xfId="16993"/>
    <cellStyle name="Comma 7" xfId="126"/>
    <cellStyle name="Explanatory Text 2" xfId="1021"/>
    <cellStyle name="Good 2" xfId="1022"/>
    <cellStyle name="Heading 1 2" xfId="1023"/>
    <cellStyle name="Heading 2 2" xfId="1024"/>
    <cellStyle name="Heading 3 2" xfId="1025"/>
    <cellStyle name="Heading 4 2" xfId="1026"/>
    <cellStyle name="Input 2" xfId="1027"/>
    <cellStyle name="Input 3" xfId="1041"/>
    <cellStyle name="Linked Cell 2" xfId="1028"/>
    <cellStyle name="Neutral 2" xfId="1029"/>
    <cellStyle name="Normal" xfId="0" builtinId="0"/>
    <cellStyle name="Normal 10" xfId="21"/>
    <cellStyle name="Normal 10 10" xfId="5510"/>
    <cellStyle name="Normal 10 10 2" xfId="14339"/>
    <cellStyle name="Normal 10 10 3" xfId="24590"/>
    <cellStyle name="Normal 10 11" xfId="6950"/>
    <cellStyle name="Normal 10 2" xfId="115"/>
    <cellStyle name="Normal 10 2 10" xfId="4115"/>
    <cellStyle name="Normal 10 2 10 2" xfId="5575"/>
    <cellStyle name="Normal 10 2 10 2 2" xfId="14402"/>
    <cellStyle name="Normal 10 2 10 2 3" xfId="24653"/>
    <cellStyle name="Normal 10 2 10 3" xfId="7019"/>
    <cellStyle name="Normal 10 2 10 3 2" xfId="23206"/>
    <cellStyle name="Normal 10 2 10 4" xfId="18199"/>
    <cellStyle name="Normal 10 2 11" xfId="1409"/>
    <cellStyle name="Normal 10 2 11 2" xfId="10788"/>
    <cellStyle name="Normal 10 2 11 3" xfId="20792"/>
    <cellStyle name="Normal 10 2 12" xfId="5514"/>
    <cellStyle name="Normal 10 2 12 2" xfId="14343"/>
    <cellStyle name="Normal 10 2 12 3" xfId="24594"/>
    <cellStyle name="Normal 10 2 13" xfId="6955"/>
    <cellStyle name="Normal 10 2 13 2" xfId="19593"/>
    <cellStyle name="Normal 10 2 14" xfId="15785"/>
    <cellStyle name="Normal 10 2 2" xfId="168"/>
    <cellStyle name="Normal 10 2 2 10" xfId="1434"/>
    <cellStyle name="Normal 10 2 2 10 2" xfId="10813"/>
    <cellStyle name="Normal 10 2 2 10 3" xfId="20817"/>
    <cellStyle name="Normal 10 2 2 11" xfId="5543"/>
    <cellStyle name="Normal 10 2 2 11 2" xfId="14372"/>
    <cellStyle name="Normal 10 2 2 11 3" xfId="24623"/>
    <cellStyle name="Normal 10 2 2 12" xfId="6989"/>
    <cellStyle name="Normal 10 2 2 12 2" xfId="19630"/>
    <cellStyle name="Normal 10 2 2 13" xfId="15810"/>
    <cellStyle name="Normal 10 2 2 2" xfId="215"/>
    <cellStyle name="Normal 10 2 2 2 10" xfId="7164"/>
    <cellStyle name="Normal 10 2 2 2 10 2" xfId="19673"/>
    <cellStyle name="Normal 10 2 2 2 11" xfId="15910"/>
    <cellStyle name="Normal 10 2 2 2 2" xfId="541"/>
    <cellStyle name="Normal 10 2 2 2 2 2" xfId="710"/>
    <cellStyle name="Normal 10 2 2 2 2 2 2" xfId="3197"/>
    <cellStyle name="Normal 10 2 2 2 2 2 2 2" xfId="12342"/>
    <cellStyle name="Normal 10 2 2 2 2 2 2 2 2" xfId="22560"/>
    <cellStyle name="Normal 10 2 2 2 2 2 2 3" xfId="8764"/>
    <cellStyle name="Normal 10 2 2 2 2 2 2 4" xfId="17553"/>
    <cellStyle name="Normal 10 2 2 2 2 2 3" xfId="4526"/>
    <cellStyle name="Normal 10 2 2 2 2 2 3 2" xfId="13366"/>
    <cellStyle name="Normal 10 2 2 2 2 2 3 2 2" xfId="23617"/>
    <cellStyle name="Normal 10 2 2 2 2 2 3 3" xfId="9787"/>
    <cellStyle name="Normal 10 2 2 2 2 2 3 4" xfId="18610"/>
    <cellStyle name="Normal 10 2 2 2 2 2 4" xfId="2306"/>
    <cellStyle name="Normal 10 2 2 2 2 2 4 2" xfId="11673"/>
    <cellStyle name="Normal 10 2 2 2 2 2 4 3" xfId="21677"/>
    <cellStyle name="Normal 10 2 2 2 2 2 5" xfId="5984"/>
    <cellStyle name="Normal 10 2 2 2 2 2 5 2" xfId="14811"/>
    <cellStyle name="Normal 10 2 2 2 2 2 5 3" xfId="25062"/>
    <cellStyle name="Normal 10 2 2 2 2 2 6" xfId="7428"/>
    <cellStyle name="Normal 10 2 2 2 2 2 6 2" xfId="20159"/>
    <cellStyle name="Normal 10 2 2 2 2 2 7" xfId="16670"/>
    <cellStyle name="Normal 10 2 2 2 2 3" xfId="1313"/>
    <cellStyle name="Normal 10 2 2 2 2 3 2" xfId="3743"/>
    <cellStyle name="Normal 10 2 2 2 2 3 2 2" xfId="12881"/>
    <cellStyle name="Normal 10 2 2 2 2 3 2 2 2" xfId="23100"/>
    <cellStyle name="Normal 10 2 2 2 2 3 2 3" xfId="9302"/>
    <cellStyle name="Normal 10 2 2 2 2 3 2 4" xfId="18093"/>
    <cellStyle name="Normal 10 2 2 2 2 3 3" xfId="4875"/>
    <cellStyle name="Normal 10 2 2 2 2 3 3 2" xfId="13714"/>
    <cellStyle name="Normal 10 2 2 2 2 3 3 2 2" xfId="23965"/>
    <cellStyle name="Normal 10 2 2 2 2 3 3 3" xfId="10135"/>
    <cellStyle name="Normal 10 2 2 2 2 3 3 4" xfId="18958"/>
    <cellStyle name="Normal 10 2 2 2 2 3 4" xfId="2137"/>
    <cellStyle name="Normal 10 2 2 2 2 3 4 2" xfId="11504"/>
    <cellStyle name="Normal 10 2 2 2 2 3 4 3" xfId="21508"/>
    <cellStyle name="Normal 10 2 2 2 2 3 5" xfId="6332"/>
    <cellStyle name="Normal 10 2 2 2 2 3 5 2" xfId="15159"/>
    <cellStyle name="Normal 10 2 2 2 2 3 5 3" xfId="25410"/>
    <cellStyle name="Normal 10 2 2 2 2 3 6" xfId="7778"/>
    <cellStyle name="Normal 10 2 2 2 2 3 6 2" xfId="20699"/>
    <cellStyle name="Normal 10 2 2 2 2 3 7" xfId="16501"/>
    <cellStyle name="Normal 10 2 2 2 2 4" xfId="3028"/>
    <cellStyle name="Normal 10 2 2 2 2 4 2" xfId="5406"/>
    <cellStyle name="Normal 10 2 2 2 2 4 2 2" xfId="14245"/>
    <cellStyle name="Normal 10 2 2 2 2 4 2 2 2" xfId="24496"/>
    <cellStyle name="Normal 10 2 2 2 2 4 2 3" xfId="10666"/>
    <cellStyle name="Normal 10 2 2 2 2 4 2 4" xfId="19489"/>
    <cellStyle name="Normal 10 2 2 2 2 4 3" xfId="6863"/>
    <cellStyle name="Normal 10 2 2 2 2 4 3 2" xfId="15690"/>
    <cellStyle name="Normal 10 2 2 2 2 4 3 3" xfId="25941"/>
    <cellStyle name="Normal 10 2 2 2 2 4 4" xfId="8309"/>
    <cellStyle name="Normal 10 2 2 2 2 4 4 2" xfId="22391"/>
    <cellStyle name="Normal 10 2 2 2 2 4 5" xfId="17384"/>
    <cellStyle name="Normal 10 2 2 2 2 5" xfId="4362"/>
    <cellStyle name="Normal 10 2 2 2 2 5 2" xfId="13202"/>
    <cellStyle name="Normal 10 2 2 2 2 5 2 2" xfId="23453"/>
    <cellStyle name="Normal 10 2 2 2 2 5 3" xfId="9623"/>
    <cellStyle name="Normal 10 2 2 2 2 5 4" xfId="18446"/>
    <cellStyle name="Normal 10 2 2 2 2 6" xfId="1634"/>
    <cellStyle name="Normal 10 2 2 2 2 6 2" xfId="11013"/>
    <cellStyle name="Normal 10 2 2 2 2 6 3" xfId="21017"/>
    <cellStyle name="Normal 10 2 2 2 2 7" xfId="5820"/>
    <cellStyle name="Normal 10 2 2 2 2 7 2" xfId="14647"/>
    <cellStyle name="Normal 10 2 2 2 2 7 3" xfId="24898"/>
    <cellStyle name="Normal 10 2 2 2 2 8" xfId="7264"/>
    <cellStyle name="Normal 10 2 2 2 2 8 2" xfId="19990"/>
    <cellStyle name="Normal 10 2 2 2 2 9" xfId="16010"/>
    <cellStyle name="Normal 10 2 2 2 2_Degree data" xfId="3908"/>
    <cellStyle name="Normal 10 2 2 2 3" xfId="441"/>
    <cellStyle name="Normal 10 2 2 2 3 2" xfId="2928"/>
    <cellStyle name="Normal 10 2 2 2 3 2 2" xfId="12218"/>
    <cellStyle name="Normal 10 2 2 2 3 2 2 2" xfId="22291"/>
    <cellStyle name="Normal 10 2 2 2 3 2 3" xfId="8456"/>
    <cellStyle name="Normal 10 2 2 2 3 2 4" xfId="17284"/>
    <cellStyle name="Normal 10 2 2 2 3 3" xfId="4525"/>
    <cellStyle name="Normal 10 2 2 2 3 3 2" xfId="13365"/>
    <cellStyle name="Normal 10 2 2 2 3 3 2 2" xfId="23616"/>
    <cellStyle name="Normal 10 2 2 2 3 3 3" xfId="9786"/>
    <cellStyle name="Normal 10 2 2 2 3 3 4" xfId="18609"/>
    <cellStyle name="Normal 10 2 2 2 3 4" xfId="2037"/>
    <cellStyle name="Normal 10 2 2 2 3 4 2" xfId="11404"/>
    <cellStyle name="Normal 10 2 2 2 3 4 3" xfId="21408"/>
    <cellStyle name="Normal 10 2 2 2 3 5" xfId="5983"/>
    <cellStyle name="Normal 10 2 2 2 3 5 2" xfId="14810"/>
    <cellStyle name="Normal 10 2 2 2 3 5 3" xfId="25061"/>
    <cellStyle name="Normal 10 2 2 2 3 6" xfId="7427"/>
    <cellStyle name="Normal 10 2 2 2 3 6 2" xfId="19890"/>
    <cellStyle name="Normal 10 2 2 2 3 7" xfId="16401"/>
    <cellStyle name="Normal 10 2 2 2 4" xfId="709"/>
    <cellStyle name="Normal 10 2 2 2 4 2" xfId="3196"/>
    <cellStyle name="Normal 10 2 2 2 4 2 2" xfId="12341"/>
    <cellStyle name="Normal 10 2 2 2 4 2 2 2" xfId="22559"/>
    <cellStyle name="Normal 10 2 2 2 4 2 3" xfId="8763"/>
    <cellStyle name="Normal 10 2 2 2 4 2 4" xfId="17552"/>
    <cellStyle name="Normal 10 2 2 2 4 3" xfId="4874"/>
    <cellStyle name="Normal 10 2 2 2 4 3 2" xfId="13713"/>
    <cellStyle name="Normal 10 2 2 2 4 3 2 2" xfId="23964"/>
    <cellStyle name="Normal 10 2 2 2 4 3 3" xfId="10134"/>
    <cellStyle name="Normal 10 2 2 2 4 3 4" xfId="18957"/>
    <cellStyle name="Normal 10 2 2 2 4 4" xfId="2305"/>
    <cellStyle name="Normal 10 2 2 2 4 4 2" xfId="11672"/>
    <cellStyle name="Normal 10 2 2 2 4 4 3" xfId="21676"/>
    <cellStyle name="Normal 10 2 2 2 4 5" xfId="6331"/>
    <cellStyle name="Normal 10 2 2 2 4 5 2" xfId="15158"/>
    <cellStyle name="Normal 10 2 2 2 4 5 3" xfId="25409"/>
    <cellStyle name="Normal 10 2 2 2 4 6" xfId="7777"/>
    <cellStyle name="Normal 10 2 2 2 4 6 2" xfId="20158"/>
    <cellStyle name="Normal 10 2 2 2 4 7" xfId="16669"/>
    <cellStyle name="Normal 10 2 2 2 5" xfId="1213"/>
    <cellStyle name="Normal 10 2 2 2 5 2" xfId="3643"/>
    <cellStyle name="Normal 10 2 2 2 5 2 2" xfId="12781"/>
    <cellStyle name="Normal 10 2 2 2 5 2 2 2" xfId="23000"/>
    <cellStyle name="Normal 10 2 2 2 5 2 3" xfId="9202"/>
    <cellStyle name="Normal 10 2 2 2 5 2 4" xfId="17993"/>
    <cellStyle name="Normal 10 2 2 2 5 3" xfId="5306"/>
    <cellStyle name="Normal 10 2 2 2 5 3 2" xfId="14145"/>
    <cellStyle name="Normal 10 2 2 2 5 3 2 2" xfId="24396"/>
    <cellStyle name="Normal 10 2 2 2 5 3 3" xfId="10566"/>
    <cellStyle name="Normal 10 2 2 2 5 3 4" xfId="19389"/>
    <cellStyle name="Normal 10 2 2 2 5 4" xfId="1817"/>
    <cellStyle name="Normal 10 2 2 2 5 4 2" xfId="11187"/>
    <cellStyle name="Normal 10 2 2 2 5 4 3" xfId="21191"/>
    <cellStyle name="Normal 10 2 2 2 5 5" xfId="6763"/>
    <cellStyle name="Normal 10 2 2 2 5 5 2" xfId="15590"/>
    <cellStyle name="Normal 10 2 2 2 5 5 3" xfId="25841"/>
    <cellStyle name="Normal 10 2 2 2 5 6" xfId="8209"/>
    <cellStyle name="Normal 10 2 2 2 5 6 2" xfId="20599"/>
    <cellStyle name="Normal 10 2 2 2 5 7" xfId="16184"/>
    <cellStyle name="Normal 10 2 2 2 6" xfId="2711"/>
    <cellStyle name="Normal 10 2 2 2 6 2" xfId="12030"/>
    <cellStyle name="Normal 10 2 2 2 6 2 2" xfId="22074"/>
    <cellStyle name="Normal 10 2 2 2 6 3" xfId="8420"/>
    <cellStyle name="Normal 10 2 2 2 6 4" xfId="17067"/>
    <cellStyle name="Normal 10 2 2 2 7" xfId="4262"/>
    <cellStyle name="Normal 10 2 2 2 7 2" xfId="13102"/>
    <cellStyle name="Normal 10 2 2 2 7 2 2" xfId="23353"/>
    <cellStyle name="Normal 10 2 2 2 7 3" xfId="9523"/>
    <cellStyle name="Normal 10 2 2 2 7 4" xfId="18346"/>
    <cellStyle name="Normal 10 2 2 2 8" xfId="1534"/>
    <cellStyle name="Normal 10 2 2 2 8 2" xfId="10913"/>
    <cellStyle name="Normal 10 2 2 2 8 3" xfId="20917"/>
    <cellStyle name="Normal 10 2 2 2 9" xfId="5720"/>
    <cellStyle name="Normal 10 2 2 2 9 2" xfId="14547"/>
    <cellStyle name="Normal 10 2 2 2 9 3" xfId="24798"/>
    <cellStyle name="Normal 10 2 2 2_Degree data" xfId="3904"/>
    <cellStyle name="Normal 10 2 2 3" xfId="280"/>
    <cellStyle name="Normal 10 2 2 3 10" xfId="7121"/>
    <cellStyle name="Normal 10 2 2 3 10 2" xfId="19734"/>
    <cellStyle name="Normal 10 2 2 3 11" xfId="15867"/>
    <cellStyle name="Normal 10 2 2 3 2" xfId="602"/>
    <cellStyle name="Normal 10 2 2 3 2 2" xfId="712"/>
    <cellStyle name="Normal 10 2 2 3 2 2 2" xfId="3199"/>
    <cellStyle name="Normal 10 2 2 3 2 2 2 2" xfId="12344"/>
    <cellStyle name="Normal 10 2 2 3 2 2 2 2 2" xfId="22562"/>
    <cellStyle name="Normal 10 2 2 3 2 2 2 3" xfId="8766"/>
    <cellStyle name="Normal 10 2 2 3 2 2 2 4" xfId="17555"/>
    <cellStyle name="Normal 10 2 2 3 2 2 3" xfId="4528"/>
    <cellStyle name="Normal 10 2 2 3 2 2 3 2" xfId="13368"/>
    <cellStyle name="Normal 10 2 2 3 2 2 3 2 2" xfId="23619"/>
    <cellStyle name="Normal 10 2 2 3 2 2 3 3" xfId="9789"/>
    <cellStyle name="Normal 10 2 2 3 2 2 3 4" xfId="18612"/>
    <cellStyle name="Normal 10 2 2 3 2 2 4" xfId="2308"/>
    <cellStyle name="Normal 10 2 2 3 2 2 4 2" xfId="11675"/>
    <cellStyle name="Normal 10 2 2 3 2 2 4 3" xfId="21679"/>
    <cellStyle name="Normal 10 2 2 3 2 2 5" xfId="5986"/>
    <cellStyle name="Normal 10 2 2 3 2 2 5 2" xfId="14813"/>
    <cellStyle name="Normal 10 2 2 3 2 2 5 3" xfId="25064"/>
    <cellStyle name="Normal 10 2 2 3 2 2 6" xfId="7430"/>
    <cellStyle name="Normal 10 2 2 3 2 2 6 2" xfId="20161"/>
    <cellStyle name="Normal 10 2 2 3 2 2 7" xfId="16672"/>
    <cellStyle name="Normal 10 2 2 3 2 3" xfId="1374"/>
    <cellStyle name="Normal 10 2 2 3 2 3 2" xfId="3804"/>
    <cellStyle name="Normal 10 2 2 3 2 3 2 2" xfId="12942"/>
    <cellStyle name="Normal 10 2 2 3 2 3 2 2 2" xfId="23161"/>
    <cellStyle name="Normal 10 2 2 3 2 3 2 3" xfId="9363"/>
    <cellStyle name="Normal 10 2 2 3 2 3 2 4" xfId="18154"/>
    <cellStyle name="Normal 10 2 2 3 2 3 3" xfId="4877"/>
    <cellStyle name="Normal 10 2 2 3 2 3 3 2" xfId="13716"/>
    <cellStyle name="Normal 10 2 2 3 2 3 3 2 2" xfId="23967"/>
    <cellStyle name="Normal 10 2 2 3 2 3 3 3" xfId="10137"/>
    <cellStyle name="Normal 10 2 2 3 2 3 3 4" xfId="18960"/>
    <cellStyle name="Normal 10 2 2 3 2 3 4" xfId="2198"/>
    <cellStyle name="Normal 10 2 2 3 2 3 4 2" xfId="11565"/>
    <cellStyle name="Normal 10 2 2 3 2 3 4 3" xfId="21569"/>
    <cellStyle name="Normal 10 2 2 3 2 3 5" xfId="6334"/>
    <cellStyle name="Normal 10 2 2 3 2 3 5 2" xfId="15161"/>
    <cellStyle name="Normal 10 2 2 3 2 3 5 3" xfId="25412"/>
    <cellStyle name="Normal 10 2 2 3 2 3 6" xfId="7780"/>
    <cellStyle name="Normal 10 2 2 3 2 3 6 2" xfId="20760"/>
    <cellStyle name="Normal 10 2 2 3 2 3 7" xfId="16562"/>
    <cellStyle name="Normal 10 2 2 3 2 4" xfId="3089"/>
    <cellStyle name="Normal 10 2 2 3 2 4 2" xfId="5467"/>
    <cellStyle name="Normal 10 2 2 3 2 4 2 2" xfId="14306"/>
    <cellStyle name="Normal 10 2 2 3 2 4 2 2 2" xfId="24557"/>
    <cellStyle name="Normal 10 2 2 3 2 4 2 3" xfId="10727"/>
    <cellStyle name="Normal 10 2 2 3 2 4 2 4" xfId="19550"/>
    <cellStyle name="Normal 10 2 2 3 2 4 3" xfId="6924"/>
    <cellStyle name="Normal 10 2 2 3 2 4 3 2" xfId="15751"/>
    <cellStyle name="Normal 10 2 2 3 2 4 3 3" xfId="26002"/>
    <cellStyle name="Normal 10 2 2 3 2 4 4" xfId="8370"/>
    <cellStyle name="Normal 10 2 2 3 2 4 4 2" xfId="22452"/>
    <cellStyle name="Normal 10 2 2 3 2 4 5" xfId="17445"/>
    <cellStyle name="Normal 10 2 2 3 2 5" xfId="4423"/>
    <cellStyle name="Normal 10 2 2 3 2 5 2" xfId="13263"/>
    <cellStyle name="Normal 10 2 2 3 2 5 2 2" xfId="23514"/>
    <cellStyle name="Normal 10 2 2 3 2 5 3" xfId="9684"/>
    <cellStyle name="Normal 10 2 2 3 2 5 4" xfId="18507"/>
    <cellStyle name="Normal 10 2 2 3 2 6" xfId="1695"/>
    <cellStyle name="Normal 10 2 2 3 2 6 2" xfId="11074"/>
    <cellStyle name="Normal 10 2 2 3 2 6 3" xfId="21078"/>
    <cellStyle name="Normal 10 2 2 3 2 7" xfId="5881"/>
    <cellStyle name="Normal 10 2 2 3 2 7 2" xfId="14708"/>
    <cellStyle name="Normal 10 2 2 3 2 7 3" xfId="24959"/>
    <cellStyle name="Normal 10 2 2 3 2 8" xfId="7325"/>
    <cellStyle name="Normal 10 2 2 3 2 8 2" xfId="20051"/>
    <cellStyle name="Normal 10 2 2 3 2 9" xfId="16071"/>
    <cellStyle name="Normal 10 2 2 3 2_Degree data" xfId="2615"/>
    <cellStyle name="Normal 10 2 2 3 3" xfId="398"/>
    <cellStyle name="Normal 10 2 2 3 3 2" xfId="2885"/>
    <cellStyle name="Normal 10 2 2 3 3 2 2" xfId="12175"/>
    <cellStyle name="Normal 10 2 2 3 3 2 2 2" xfId="22248"/>
    <cellStyle name="Normal 10 2 2 3 3 2 3" xfId="8467"/>
    <cellStyle name="Normal 10 2 2 3 3 2 4" xfId="17241"/>
    <cellStyle name="Normal 10 2 2 3 3 3" xfId="4527"/>
    <cellStyle name="Normal 10 2 2 3 3 3 2" xfId="13367"/>
    <cellStyle name="Normal 10 2 2 3 3 3 2 2" xfId="23618"/>
    <cellStyle name="Normal 10 2 2 3 3 3 3" xfId="9788"/>
    <cellStyle name="Normal 10 2 2 3 3 3 4" xfId="18611"/>
    <cellStyle name="Normal 10 2 2 3 3 4" xfId="1994"/>
    <cellStyle name="Normal 10 2 2 3 3 4 2" xfId="11361"/>
    <cellStyle name="Normal 10 2 2 3 3 4 3" xfId="21365"/>
    <cellStyle name="Normal 10 2 2 3 3 5" xfId="5985"/>
    <cellStyle name="Normal 10 2 2 3 3 5 2" xfId="14812"/>
    <cellStyle name="Normal 10 2 2 3 3 5 3" xfId="25063"/>
    <cellStyle name="Normal 10 2 2 3 3 6" xfId="7429"/>
    <cellStyle name="Normal 10 2 2 3 3 6 2" xfId="19847"/>
    <cellStyle name="Normal 10 2 2 3 3 7" xfId="16358"/>
    <cellStyle name="Normal 10 2 2 3 4" xfId="711"/>
    <cellStyle name="Normal 10 2 2 3 4 2" xfId="3198"/>
    <cellStyle name="Normal 10 2 2 3 4 2 2" xfId="12343"/>
    <cellStyle name="Normal 10 2 2 3 4 2 2 2" xfId="22561"/>
    <cellStyle name="Normal 10 2 2 3 4 2 3" xfId="8765"/>
    <cellStyle name="Normal 10 2 2 3 4 2 4" xfId="17554"/>
    <cellStyle name="Normal 10 2 2 3 4 3" xfId="4876"/>
    <cellStyle name="Normal 10 2 2 3 4 3 2" xfId="13715"/>
    <cellStyle name="Normal 10 2 2 3 4 3 2 2" xfId="23966"/>
    <cellStyle name="Normal 10 2 2 3 4 3 3" xfId="10136"/>
    <cellStyle name="Normal 10 2 2 3 4 3 4" xfId="18959"/>
    <cellStyle name="Normal 10 2 2 3 4 4" xfId="2307"/>
    <cellStyle name="Normal 10 2 2 3 4 4 2" xfId="11674"/>
    <cellStyle name="Normal 10 2 2 3 4 4 3" xfId="21678"/>
    <cellStyle name="Normal 10 2 2 3 4 5" xfId="6333"/>
    <cellStyle name="Normal 10 2 2 3 4 5 2" xfId="15160"/>
    <cellStyle name="Normal 10 2 2 3 4 5 3" xfId="25411"/>
    <cellStyle name="Normal 10 2 2 3 4 6" xfId="7779"/>
    <cellStyle name="Normal 10 2 2 3 4 6 2" xfId="20160"/>
    <cellStyle name="Normal 10 2 2 3 4 7" xfId="16671"/>
    <cellStyle name="Normal 10 2 2 3 5" xfId="1170"/>
    <cellStyle name="Normal 10 2 2 3 5 2" xfId="3600"/>
    <cellStyle name="Normal 10 2 2 3 5 2 2" xfId="12738"/>
    <cellStyle name="Normal 10 2 2 3 5 2 2 2" xfId="22957"/>
    <cellStyle name="Normal 10 2 2 3 5 2 3" xfId="9159"/>
    <cellStyle name="Normal 10 2 2 3 5 2 4" xfId="17950"/>
    <cellStyle name="Normal 10 2 2 3 5 3" xfId="5263"/>
    <cellStyle name="Normal 10 2 2 3 5 3 2" xfId="14102"/>
    <cellStyle name="Normal 10 2 2 3 5 3 2 2" xfId="24353"/>
    <cellStyle name="Normal 10 2 2 3 5 3 3" xfId="10523"/>
    <cellStyle name="Normal 10 2 2 3 5 3 4" xfId="19346"/>
    <cellStyle name="Normal 10 2 2 3 5 4" xfId="1878"/>
    <cellStyle name="Normal 10 2 2 3 5 4 2" xfId="11248"/>
    <cellStyle name="Normal 10 2 2 3 5 4 3" xfId="21252"/>
    <cellStyle name="Normal 10 2 2 3 5 5" xfId="6720"/>
    <cellStyle name="Normal 10 2 2 3 5 5 2" xfId="15547"/>
    <cellStyle name="Normal 10 2 2 3 5 5 3" xfId="25798"/>
    <cellStyle name="Normal 10 2 2 3 5 6" xfId="8166"/>
    <cellStyle name="Normal 10 2 2 3 5 6 2" xfId="20556"/>
    <cellStyle name="Normal 10 2 2 3 5 7" xfId="16245"/>
    <cellStyle name="Normal 10 2 2 3 6" xfId="2772"/>
    <cellStyle name="Normal 10 2 2 3 6 2" xfId="12091"/>
    <cellStyle name="Normal 10 2 2 3 6 2 2" xfId="22135"/>
    <cellStyle name="Normal 10 2 2 3 6 3" xfId="8489"/>
    <cellStyle name="Normal 10 2 2 3 6 4" xfId="17128"/>
    <cellStyle name="Normal 10 2 2 3 7" xfId="4219"/>
    <cellStyle name="Normal 10 2 2 3 7 2" xfId="13059"/>
    <cellStyle name="Normal 10 2 2 3 7 2 2" xfId="23310"/>
    <cellStyle name="Normal 10 2 2 3 7 3" xfId="9480"/>
    <cellStyle name="Normal 10 2 2 3 7 4" xfId="18303"/>
    <cellStyle name="Normal 10 2 2 3 8" xfId="1491"/>
    <cellStyle name="Normal 10 2 2 3 8 2" xfId="10870"/>
    <cellStyle name="Normal 10 2 2 3 8 3" xfId="20874"/>
    <cellStyle name="Normal 10 2 2 3 9" xfId="5677"/>
    <cellStyle name="Normal 10 2 2 3 9 2" xfId="14504"/>
    <cellStyle name="Normal 10 2 2 3 9 3" xfId="24755"/>
    <cellStyle name="Normal 10 2 2 3_Degree data" xfId="3858"/>
    <cellStyle name="Normal 10 2 2 4" xfId="498"/>
    <cellStyle name="Normal 10 2 2 4 2" xfId="713"/>
    <cellStyle name="Normal 10 2 2 4 2 2" xfId="3200"/>
    <cellStyle name="Normal 10 2 2 4 2 2 2" xfId="12345"/>
    <cellStyle name="Normal 10 2 2 4 2 2 2 2" xfId="22563"/>
    <cellStyle name="Normal 10 2 2 4 2 2 3" xfId="8767"/>
    <cellStyle name="Normal 10 2 2 4 2 2 4" xfId="17556"/>
    <cellStyle name="Normal 10 2 2 4 2 3" xfId="4529"/>
    <cellStyle name="Normal 10 2 2 4 2 3 2" xfId="13369"/>
    <cellStyle name="Normal 10 2 2 4 2 3 2 2" xfId="23620"/>
    <cellStyle name="Normal 10 2 2 4 2 3 3" xfId="9790"/>
    <cellStyle name="Normal 10 2 2 4 2 3 4" xfId="18613"/>
    <cellStyle name="Normal 10 2 2 4 2 4" xfId="2309"/>
    <cellStyle name="Normal 10 2 2 4 2 4 2" xfId="11676"/>
    <cellStyle name="Normal 10 2 2 4 2 4 3" xfId="21680"/>
    <cellStyle name="Normal 10 2 2 4 2 5" xfId="5987"/>
    <cellStyle name="Normal 10 2 2 4 2 5 2" xfId="14814"/>
    <cellStyle name="Normal 10 2 2 4 2 5 3" xfId="25065"/>
    <cellStyle name="Normal 10 2 2 4 2 6" xfId="7431"/>
    <cellStyle name="Normal 10 2 2 4 2 6 2" xfId="20162"/>
    <cellStyle name="Normal 10 2 2 4 2 7" xfId="16673"/>
    <cellStyle name="Normal 10 2 2 4 3" xfId="1270"/>
    <cellStyle name="Normal 10 2 2 4 3 2" xfId="3700"/>
    <cellStyle name="Normal 10 2 2 4 3 2 2" xfId="12838"/>
    <cellStyle name="Normal 10 2 2 4 3 2 2 2" xfId="23057"/>
    <cellStyle name="Normal 10 2 2 4 3 2 3" xfId="9259"/>
    <cellStyle name="Normal 10 2 2 4 3 2 4" xfId="18050"/>
    <cellStyle name="Normal 10 2 2 4 3 3" xfId="4878"/>
    <cellStyle name="Normal 10 2 2 4 3 3 2" xfId="13717"/>
    <cellStyle name="Normal 10 2 2 4 3 3 2 2" xfId="23968"/>
    <cellStyle name="Normal 10 2 2 4 3 3 3" xfId="10138"/>
    <cellStyle name="Normal 10 2 2 4 3 3 4" xfId="18961"/>
    <cellStyle name="Normal 10 2 2 4 3 4" xfId="2094"/>
    <cellStyle name="Normal 10 2 2 4 3 4 2" xfId="11461"/>
    <cellStyle name="Normal 10 2 2 4 3 4 3" xfId="21465"/>
    <cellStyle name="Normal 10 2 2 4 3 5" xfId="6335"/>
    <cellStyle name="Normal 10 2 2 4 3 5 2" xfId="15162"/>
    <cellStyle name="Normal 10 2 2 4 3 5 3" xfId="25413"/>
    <cellStyle name="Normal 10 2 2 4 3 6" xfId="7781"/>
    <cellStyle name="Normal 10 2 2 4 3 6 2" xfId="20656"/>
    <cellStyle name="Normal 10 2 2 4 3 7" xfId="16458"/>
    <cellStyle name="Normal 10 2 2 4 4" xfId="2985"/>
    <cellStyle name="Normal 10 2 2 4 4 2" xfId="5363"/>
    <cellStyle name="Normal 10 2 2 4 4 2 2" xfId="14202"/>
    <cellStyle name="Normal 10 2 2 4 4 2 2 2" xfId="24453"/>
    <cellStyle name="Normal 10 2 2 4 4 2 3" xfId="10623"/>
    <cellStyle name="Normal 10 2 2 4 4 2 4" xfId="19446"/>
    <cellStyle name="Normal 10 2 2 4 4 3" xfId="6820"/>
    <cellStyle name="Normal 10 2 2 4 4 3 2" xfId="15647"/>
    <cellStyle name="Normal 10 2 2 4 4 3 3" xfId="25898"/>
    <cellStyle name="Normal 10 2 2 4 4 4" xfId="8266"/>
    <cellStyle name="Normal 10 2 2 4 4 4 2" xfId="22348"/>
    <cellStyle name="Normal 10 2 2 4 4 5" xfId="17341"/>
    <cellStyle name="Normal 10 2 2 4 5" xfId="4319"/>
    <cellStyle name="Normal 10 2 2 4 5 2" xfId="13159"/>
    <cellStyle name="Normal 10 2 2 4 5 2 2" xfId="23410"/>
    <cellStyle name="Normal 10 2 2 4 5 3" xfId="9580"/>
    <cellStyle name="Normal 10 2 2 4 5 4" xfId="18403"/>
    <cellStyle name="Normal 10 2 2 4 6" xfId="1591"/>
    <cellStyle name="Normal 10 2 2 4 6 2" xfId="10970"/>
    <cellStyle name="Normal 10 2 2 4 6 3" xfId="20974"/>
    <cellStyle name="Normal 10 2 2 4 7" xfId="5777"/>
    <cellStyle name="Normal 10 2 2 4 7 2" xfId="14604"/>
    <cellStyle name="Normal 10 2 2 4 7 3" xfId="24855"/>
    <cellStyle name="Normal 10 2 2 4 8" xfId="7221"/>
    <cellStyle name="Normal 10 2 2 4 8 2" xfId="19947"/>
    <cellStyle name="Normal 10 2 2 4 9" xfId="15967"/>
    <cellStyle name="Normal 10 2 2 4_Degree data" xfId="3857"/>
    <cellStyle name="Normal 10 2 2 5" xfId="341"/>
    <cellStyle name="Normal 10 2 2 5 2" xfId="2828"/>
    <cellStyle name="Normal 10 2 2 5 2 2" xfId="12125"/>
    <cellStyle name="Normal 10 2 2 5 2 2 2" xfId="22191"/>
    <cellStyle name="Normal 10 2 2 5 2 3" xfId="8481"/>
    <cellStyle name="Normal 10 2 2 5 2 4" xfId="17184"/>
    <cellStyle name="Normal 10 2 2 5 3" xfId="4524"/>
    <cellStyle name="Normal 10 2 2 5 3 2" xfId="13364"/>
    <cellStyle name="Normal 10 2 2 5 3 2 2" xfId="23615"/>
    <cellStyle name="Normal 10 2 2 5 3 3" xfId="9785"/>
    <cellStyle name="Normal 10 2 2 5 3 4" xfId="18608"/>
    <cellStyle name="Normal 10 2 2 5 4" xfId="1937"/>
    <cellStyle name="Normal 10 2 2 5 4 2" xfId="11304"/>
    <cellStyle name="Normal 10 2 2 5 4 3" xfId="21308"/>
    <cellStyle name="Normal 10 2 2 5 5" xfId="5982"/>
    <cellStyle name="Normal 10 2 2 5 5 2" xfId="14809"/>
    <cellStyle name="Normal 10 2 2 5 5 3" xfId="25060"/>
    <cellStyle name="Normal 10 2 2 5 6" xfId="7426"/>
    <cellStyle name="Normal 10 2 2 5 6 2" xfId="19790"/>
    <cellStyle name="Normal 10 2 2 5 7" xfId="16301"/>
    <cellStyle name="Normal 10 2 2 6" xfId="708"/>
    <cellStyle name="Normal 10 2 2 6 2" xfId="3195"/>
    <cellStyle name="Normal 10 2 2 6 2 2" xfId="12340"/>
    <cellStyle name="Normal 10 2 2 6 2 2 2" xfId="22558"/>
    <cellStyle name="Normal 10 2 2 6 2 3" xfId="8762"/>
    <cellStyle name="Normal 10 2 2 6 2 4" xfId="17551"/>
    <cellStyle name="Normal 10 2 2 6 3" xfId="4873"/>
    <cellStyle name="Normal 10 2 2 6 3 2" xfId="13712"/>
    <cellStyle name="Normal 10 2 2 6 3 2 2" xfId="23963"/>
    <cellStyle name="Normal 10 2 2 6 3 3" xfId="10133"/>
    <cellStyle name="Normal 10 2 2 6 3 4" xfId="18956"/>
    <cellStyle name="Normal 10 2 2 6 4" xfId="2304"/>
    <cellStyle name="Normal 10 2 2 6 4 2" xfId="11671"/>
    <cellStyle name="Normal 10 2 2 6 4 3" xfId="21675"/>
    <cellStyle name="Normal 10 2 2 6 5" xfId="6330"/>
    <cellStyle name="Normal 10 2 2 6 5 2" xfId="15157"/>
    <cellStyle name="Normal 10 2 2 6 5 3" xfId="25408"/>
    <cellStyle name="Normal 10 2 2 6 6" xfId="7776"/>
    <cellStyle name="Normal 10 2 2 6 6 2" xfId="20157"/>
    <cellStyle name="Normal 10 2 2 6 7" xfId="16668"/>
    <cellStyle name="Normal 10 2 2 7" xfId="1113"/>
    <cellStyle name="Normal 10 2 2 7 2" xfId="3543"/>
    <cellStyle name="Normal 10 2 2 7 2 2" xfId="12681"/>
    <cellStyle name="Normal 10 2 2 7 2 2 2" xfId="22900"/>
    <cellStyle name="Normal 10 2 2 7 2 3" xfId="9102"/>
    <cellStyle name="Normal 10 2 2 7 2 4" xfId="17893"/>
    <cellStyle name="Normal 10 2 2 7 3" xfId="5206"/>
    <cellStyle name="Normal 10 2 2 7 3 2" xfId="14045"/>
    <cellStyle name="Normal 10 2 2 7 3 2 2" xfId="24296"/>
    <cellStyle name="Normal 10 2 2 7 3 3" xfId="10466"/>
    <cellStyle name="Normal 10 2 2 7 3 4" xfId="19289"/>
    <cellStyle name="Normal 10 2 2 7 4" xfId="1771"/>
    <cellStyle name="Normal 10 2 2 7 4 2" xfId="11144"/>
    <cellStyle name="Normal 10 2 2 7 4 3" xfId="21148"/>
    <cellStyle name="Normal 10 2 2 7 5" xfId="6663"/>
    <cellStyle name="Normal 10 2 2 7 5 2" xfId="15490"/>
    <cellStyle name="Normal 10 2 2 7 5 3" xfId="25741"/>
    <cellStyle name="Normal 10 2 2 7 6" xfId="8109"/>
    <cellStyle name="Normal 10 2 2 7 6 2" xfId="20499"/>
    <cellStyle name="Normal 10 2 2 7 7" xfId="16141"/>
    <cellStyle name="Normal 10 2 2 8" xfId="2668"/>
    <cellStyle name="Normal 10 2 2 8 2" xfId="5620"/>
    <cellStyle name="Normal 10 2 2 8 2 2" xfId="14447"/>
    <cellStyle name="Normal 10 2 2 8 2 3" xfId="24698"/>
    <cellStyle name="Normal 10 2 2 8 3" xfId="7064"/>
    <cellStyle name="Normal 10 2 2 8 3 2" xfId="22031"/>
    <cellStyle name="Normal 10 2 2 8 4" xfId="17024"/>
    <cellStyle name="Normal 10 2 2 9" xfId="4160"/>
    <cellStyle name="Normal 10 2 2 9 2" xfId="13000"/>
    <cellStyle name="Normal 10 2 2 9 2 2" xfId="23251"/>
    <cellStyle name="Normal 10 2 2 9 3" xfId="9421"/>
    <cellStyle name="Normal 10 2 2 9 4" xfId="18244"/>
    <cellStyle name="Normal 10 2 2_Degree data" xfId="3876"/>
    <cellStyle name="Normal 10 2 3" xfId="188"/>
    <cellStyle name="Normal 10 2 3 10" xfId="7139"/>
    <cellStyle name="Normal 10 2 3 10 2" xfId="19648"/>
    <cellStyle name="Normal 10 2 3 11" xfId="15885"/>
    <cellStyle name="Normal 10 2 3 2" xfId="516"/>
    <cellStyle name="Normal 10 2 3 2 2" xfId="715"/>
    <cellStyle name="Normal 10 2 3 2 2 2" xfId="3202"/>
    <cellStyle name="Normal 10 2 3 2 2 2 2" xfId="12347"/>
    <cellStyle name="Normal 10 2 3 2 2 2 2 2" xfId="22565"/>
    <cellStyle name="Normal 10 2 3 2 2 2 3" xfId="8769"/>
    <cellStyle name="Normal 10 2 3 2 2 2 4" xfId="17558"/>
    <cellStyle name="Normal 10 2 3 2 2 3" xfId="4531"/>
    <cellStyle name="Normal 10 2 3 2 2 3 2" xfId="13371"/>
    <cellStyle name="Normal 10 2 3 2 2 3 2 2" xfId="23622"/>
    <cellStyle name="Normal 10 2 3 2 2 3 3" xfId="9792"/>
    <cellStyle name="Normal 10 2 3 2 2 3 4" xfId="18615"/>
    <cellStyle name="Normal 10 2 3 2 2 4" xfId="2311"/>
    <cellStyle name="Normal 10 2 3 2 2 4 2" xfId="11678"/>
    <cellStyle name="Normal 10 2 3 2 2 4 3" xfId="21682"/>
    <cellStyle name="Normal 10 2 3 2 2 5" xfId="5989"/>
    <cellStyle name="Normal 10 2 3 2 2 5 2" xfId="14816"/>
    <cellStyle name="Normal 10 2 3 2 2 5 3" xfId="25067"/>
    <cellStyle name="Normal 10 2 3 2 2 6" xfId="7433"/>
    <cellStyle name="Normal 10 2 3 2 2 6 2" xfId="20164"/>
    <cellStyle name="Normal 10 2 3 2 2 7" xfId="16675"/>
    <cellStyle name="Normal 10 2 3 2 3" xfId="1288"/>
    <cellStyle name="Normal 10 2 3 2 3 2" xfId="3718"/>
    <cellStyle name="Normal 10 2 3 2 3 2 2" xfId="12856"/>
    <cellStyle name="Normal 10 2 3 2 3 2 2 2" xfId="23075"/>
    <cellStyle name="Normal 10 2 3 2 3 2 3" xfId="9277"/>
    <cellStyle name="Normal 10 2 3 2 3 2 4" xfId="18068"/>
    <cellStyle name="Normal 10 2 3 2 3 3" xfId="4880"/>
    <cellStyle name="Normal 10 2 3 2 3 3 2" xfId="13719"/>
    <cellStyle name="Normal 10 2 3 2 3 3 2 2" xfId="23970"/>
    <cellStyle name="Normal 10 2 3 2 3 3 3" xfId="10140"/>
    <cellStyle name="Normal 10 2 3 2 3 3 4" xfId="18963"/>
    <cellStyle name="Normal 10 2 3 2 3 4" xfId="2112"/>
    <cellStyle name="Normal 10 2 3 2 3 4 2" xfId="11479"/>
    <cellStyle name="Normal 10 2 3 2 3 4 3" xfId="21483"/>
    <cellStyle name="Normal 10 2 3 2 3 5" xfId="6337"/>
    <cellStyle name="Normal 10 2 3 2 3 5 2" xfId="15164"/>
    <cellStyle name="Normal 10 2 3 2 3 5 3" xfId="25415"/>
    <cellStyle name="Normal 10 2 3 2 3 6" xfId="7783"/>
    <cellStyle name="Normal 10 2 3 2 3 6 2" xfId="20674"/>
    <cellStyle name="Normal 10 2 3 2 3 7" xfId="16476"/>
    <cellStyle name="Normal 10 2 3 2 4" xfId="3003"/>
    <cellStyle name="Normal 10 2 3 2 4 2" xfId="5381"/>
    <cellStyle name="Normal 10 2 3 2 4 2 2" xfId="14220"/>
    <cellStyle name="Normal 10 2 3 2 4 2 2 2" xfId="24471"/>
    <cellStyle name="Normal 10 2 3 2 4 2 3" xfId="10641"/>
    <cellStyle name="Normal 10 2 3 2 4 2 4" xfId="19464"/>
    <cellStyle name="Normal 10 2 3 2 4 3" xfId="6838"/>
    <cellStyle name="Normal 10 2 3 2 4 3 2" xfId="15665"/>
    <cellStyle name="Normal 10 2 3 2 4 3 3" xfId="25916"/>
    <cellStyle name="Normal 10 2 3 2 4 4" xfId="8284"/>
    <cellStyle name="Normal 10 2 3 2 4 4 2" xfId="22366"/>
    <cellStyle name="Normal 10 2 3 2 4 5" xfId="17359"/>
    <cellStyle name="Normal 10 2 3 2 5" xfId="4337"/>
    <cellStyle name="Normal 10 2 3 2 5 2" xfId="13177"/>
    <cellStyle name="Normal 10 2 3 2 5 2 2" xfId="23428"/>
    <cellStyle name="Normal 10 2 3 2 5 3" xfId="9598"/>
    <cellStyle name="Normal 10 2 3 2 5 4" xfId="18421"/>
    <cellStyle name="Normal 10 2 3 2 6" xfId="1609"/>
    <cellStyle name="Normal 10 2 3 2 6 2" xfId="10988"/>
    <cellStyle name="Normal 10 2 3 2 6 3" xfId="20992"/>
    <cellStyle name="Normal 10 2 3 2 7" xfId="5795"/>
    <cellStyle name="Normal 10 2 3 2 7 2" xfId="14622"/>
    <cellStyle name="Normal 10 2 3 2 7 3" xfId="24873"/>
    <cellStyle name="Normal 10 2 3 2 8" xfId="7239"/>
    <cellStyle name="Normal 10 2 3 2 8 2" xfId="19965"/>
    <cellStyle name="Normal 10 2 3 2 9" xfId="15985"/>
    <cellStyle name="Normal 10 2 3 2_Degree data" xfId="3847"/>
    <cellStyle name="Normal 10 2 3 3" xfId="416"/>
    <cellStyle name="Normal 10 2 3 3 2" xfId="2903"/>
    <cellStyle name="Normal 10 2 3 3 2 2" xfId="12193"/>
    <cellStyle name="Normal 10 2 3 3 2 2 2" xfId="22266"/>
    <cellStyle name="Normal 10 2 3 3 2 3" xfId="8464"/>
    <cellStyle name="Normal 10 2 3 3 2 4" xfId="17259"/>
    <cellStyle name="Normal 10 2 3 3 3" xfId="4530"/>
    <cellStyle name="Normal 10 2 3 3 3 2" xfId="13370"/>
    <cellStyle name="Normal 10 2 3 3 3 2 2" xfId="23621"/>
    <cellStyle name="Normal 10 2 3 3 3 3" xfId="9791"/>
    <cellStyle name="Normal 10 2 3 3 3 4" xfId="18614"/>
    <cellStyle name="Normal 10 2 3 3 4" xfId="2012"/>
    <cellStyle name="Normal 10 2 3 3 4 2" xfId="11379"/>
    <cellStyle name="Normal 10 2 3 3 4 3" xfId="21383"/>
    <cellStyle name="Normal 10 2 3 3 5" xfId="5988"/>
    <cellStyle name="Normal 10 2 3 3 5 2" xfId="14815"/>
    <cellStyle name="Normal 10 2 3 3 5 3" xfId="25066"/>
    <cellStyle name="Normal 10 2 3 3 6" xfId="7432"/>
    <cellStyle name="Normal 10 2 3 3 6 2" xfId="19865"/>
    <cellStyle name="Normal 10 2 3 3 7" xfId="16376"/>
    <cellStyle name="Normal 10 2 3 4" xfId="714"/>
    <cellStyle name="Normal 10 2 3 4 2" xfId="3201"/>
    <cellStyle name="Normal 10 2 3 4 2 2" xfId="12346"/>
    <cellStyle name="Normal 10 2 3 4 2 2 2" xfId="22564"/>
    <cellStyle name="Normal 10 2 3 4 2 3" xfId="8768"/>
    <cellStyle name="Normal 10 2 3 4 2 4" xfId="17557"/>
    <cellStyle name="Normal 10 2 3 4 3" xfId="4879"/>
    <cellStyle name="Normal 10 2 3 4 3 2" xfId="13718"/>
    <cellStyle name="Normal 10 2 3 4 3 2 2" xfId="23969"/>
    <cellStyle name="Normal 10 2 3 4 3 3" xfId="10139"/>
    <cellStyle name="Normal 10 2 3 4 3 4" xfId="18962"/>
    <cellStyle name="Normal 10 2 3 4 4" xfId="2310"/>
    <cellStyle name="Normal 10 2 3 4 4 2" xfId="11677"/>
    <cellStyle name="Normal 10 2 3 4 4 3" xfId="21681"/>
    <cellStyle name="Normal 10 2 3 4 5" xfId="6336"/>
    <cellStyle name="Normal 10 2 3 4 5 2" xfId="15163"/>
    <cellStyle name="Normal 10 2 3 4 5 3" xfId="25414"/>
    <cellStyle name="Normal 10 2 3 4 6" xfId="7782"/>
    <cellStyle name="Normal 10 2 3 4 6 2" xfId="20163"/>
    <cellStyle name="Normal 10 2 3 4 7" xfId="16674"/>
    <cellStyle name="Normal 10 2 3 5" xfId="1188"/>
    <cellStyle name="Normal 10 2 3 5 2" xfId="3618"/>
    <cellStyle name="Normal 10 2 3 5 2 2" xfId="12756"/>
    <cellStyle name="Normal 10 2 3 5 2 2 2" xfId="22975"/>
    <cellStyle name="Normal 10 2 3 5 2 3" xfId="9177"/>
    <cellStyle name="Normal 10 2 3 5 2 4" xfId="17968"/>
    <cellStyle name="Normal 10 2 3 5 3" xfId="5281"/>
    <cellStyle name="Normal 10 2 3 5 3 2" xfId="14120"/>
    <cellStyle name="Normal 10 2 3 5 3 2 2" xfId="24371"/>
    <cellStyle name="Normal 10 2 3 5 3 3" xfId="10541"/>
    <cellStyle name="Normal 10 2 3 5 3 4" xfId="19364"/>
    <cellStyle name="Normal 10 2 3 5 4" xfId="1791"/>
    <cellStyle name="Normal 10 2 3 5 4 2" xfId="11162"/>
    <cellStyle name="Normal 10 2 3 5 4 3" xfId="21166"/>
    <cellStyle name="Normal 10 2 3 5 5" xfId="6738"/>
    <cellStyle name="Normal 10 2 3 5 5 2" xfId="15565"/>
    <cellStyle name="Normal 10 2 3 5 5 3" xfId="25816"/>
    <cellStyle name="Normal 10 2 3 5 6" xfId="8184"/>
    <cellStyle name="Normal 10 2 3 5 6 2" xfId="20574"/>
    <cellStyle name="Normal 10 2 3 5 7" xfId="16159"/>
    <cellStyle name="Normal 10 2 3 6" xfId="2686"/>
    <cellStyle name="Normal 10 2 3 6 2" xfId="12005"/>
    <cellStyle name="Normal 10 2 3 6 2 2" xfId="22049"/>
    <cellStyle name="Normal 10 2 3 6 3" xfId="8503"/>
    <cellStyle name="Normal 10 2 3 6 4" xfId="17042"/>
    <cellStyle name="Normal 10 2 3 7" xfId="4237"/>
    <cellStyle name="Normal 10 2 3 7 2" xfId="13077"/>
    <cellStyle name="Normal 10 2 3 7 2 2" xfId="23328"/>
    <cellStyle name="Normal 10 2 3 7 3" xfId="9498"/>
    <cellStyle name="Normal 10 2 3 7 4" xfId="18321"/>
    <cellStyle name="Normal 10 2 3 8" xfId="1509"/>
    <cellStyle name="Normal 10 2 3 8 2" xfId="10888"/>
    <cellStyle name="Normal 10 2 3 8 3" xfId="20892"/>
    <cellStyle name="Normal 10 2 3 9" xfId="5695"/>
    <cellStyle name="Normal 10 2 3 9 2" xfId="14522"/>
    <cellStyle name="Normal 10 2 3 9 3" xfId="24773"/>
    <cellStyle name="Normal 10 2 3_Degree data" xfId="3901"/>
    <cellStyle name="Normal 10 2 4" xfId="243"/>
    <cellStyle name="Normal 10 2 4 10" xfId="7084"/>
    <cellStyle name="Normal 10 2 4 10 2" xfId="19698"/>
    <cellStyle name="Normal 10 2 4 11" xfId="15830"/>
    <cellStyle name="Normal 10 2 4 2" xfId="566"/>
    <cellStyle name="Normal 10 2 4 2 2" xfId="717"/>
    <cellStyle name="Normal 10 2 4 2 2 2" xfId="3204"/>
    <cellStyle name="Normal 10 2 4 2 2 2 2" xfId="12349"/>
    <cellStyle name="Normal 10 2 4 2 2 2 2 2" xfId="22567"/>
    <cellStyle name="Normal 10 2 4 2 2 2 3" xfId="8771"/>
    <cellStyle name="Normal 10 2 4 2 2 2 4" xfId="17560"/>
    <cellStyle name="Normal 10 2 4 2 2 3" xfId="4533"/>
    <cellStyle name="Normal 10 2 4 2 2 3 2" xfId="13373"/>
    <cellStyle name="Normal 10 2 4 2 2 3 2 2" xfId="23624"/>
    <cellStyle name="Normal 10 2 4 2 2 3 3" xfId="9794"/>
    <cellStyle name="Normal 10 2 4 2 2 3 4" xfId="18617"/>
    <cellStyle name="Normal 10 2 4 2 2 4" xfId="2313"/>
    <cellStyle name="Normal 10 2 4 2 2 4 2" xfId="11680"/>
    <cellStyle name="Normal 10 2 4 2 2 4 3" xfId="21684"/>
    <cellStyle name="Normal 10 2 4 2 2 5" xfId="5991"/>
    <cellStyle name="Normal 10 2 4 2 2 5 2" xfId="14818"/>
    <cellStyle name="Normal 10 2 4 2 2 5 3" xfId="25069"/>
    <cellStyle name="Normal 10 2 4 2 2 6" xfId="7435"/>
    <cellStyle name="Normal 10 2 4 2 2 6 2" xfId="20166"/>
    <cellStyle name="Normal 10 2 4 2 2 7" xfId="16677"/>
    <cellStyle name="Normal 10 2 4 2 3" xfId="1338"/>
    <cellStyle name="Normal 10 2 4 2 3 2" xfId="3768"/>
    <cellStyle name="Normal 10 2 4 2 3 2 2" xfId="12906"/>
    <cellStyle name="Normal 10 2 4 2 3 2 2 2" xfId="23125"/>
    <cellStyle name="Normal 10 2 4 2 3 2 3" xfId="9327"/>
    <cellStyle name="Normal 10 2 4 2 3 2 4" xfId="18118"/>
    <cellStyle name="Normal 10 2 4 2 3 3" xfId="4882"/>
    <cellStyle name="Normal 10 2 4 2 3 3 2" xfId="13721"/>
    <cellStyle name="Normal 10 2 4 2 3 3 2 2" xfId="23972"/>
    <cellStyle name="Normal 10 2 4 2 3 3 3" xfId="10142"/>
    <cellStyle name="Normal 10 2 4 2 3 3 4" xfId="18965"/>
    <cellStyle name="Normal 10 2 4 2 3 4" xfId="2162"/>
    <cellStyle name="Normal 10 2 4 2 3 4 2" xfId="11529"/>
    <cellStyle name="Normal 10 2 4 2 3 4 3" xfId="21533"/>
    <cellStyle name="Normal 10 2 4 2 3 5" xfId="6339"/>
    <cellStyle name="Normal 10 2 4 2 3 5 2" xfId="15166"/>
    <cellStyle name="Normal 10 2 4 2 3 5 3" xfId="25417"/>
    <cellStyle name="Normal 10 2 4 2 3 6" xfId="7785"/>
    <cellStyle name="Normal 10 2 4 2 3 6 2" xfId="20724"/>
    <cellStyle name="Normal 10 2 4 2 3 7" xfId="16526"/>
    <cellStyle name="Normal 10 2 4 2 4" xfId="3053"/>
    <cellStyle name="Normal 10 2 4 2 4 2" xfId="5431"/>
    <cellStyle name="Normal 10 2 4 2 4 2 2" xfId="14270"/>
    <cellStyle name="Normal 10 2 4 2 4 2 2 2" xfId="24521"/>
    <cellStyle name="Normal 10 2 4 2 4 2 3" xfId="10691"/>
    <cellStyle name="Normal 10 2 4 2 4 2 4" xfId="19514"/>
    <cellStyle name="Normal 10 2 4 2 4 3" xfId="6888"/>
    <cellStyle name="Normal 10 2 4 2 4 3 2" xfId="15715"/>
    <cellStyle name="Normal 10 2 4 2 4 3 3" xfId="25966"/>
    <cellStyle name="Normal 10 2 4 2 4 4" xfId="8334"/>
    <cellStyle name="Normal 10 2 4 2 4 4 2" xfId="22416"/>
    <cellStyle name="Normal 10 2 4 2 4 5" xfId="17409"/>
    <cellStyle name="Normal 10 2 4 2 5" xfId="4387"/>
    <cellStyle name="Normal 10 2 4 2 5 2" xfId="13227"/>
    <cellStyle name="Normal 10 2 4 2 5 2 2" xfId="23478"/>
    <cellStyle name="Normal 10 2 4 2 5 3" xfId="9648"/>
    <cellStyle name="Normal 10 2 4 2 5 4" xfId="18471"/>
    <cellStyle name="Normal 10 2 4 2 6" xfId="1659"/>
    <cellStyle name="Normal 10 2 4 2 6 2" xfId="11038"/>
    <cellStyle name="Normal 10 2 4 2 6 3" xfId="21042"/>
    <cellStyle name="Normal 10 2 4 2 7" xfId="5845"/>
    <cellStyle name="Normal 10 2 4 2 7 2" xfId="14672"/>
    <cellStyle name="Normal 10 2 4 2 7 3" xfId="24923"/>
    <cellStyle name="Normal 10 2 4 2 8" xfId="7289"/>
    <cellStyle name="Normal 10 2 4 2 8 2" xfId="20015"/>
    <cellStyle name="Normal 10 2 4 2 9" xfId="16035"/>
    <cellStyle name="Normal 10 2 4 2_Degree data" xfId="3880"/>
    <cellStyle name="Normal 10 2 4 3" xfId="361"/>
    <cellStyle name="Normal 10 2 4 3 2" xfId="2848"/>
    <cellStyle name="Normal 10 2 4 3 2 2" xfId="12138"/>
    <cellStyle name="Normal 10 2 4 3 2 2 2" xfId="22211"/>
    <cellStyle name="Normal 10 2 4 3 2 3" xfId="8431"/>
    <cellStyle name="Normal 10 2 4 3 2 4" xfId="17204"/>
    <cellStyle name="Normal 10 2 4 3 3" xfId="4532"/>
    <cellStyle name="Normal 10 2 4 3 3 2" xfId="13372"/>
    <cellStyle name="Normal 10 2 4 3 3 2 2" xfId="23623"/>
    <cellStyle name="Normal 10 2 4 3 3 3" xfId="9793"/>
    <cellStyle name="Normal 10 2 4 3 3 4" xfId="18616"/>
    <cellStyle name="Normal 10 2 4 3 4" xfId="1957"/>
    <cellStyle name="Normal 10 2 4 3 4 2" xfId="11324"/>
    <cellStyle name="Normal 10 2 4 3 4 3" xfId="21328"/>
    <cellStyle name="Normal 10 2 4 3 5" xfId="5990"/>
    <cellStyle name="Normal 10 2 4 3 5 2" xfId="14817"/>
    <cellStyle name="Normal 10 2 4 3 5 3" xfId="25068"/>
    <cellStyle name="Normal 10 2 4 3 6" xfId="7434"/>
    <cellStyle name="Normal 10 2 4 3 6 2" xfId="19810"/>
    <cellStyle name="Normal 10 2 4 3 7" xfId="16321"/>
    <cellStyle name="Normal 10 2 4 4" xfId="716"/>
    <cellStyle name="Normal 10 2 4 4 2" xfId="3203"/>
    <cellStyle name="Normal 10 2 4 4 2 2" xfId="12348"/>
    <cellStyle name="Normal 10 2 4 4 2 2 2" xfId="22566"/>
    <cellStyle name="Normal 10 2 4 4 2 3" xfId="8770"/>
    <cellStyle name="Normal 10 2 4 4 2 4" xfId="17559"/>
    <cellStyle name="Normal 10 2 4 4 3" xfId="4881"/>
    <cellStyle name="Normal 10 2 4 4 3 2" xfId="13720"/>
    <cellStyle name="Normal 10 2 4 4 3 2 2" xfId="23971"/>
    <cellStyle name="Normal 10 2 4 4 3 3" xfId="10141"/>
    <cellStyle name="Normal 10 2 4 4 3 4" xfId="18964"/>
    <cellStyle name="Normal 10 2 4 4 4" xfId="2312"/>
    <cellStyle name="Normal 10 2 4 4 4 2" xfId="11679"/>
    <cellStyle name="Normal 10 2 4 4 4 3" xfId="21683"/>
    <cellStyle name="Normal 10 2 4 4 5" xfId="6338"/>
    <cellStyle name="Normal 10 2 4 4 5 2" xfId="15165"/>
    <cellStyle name="Normal 10 2 4 4 5 3" xfId="25416"/>
    <cellStyle name="Normal 10 2 4 4 6" xfId="7784"/>
    <cellStyle name="Normal 10 2 4 4 6 2" xfId="20165"/>
    <cellStyle name="Normal 10 2 4 4 7" xfId="16676"/>
    <cellStyle name="Normal 10 2 4 5" xfId="1133"/>
    <cellStyle name="Normal 10 2 4 5 2" xfId="3563"/>
    <cellStyle name="Normal 10 2 4 5 2 2" xfId="12701"/>
    <cellStyle name="Normal 10 2 4 5 2 2 2" xfId="22920"/>
    <cellStyle name="Normal 10 2 4 5 2 3" xfId="9122"/>
    <cellStyle name="Normal 10 2 4 5 2 4" xfId="17913"/>
    <cellStyle name="Normal 10 2 4 5 3" xfId="5226"/>
    <cellStyle name="Normal 10 2 4 5 3 2" xfId="14065"/>
    <cellStyle name="Normal 10 2 4 5 3 2 2" xfId="24316"/>
    <cellStyle name="Normal 10 2 4 5 3 3" xfId="10486"/>
    <cellStyle name="Normal 10 2 4 5 3 4" xfId="19309"/>
    <cellStyle name="Normal 10 2 4 5 4" xfId="1842"/>
    <cellStyle name="Normal 10 2 4 5 4 2" xfId="11212"/>
    <cellStyle name="Normal 10 2 4 5 4 3" xfId="21216"/>
    <cellStyle name="Normal 10 2 4 5 5" xfId="6683"/>
    <cellStyle name="Normal 10 2 4 5 5 2" xfId="15510"/>
    <cellStyle name="Normal 10 2 4 5 5 3" xfId="25761"/>
    <cellStyle name="Normal 10 2 4 5 6" xfId="8129"/>
    <cellStyle name="Normal 10 2 4 5 6 2" xfId="20519"/>
    <cellStyle name="Normal 10 2 4 5 7" xfId="16209"/>
    <cellStyle name="Normal 10 2 4 6" xfId="2736"/>
    <cellStyle name="Normal 10 2 4 6 2" xfId="12055"/>
    <cellStyle name="Normal 10 2 4 6 2 2" xfId="22099"/>
    <cellStyle name="Normal 10 2 4 6 3" xfId="8617"/>
    <cellStyle name="Normal 10 2 4 6 4" xfId="17092"/>
    <cellStyle name="Normal 10 2 4 7" xfId="4182"/>
    <cellStyle name="Normal 10 2 4 7 2" xfId="13022"/>
    <cellStyle name="Normal 10 2 4 7 2 2" xfId="23273"/>
    <cellStyle name="Normal 10 2 4 7 3" xfId="9443"/>
    <cellStyle name="Normal 10 2 4 7 4" xfId="18266"/>
    <cellStyle name="Normal 10 2 4 8" xfId="1454"/>
    <cellStyle name="Normal 10 2 4 8 2" xfId="10833"/>
    <cellStyle name="Normal 10 2 4 8 3" xfId="20837"/>
    <cellStyle name="Normal 10 2 4 9" xfId="5640"/>
    <cellStyle name="Normal 10 2 4 9 2" xfId="14467"/>
    <cellStyle name="Normal 10 2 4 9 3" xfId="24718"/>
    <cellStyle name="Normal 10 2 4_Degree data" xfId="3888"/>
    <cellStyle name="Normal 10 2 5" xfId="461"/>
    <cellStyle name="Normal 10 2 5 2" xfId="718"/>
    <cellStyle name="Normal 10 2 5 2 2" xfId="3205"/>
    <cellStyle name="Normal 10 2 5 2 2 2" xfId="12350"/>
    <cellStyle name="Normal 10 2 5 2 2 2 2" xfId="22568"/>
    <cellStyle name="Normal 10 2 5 2 2 3" xfId="8772"/>
    <cellStyle name="Normal 10 2 5 2 2 4" xfId="17561"/>
    <cellStyle name="Normal 10 2 5 2 3" xfId="4534"/>
    <cellStyle name="Normal 10 2 5 2 3 2" xfId="13374"/>
    <cellStyle name="Normal 10 2 5 2 3 2 2" xfId="23625"/>
    <cellStyle name="Normal 10 2 5 2 3 3" xfId="9795"/>
    <cellStyle name="Normal 10 2 5 2 3 4" xfId="18618"/>
    <cellStyle name="Normal 10 2 5 2 4" xfId="2314"/>
    <cellStyle name="Normal 10 2 5 2 4 2" xfId="11681"/>
    <cellStyle name="Normal 10 2 5 2 4 3" xfId="21685"/>
    <cellStyle name="Normal 10 2 5 2 5" xfId="5992"/>
    <cellStyle name="Normal 10 2 5 2 5 2" xfId="14819"/>
    <cellStyle name="Normal 10 2 5 2 5 3" xfId="25070"/>
    <cellStyle name="Normal 10 2 5 2 6" xfId="7436"/>
    <cellStyle name="Normal 10 2 5 2 6 2" xfId="20167"/>
    <cellStyle name="Normal 10 2 5 2 7" xfId="16678"/>
    <cellStyle name="Normal 10 2 5 3" xfId="1233"/>
    <cellStyle name="Normal 10 2 5 3 2" xfId="3663"/>
    <cellStyle name="Normal 10 2 5 3 2 2" xfId="12801"/>
    <cellStyle name="Normal 10 2 5 3 2 2 2" xfId="23020"/>
    <cellStyle name="Normal 10 2 5 3 2 3" xfId="9222"/>
    <cellStyle name="Normal 10 2 5 3 2 4" xfId="18013"/>
    <cellStyle name="Normal 10 2 5 3 3" xfId="4883"/>
    <cellStyle name="Normal 10 2 5 3 3 2" xfId="13722"/>
    <cellStyle name="Normal 10 2 5 3 3 2 2" xfId="23973"/>
    <cellStyle name="Normal 10 2 5 3 3 3" xfId="10143"/>
    <cellStyle name="Normal 10 2 5 3 3 4" xfId="18966"/>
    <cellStyle name="Normal 10 2 5 3 4" xfId="2057"/>
    <cellStyle name="Normal 10 2 5 3 4 2" xfId="11424"/>
    <cellStyle name="Normal 10 2 5 3 4 3" xfId="21428"/>
    <cellStyle name="Normal 10 2 5 3 5" xfId="6340"/>
    <cellStyle name="Normal 10 2 5 3 5 2" xfId="15167"/>
    <cellStyle name="Normal 10 2 5 3 5 3" xfId="25418"/>
    <cellStyle name="Normal 10 2 5 3 6" xfId="7786"/>
    <cellStyle name="Normal 10 2 5 3 6 2" xfId="20619"/>
    <cellStyle name="Normal 10 2 5 3 7" xfId="16421"/>
    <cellStyle name="Normal 10 2 5 4" xfId="2948"/>
    <cellStyle name="Normal 10 2 5 4 2" xfId="5326"/>
    <cellStyle name="Normal 10 2 5 4 2 2" xfId="14165"/>
    <cellStyle name="Normal 10 2 5 4 2 2 2" xfId="24416"/>
    <cellStyle name="Normal 10 2 5 4 2 3" xfId="10586"/>
    <cellStyle name="Normal 10 2 5 4 2 4" xfId="19409"/>
    <cellStyle name="Normal 10 2 5 4 3" xfId="6783"/>
    <cellStyle name="Normal 10 2 5 4 3 2" xfId="15610"/>
    <cellStyle name="Normal 10 2 5 4 3 3" xfId="25861"/>
    <cellStyle name="Normal 10 2 5 4 4" xfId="8229"/>
    <cellStyle name="Normal 10 2 5 4 4 2" xfId="22311"/>
    <cellStyle name="Normal 10 2 5 4 5" xfId="17304"/>
    <cellStyle name="Normal 10 2 5 5" xfId="4282"/>
    <cellStyle name="Normal 10 2 5 5 2" xfId="13122"/>
    <cellStyle name="Normal 10 2 5 5 2 2" xfId="23373"/>
    <cellStyle name="Normal 10 2 5 5 3" xfId="9543"/>
    <cellStyle name="Normal 10 2 5 5 4" xfId="18366"/>
    <cellStyle name="Normal 10 2 5 6" xfId="1554"/>
    <cellStyle name="Normal 10 2 5 6 2" xfId="10933"/>
    <cellStyle name="Normal 10 2 5 6 3" xfId="20937"/>
    <cellStyle name="Normal 10 2 5 7" xfId="5740"/>
    <cellStyle name="Normal 10 2 5 7 2" xfId="14567"/>
    <cellStyle name="Normal 10 2 5 7 3" xfId="24818"/>
    <cellStyle name="Normal 10 2 5 8" xfId="7184"/>
    <cellStyle name="Normal 10 2 5 8 2" xfId="19910"/>
    <cellStyle name="Normal 10 2 5 9" xfId="15930"/>
    <cellStyle name="Normal 10 2 5_Degree data" xfId="3831"/>
    <cellStyle name="Normal 10 2 6" xfId="316"/>
    <cellStyle name="Normal 10 2 6 2" xfId="719"/>
    <cellStyle name="Normal 10 2 6 2 2" xfId="3206"/>
    <cellStyle name="Normal 10 2 6 2 2 2" xfId="12351"/>
    <cellStyle name="Normal 10 2 6 2 2 2 2" xfId="22569"/>
    <cellStyle name="Normal 10 2 6 2 2 3" xfId="8773"/>
    <cellStyle name="Normal 10 2 6 2 2 4" xfId="17562"/>
    <cellStyle name="Normal 10 2 6 2 3" xfId="4535"/>
    <cellStyle name="Normal 10 2 6 2 3 2" xfId="13375"/>
    <cellStyle name="Normal 10 2 6 2 3 2 2" xfId="23626"/>
    <cellStyle name="Normal 10 2 6 2 3 3" xfId="9796"/>
    <cellStyle name="Normal 10 2 6 2 3 4" xfId="18619"/>
    <cellStyle name="Normal 10 2 6 2 4" xfId="2315"/>
    <cellStyle name="Normal 10 2 6 2 4 2" xfId="11682"/>
    <cellStyle name="Normal 10 2 6 2 4 3" xfId="21686"/>
    <cellStyle name="Normal 10 2 6 2 5" xfId="5993"/>
    <cellStyle name="Normal 10 2 6 2 5 2" xfId="14820"/>
    <cellStyle name="Normal 10 2 6 2 5 3" xfId="25071"/>
    <cellStyle name="Normal 10 2 6 2 6" xfId="7437"/>
    <cellStyle name="Normal 10 2 6 2 6 2" xfId="20168"/>
    <cellStyle name="Normal 10 2 6 2 7" xfId="16679"/>
    <cellStyle name="Normal 10 2 6 3" xfId="1088"/>
    <cellStyle name="Normal 10 2 6 3 2" xfId="3518"/>
    <cellStyle name="Normal 10 2 6 3 2 2" xfId="12656"/>
    <cellStyle name="Normal 10 2 6 3 2 2 2" xfId="22875"/>
    <cellStyle name="Normal 10 2 6 3 2 3" xfId="9078"/>
    <cellStyle name="Normal 10 2 6 3 2 4" xfId="17868"/>
    <cellStyle name="Normal 10 2 6 3 3" xfId="4884"/>
    <cellStyle name="Normal 10 2 6 3 3 2" xfId="13723"/>
    <cellStyle name="Normal 10 2 6 3 3 2 2" xfId="23974"/>
    <cellStyle name="Normal 10 2 6 3 3 3" xfId="10144"/>
    <cellStyle name="Normal 10 2 6 3 3 4" xfId="18967"/>
    <cellStyle name="Normal 10 2 6 3 4" xfId="2593"/>
    <cellStyle name="Normal 10 2 6 3 4 2" xfId="11959"/>
    <cellStyle name="Normal 10 2 6 3 4 3" xfId="21963"/>
    <cellStyle name="Normal 10 2 6 3 5" xfId="6341"/>
    <cellStyle name="Normal 10 2 6 3 5 2" xfId="15168"/>
    <cellStyle name="Normal 10 2 6 3 5 3" xfId="25419"/>
    <cellStyle name="Normal 10 2 6 3 6" xfId="7787"/>
    <cellStyle name="Normal 10 2 6 3 6 2" xfId="20474"/>
    <cellStyle name="Normal 10 2 6 3 7" xfId="16956"/>
    <cellStyle name="Normal 10 2 6 4" xfId="2803"/>
    <cellStyle name="Normal 10 2 6 4 2" xfId="5181"/>
    <cellStyle name="Normal 10 2 6 4 2 2" xfId="14020"/>
    <cellStyle name="Normal 10 2 6 4 2 2 2" xfId="24271"/>
    <cellStyle name="Normal 10 2 6 4 2 3" xfId="10441"/>
    <cellStyle name="Normal 10 2 6 4 2 4" xfId="19264"/>
    <cellStyle name="Normal 10 2 6 4 3" xfId="6638"/>
    <cellStyle name="Normal 10 2 6 4 3 2" xfId="15465"/>
    <cellStyle name="Normal 10 2 6 4 3 3" xfId="25716"/>
    <cellStyle name="Normal 10 2 6 4 4" xfId="8084"/>
    <cellStyle name="Normal 10 2 6 4 4 2" xfId="22166"/>
    <cellStyle name="Normal 10 2 6 4 5" xfId="17159"/>
    <cellStyle name="Normal 10 2 6 5" xfId="4135"/>
    <cellStyle name="Normal 10 2 6 5 2" xfId="12975"/>
    <cellStyle name="Normal 10 2 6 5 2 2" xfId="23226"/>
    <cellStyle name="Normal 10 2 6 5 3" xfId="9396"/>
    <cellStyle name="Normal 10 2 6 5 4" xfId="18219"/>
    <cellStyle name="Normal 10 2 6 6" xfId="1912"/>
    <cellStyle name="Normal 10 2 6 6 2" xfId="11279"/>
    <cellStyle name="Normal 10 2 6 6 3" xfId="21283"/>
    <cellStyle name="Normal 10 2 6 7" xfId="5595"/>
    <cellStyle name="Normal 10 2 6 7 2" xfId="14422"/>
    <cellStyle name="Normal 10 2 6 7 3" xfId="24673"/>
    <cellStyle name="Normal 10 2 6 8" xfId="7039"/>
    <cellStyle name="Normal 10 2 6 8 2" xfId="19765"/>
    <cellStyle name="Normal 10 2 6 9" xfId="16276"/>
    <cellStyle name="Normal 10 2 6_Degree data" xfId="3896"/>
    <cellStyle name="Normal 10 2 7" xfId="707"/>
    <cellStyle name="Normal 10 2 7 2" xfId="3194"/>
    <cellStyle name="Normal 10 2 7 2 2" xfId="12339"/>
    <cellStyle name="Normal 10 2 7 2 2 2" xfId="22557"/>
    <cellStyle name="Normal 10 2 7 2 3" xfId="8761"/>
    <cellStyle name="Normal 10 2 7 2 4" xfId="17550"/>
    <cellStyle name="Normal 10 2 7 3" xfId="4523"/>
    <cellStyle name="Normal 10 2 7 3 2" xfId="13363"/>
    <cellStyle name="Normal 10 2 7 3 2 2" xfId="23614"/>
    <cellStyle name="Normal 10 2 7 3 3" xfId="9784"/>
    <cellStyle name="Normal 10 2 7 3 4" xfId="18607"/>
    <cellStyle name="Normal 10 2 7 4" xfId="2303"/>
    <cellStyle name="Normal 10 2 7 4 2" xfId="11670"/>
    <cellStyle name="Normal 10 2 7 4 3" xfId="21674"/>
    <cellStyle name="Normal 10 2 7 5" xfId="5981"/>
    <cellStyle name="Normal 10 2 7 5 2" xfId="14808"/>
    <cellStyle name="Normal 10 2 7 5 3" xfId="25059"/>
    <cellStyle name="Normal 10 2 7 6" xfId="7425"/>
    <cellStyle name="Normal 10 2 7 6 2" xfId="20156"/>
    <cellStyle name="Normal 10 2 7 7" xfId="16667"/>
    <cellStyle name="Normal 10 2 8" xfId="1068"/>
    <cellStyle name="Normal 10 2 8 2" xfId="3498"/>
    <cellStyle name="Normal 10 2 8 2 2" xfId="12636"/>
    <cellStyle name="Normal 10 2 8 2 2 2" xfId="22855"/>
    <cellStyle name="Normal 10 2 8 2 3" xfId="9058"/>
    <cellStyle name="Normal 10 2 8 2 4" xfId="17848"/>
    <cellStyle name="Normal 10 2 8 3" xfId="4872"/>
    <cellStyle name="Normal 10 2 8 3 2" xfId="13711"/>
    <cellStyle name="Normal 10 2 8 3 2 2" xfId="23962"/>
    <cellStyle name="Normal 10 2 8 3 3" xfId="10132"/>
    <cellStyle name="Normal 10 2 8 3 4" xfId="18955"/>
    <cellStyle name="Normal 10 2 8 4" xfId="1730"/>
    <cellStyle name="Normal 10 2 8 4 2" xfId="11106"/>
    <cellStyle name="Normal 10 2 8 4 3" xfId="21110"/>
    <cellStyle name="Normal 10 2 8 5" xfId="6329"/>
    <cellStyle name="Normal 10 2 8 5 2" xfId="15156"/>
    <cellStyle name="Normal 10 2 8 5 3" xfId="25407"/>
    <cellStyle name="Normal 10 2 8 6" xfId="7775"/>
    <cellStyle name="Normal 10 2 8 6 2" xfId="20454"/>
    <cellStyle name="Normal 10 2 8 7" xfId="16103"/>
    <cellStyle name="Normal 10 2 9" xfId="2628"/>
    <cellStyle name="Normal 10 2 9 2" xfId="5161"/>
    <cellStyle name="Normal 10 2 9 2 2" xfId="14000"/>
    <cellStyle name="Normal 10 2 9 2 2 2" xfId="24251"/>
    <cellStyle name="Normal 10 2 9 2 3" xfId="10421"/>
    <cellStyle name="Normal 10 2 9 2 4" xfId="19244"/>
    <cellStyle name="Normal 10 2 9 3" xfId="6618"/>
    <cellStyle name="Normal 10 2 9 3 2" xfId="15445"/>
    <cellStyle name="Normal 10 2 9 3 3" xfId="25696"/>
    <cellStyle name="Normal 10 2 9 4" xfId="8064"/>
    <cellStyle name="Normal 10 2 9 4 2" xfId="21993"/>
    <cellStyle name="Normal 10 2 9 5" xfId="16986"/>
    <cellStyle name="Normal 10 2_Degree data" xfId="3872"/>
    <cellStyle name="Normal 10 3" xfId="104"/>
    <cellStyle name="Normal 10 3 2" xfId="160"/>
    <cellStyle name="Normal 10 3 2 10" xfId="7055"/>
    <cellStyle name="Normal 10 3 2 11" xfId="15801"/>
    <cellStyle name="Normal 10 3 2 2" xfId="272"/>
    <cellStyle name="Normal 10 3 2 3" xfId="225"/>
    <cellStyle name="Normal 10 3 2 3 10" xfId="16019"/>
    <cellStyle name="Normal 10 3 2 3 2" xfId="550"/>
    <cellStyle name="Normal 10 3 2 3 2 2" xfId="3037"/>
    <cellStyle name="Normal 10 3 2 3 2 2 2" xfId="12227"/>
    <cellStyle name="Normal 10 3 2 3 2 2 2 2" xfId="22400"/>
    <cellStyle name="Normal 10 3 2 3 2 2 3" xfId="8390"/>
    <cellStyle name="Normal 10 3 2 3 2 2 4" xfId="17393"/>
    <cellStyle name="Normal 10 3 2 3 2 3" xfId="4537"/>
    <cellStyle name="Normal 10 3 2 3 2 3 2" xfId="13377"/>
    <cellStyle name="Normal 10 3 2 3 2 3 2 2" xfId="23628"/>
    <cellStyle name="Normal 10 3 2 3 2 3 3" xfId="9798"/>
    <cellStyle name="Normal 10 3 2 3 2 3 4" xfId="18621"/>
    <cellStyle name="Normal 10 3 2 3 2 4" xfId="2146"/>
    <cellStyle name="Normal 10 3 2 3 2 4 2" xfId="11513"/>
    <cellStyle name="Normal 10 3 2 3 2 4 3" xfId="21517"/>
    <cellStyle name="Normal 10 3 2 3 2 5" xfId="5995"/>
    <cellStyle name="Normal 10 3 2 3 2 5 2" xfId="14822"/>
    <cellStyle name="Normal 10 3 2 3 2 5 3" xfId="25073"/>
    <cellStyle name="Normal 10 3 2 3 2 6" xfId="7439"/>
    <cellStyle name="Normal 10 3 2 3 2 6 2" xfId="19999"/>
    <cellStyle name="Normal 10 3 2 3 2 7" xfId="16510"/>
    <cellStyle name="Normal 10 3 2 3 3" xfId="721"/>
    <cellStyle name="Normal 10 3 2 3 3 2" xfId="3208"/>
    <cellStyle name="Normal 10 3 2 3 3 2 2" xfId="12353"/>
    <cellStyle name="Normal 10 3 2 3 3 2 2 2" xfId="22571"/>
    <cellStyle name="Normal 10 3 2 3 3 2 3" xfId="8775"/>
    <cellStyle name="Normal 10 3 2 3 3 2 4" xfId="17564"/>
    <cellStyle name="Normal 10 3 2 3 3 3" xfId="4886"/>
    <cellStyle name="Normal 10 3 2 3 3 3 2" xfId="13725"/>
    <cellStyle name="Normal 10 3 2 3 3 3 2 2" xfId="23976"/>
    <cellStyle name="Normal 10 3 2 3 3 3 3" xfId="10146"/>
    <cellStyle name="Normal 10 3 2 3 3 3 4" xfId="18969"/>
    <cellStyle name="Normal 10 3 2 3 3 4" xfId="2317"/>
    <cellStyle name="Normal 10 3 2 3 3 4 2" xfId="11684"/>
    <cellStyle name="Normal 10 3 2 3 3 4 3" xfId="21688"/>
    <cellStyle name="Normal 10 3 2 3 3 5" xfId="6343"/>
    <cellStyle name="Normal 10 3 2 3 3 5 2" xfId="15170"/>
    <cellStyle name="Normal 10 3 2 3 3 5 3" xfId="25421"/>
    <cellStyle name="Normal 10 3 2 3 3 6" xfId="7789"/>
    <cellStyle name="Normal 10 3 2 3 3 6 2" xfId="20170"/>
    <cellStyle name="Normal 10 3 2 3 3 7" xfId="16681"/>
    <cellStyle name="Normal 10 3 2 3 4" xfId="1322"/>
    <cellStyle name="Normal 10 3 2 3 4 2" xfId="3752"/>
    <cellStyle name="Normal 10 3 2 3 4 2 2" xfId="12890"/>
    <cellStyle name="Normal 10 3 2 3 4 2 2 2" xfId="23109"/>
    <cellStyle name="Normal 10 3 2 3 4 2 3" xfId="9311"/>
    <cellStyle name="Normal 10 3 2 3 4 2 4" xfId="18102"/>
    <cellStyle name="Normal 10 3 2 3 4 3" xfId="5415"/>
    <cellStyle name="Normal 10 3 2 3 4 3 2" xfId="14254"/>
    <cellStyle name="Normal 10 3 2 3 4 3 2 2" xfId="24505"/>
    <cellStyle name="Normal 10 3 2 3 4 3 3" xfId="10675"/>
    <cellStyle name="Normal 10 3 2 3 4 3 4" xfId="19498"/>
    <cellStyle name="Normal 10 3 2 3 4 4" xfId="1826"/>
    <cellStyle name="Normal 10 3 2 3 4 4 2" xfId="11196"/>
    <cellStyle name="Normal 10 3 2 3 4 4 3" xfId="21200"/>
    <cellStyle name="Normal 10 3 2 3 4 5" xfId="6872"/>
    <cellStyle name="Normal 10 3 2 3 4 5 2" xfId="15699"/>
    <cellStyle name="Normal 10 3 2 3 4 5 3" xfId="25950"/>
    <cellStyle name="Normal 10 3 2 3 4 6" xfId="8318"/>
    <cellStyle name="Normal 10 3 2 3 4 6 2" xfId="20708"/>
    <cellStyle name="Normal 10 3 2 3 4 7" xfId="16193"/>
    <cellStyle name="Normal 10 3 2 3 5" xfId="2720"/>
    <cellStyle name="Normal 10 3 2 3 5 2" xfId="12039"/>
    <cellStyle name="Normal 10 3 2 3 5 2 2" xfId="22083"/>
    <cellStyle name="Normal 10 3 2 3 5 3" xfId="8591"/>
    <cellStyle name="Normal 10 3 2 3 5 4" xfId="17076"/>
    <cellStyle name="Normal 10 3 2 3 6" xfId="4371"/>
    <cellStyle name="Normal 10 3 2 3 6 2" xfId="13211"/>
    <cellStyle name="Normal 10 3 2 3 6 2 2" xfId="23462"/>
    <cellStyle name="Normal 10 3 2 3 6 3" xfId="9632"/>
    <cellStyle name="Normal 10 3 2 3 6 4" xfId="18455"/>
    <cellStyle name="Normal 10 3 2 3 7" xfId="1643"/>
    <cellStyle name="Normal 10 3 2 3 7 2" xfId="11022"/>
    <cellStyle name="Normal 10 3 2 3 7 3" xfId="21026"/>
    <cellStyle name="Normal 10 3 2 3 8" xfId="5829"/>
    <cellStyle name="Normal 10 3 2 3 8 2" xfId="14656"/>
    <cellStyle name="Normal 10 3 2 3 8 3" xfId="24907"/>
    <cellStyle name="Normal 10 3 2 3 9" xfId="7273"/>
    <cellStyle name="Normal 10 3 2 3 9 2" xfId="19682"/>
    <cellStyle name="Normal 10 3 2 3_Degree data" xfId="3841"/>
    <cellStyle name="Normal 10 3 2 4" xfId="332"/>
    <cellStyle name="Normal 10 3 2 4 2" xfId="2819"/>
    <cellStyle name="Normal 10 3 2 4 2 2" xfId="12121"/>
    <cellStyle name="Normal 10 3 2 4 2 2 2" xfId="22182"/>
    <cellStyle name="Normal 10 3 2 4 2 3" xfId="8543"/>
    <cellStyle name="Normal 10 3 2 4 2 4" xfId="17175"/>
    <cellStyle name="Normal 10 3 2 4 3" xfId="4536"/>
    <cellStyle name="Normal 10 3 2 4 3 2" xfId="13376"/>
    <cellStyle name="Normal 10 3 2 4 3 2 2" xfId="23627"/>
    <cellStyle name="Normal 10 3 2 4 3 3" xfId="9797"/>
    <cellStyle name="Normal 10 3 2 4 3 4" xfId="18620"/>
    <cellStyle name="Normal 10 3 2 4 4" xfId="1928"/>
    <cellStyle name="Normal 10 3 2 4 4 2" xfId="11295"/>
    <cellStyle name="Normal 10 3 2 4 4 3" xfId="21299"/>
    <cellStyle name="Normal 10 3 2 4 5" xfId="5994"/>
    <cellStyle name="Normal 10 3 2 4 5 2" xfId="14821"/>
    <cellStyle name="Normal 10 3 2 4 5 3" xfId="25072"/>
    <cellStyle name="Normal 10 3 2 4 6" xfId="7438"/>
    <cellStyle name="Normal 10 3 2 4 6 2" xfId="19781"/>
    <cellStyle name="Normal 10 3 2 4 7" xfId="16292"/>
    <cellStyle name="Normal 10 3 2 5" xfId="720"/>
    <cellStyle name="Normal 10 3 2 5 2" xfId="3207"/>
    <cellStyle name="Normal 10 3 2 5 2 2" xfId="12352"/>
    <cellStyle name="Normal 10 3 2 5 2 2 2" xfId="22570"/>
    <cellStyle name="Normal 10 3 2 5 2 3" xfId="8774"/>
    <cellStyle name="Normal 10 3 2 5 2 4" xfId="17563"/>
    <cellStyle name="Normal 10 3 2 5 3" xfId="4885"/>
    <cellStyle name="Normal 10 3 2 5 3 2" xfId="13724"/>
    <cellStyle name="Normal 10 3 2 5 3 2 2" xfId="23975"/>
    <cellStyle name="Normal 10 3 2 5 3 3" xfId="10145"/>
    <cellStyle name="Normal 10 3 2 5 3 4" xfId="18968"/>
    <cellStyle name="Normal 10 3 2 5 4" xfId="2316"/>
    <cellStyle name="Normal 10 3 2 5 4 2" xfId="11683"/>
    <cellStyle name="Normal 10 3 2 5 4 3" xfId="21687"/>
    <cellStyle name="Normal 10 3 2 5 5" xfId="6342"/>
    <cellStyle name="Normal 10 3 2 5 5 2" xfId="15169"/>
    <cellStyle name="Normal 10 3 2 5 5 3" xfId="25420"/>
    <cellStyle name="Normal 10 3 2 5 6" xfId="7788"/>
    <cellStyle name="Normal 10 3 2 5 6 2" xfId="20169"/>
    <cellStyle name="Normal 10 3 2 5 7" xfId="16680"/>
    <cellStyle name="Normal 10 3 2 6" xfId="1104"/>
    <cellStyle name="Normal 10 3 2 6 2" xfId="5197"/>
    <cellStyle name="Normal 10 3 2 6 2 2" xfId="14036"/>
    <cellStyle name="Normal 10 3 2 6 2 2 2" xfId="24287"/>
    <cellStyle name="Normal 10 3 2 6 2 3" xfId="10457"/>
    <cellStyle name="Normal 10 3 2 6 2 4" xfId="19280"/>
    <cellStyle name="Normal 10 3 2 6 3" xfId="3534"/>
    <cellStyle name="Normal 10 3 2 6 3 2" xfId="12672"/>
    <cellStyle name="Normal 10 3 2 6 3 3" xfId="22891"/>
    <cellStyle name="Normal 10 3 2 6 4" xfId="6654"/>
    <cellStyle name="Normal 10 3 2 6 4 2" xfId="15481"/>
    <cellStyle name="Normal 10 3 2 6 4 3" xfId="25732"/>
    <cellStyle name="Normal 10 3 2 6 5" xfId="8100"/>
    <cellStyle name="Normal 10 3 2 6 5 2" xfId="20490"/>
    <cellStyle name="Normal 10 3 2 6 6" xfId="17884"/>
    <cellStyle name="Normal 10 3 2 7" xfId="4151"/>
    <cellStyle name="Normal 10 3 2 7 2" xfId="12991"/>
    <cellStyle name="Normal 10 3 2 7 2 2" xfId="23242"/>
    <cellStyle name="Normal 10 3 2 7 3" xfId="9412"/>
    <cellStyle name="Normal 10 3 2 7 4" xfId="18235"/>
    <cellStyle name="Normal 10 3 2 8" xfId="1425"/>
    <cellStyle name="Normal 10 3 2 8 2" xfId="10804"/>
    <cellStyle name="Normal 10 3 2 8 3" xfId="20808"/>
    <cellStyle name="Normal 10 3 2 9" xfId="5611"/>
    <cellStyle name="Normal 10 3 2 9 2" xfId="14438"/>
    <cellStyle name="Normal 10 3 2 9 3" xfId="24689"/>
    <cellStyle name="Normal 10 3 2_Degree data" xfId="3905"/>
    <cellStyle name="Normal 10 3 3" xfId="239"/>
    <cellStyle name="Normal 10 3 3 10" xfId="7080"/>
    <cellStyle name="Normal 10 3 3 10 2" xfId="19694"/>
    <cellStyle name="Normal 10 3 3 11" xfId="15826"/>
    <cellStyle name="Normal 10 3 3 2" xfId="562"/>
    <cellStyle name="Normal 10 3 3 2 2" xfId="723"/>
    <cellStyle name="Normal 10 3 3 2 2 2" xfId="3210"/>
    <cellStyle name="Normal 10 3 3 2 2 2 2" xfId="12355"/>
    <cellStyle name="Normal 10 3 3 2 2 2 2 2" xfId="22573"/>
    <cellStyle name="Normal 10 3 3 2 2 2 3" xfId="8777"/>
    <cellStyle name="Normal 10 3 3 2 2 2 4" xfId="17566"/>
    <cellStyle name="Normal 10 3 3 2 2 3" xfId="4539"/>
    <cellStyle name="Normal 10 3 3 2 2 3 2" xfId="13379"/>
    <cellStyle name="Normal 10 3 3 2 2 3 2 2" xfId="23630"/>
    <cellStyle name="Normal 10 3 3 2 2 3 3" xfId="9800"/>
    <cellStyle name="Normal 10 3 3 2 2 3 4" xfId="18623"/>
    <cellStyle name="Normal 10 3 3 2 2 4" xfId="2319"/>
    <cellStyle name="Normal 10 3 3 2 2 4 2" xfId="11686"/>
    <cellStyle name="Normal 10 3 3 2 2 4 3" xfId="21690"/>
    <cellStyle name="Normal 10 3 3 2 2 5" xfId="5997"/>
    <cellStyle name="Normal 10 3 3 2 2 5 2" xfId="14824"/>
    <cellStyle name="Normal 10 3 3 2 2 5 3" xfId="25075"/>
    <cellStyle name="Normal 10 3 3 2 2 6" xfId="7441"/>
    <cellStyle name="Normal 10 3 3 2 2 6 2" xfId="20172"/>
    <cellStyle name="Normal 10 3 3 2 2 7" xfId="16683"/>
    <cellStyle name="Normal 10 3 3 2 3" xfId="1334"/>
    <cellStyle name="Normal 10 3 3 2 3 2" xfId="3764"/>
    <cellStyle name="Normal 10 3 3 2 3 2 2" xfId="12902"/>
    <cellStyle name="Normal 10 3 3 2 3 2 2 2" xfId="23121"/>
    <cellStyle name="Normal 10 3 3 2 3 2 3" xfId="9323"/>
    <cellStyle name="Normal 10 3 3 2 3 2 4" xfId="18114"/>
    <cellStyle name="Normal 10 3 3 2 3 3" xfId="4888"/>
    <cellStyle name="Normal 10 3 3 2 3 3 2" xfId="13727"/>
    <cellStyle name="Normal 10 3 3 2 3 3 2 2" xfId="23978"/>
    <cellStyle name="Normal 10 3 3 2 3 3 3" xfId="10148"/>
    <cellStyle name="Normal 10 3 3 2 3 3 4" xfId="18971"/>
    <cellStyle name="Normal 10 3 3 2 3 4" xfId="2158"/>
    <cellStyle name="Normal 10 3 3 2 3 4 2" xfId="11525"/>
    <cellStyle name="Normal 10 3 3 2 3 4 3" xfId="21529"/>
    <cellStyle name="Normal 10 3 3 2 3 5" xfId="6345"/>
    <cellStyle name="Normal 10 3 3 2 3 5 2" xfId="15172"/>
    <cellStyle name="Normal 10 3 3 2 3 5 3" xfId="25423"/>
    <cellStyle name="Normal 10 3 3 2 3 6" xfId="7791"/>
    <cellStyle name="Normal 10 3 3 2 3 6 2" xfId="20720"/>
    <cellStyle name="Normal 10 3 3 2 3 7" xfId="16522"/>
    <cellStyle name="Normal 10 3 3 2 4" xfId="3049"/>
    <cellStyle name="Normal 10 3 3 2 4 2" xfId="5427"/>
    <cellStyle name="Normal 10 3 3 2 4 2 2" xfId="14266"/>
    <cellStyle name="Normal 10 3 3 2 4 2 2 2" xfId="24517"/>
    <cellStyle name="Normal 10 3 3 2 4 2 3" xfId="10687"/>
    <cellStyle name="Normal 10 3 3 2 4 2 4" xfId="19510"/>
    <cellStyle name="Normal 10 3 3 2 4 3" xfId="6884"/>
    <cellStyle name="Normal 10 3 3 2 4 3 2" xfId="15711"/>
    <cellStyle name="Normal 10 3 3 2 4 3 3" xfId="25962"/>
    <cellStyle name="Normal 10 3 3 2 4 4" xfId="8330"/>
    <cellStyle name="Normal 10 3 3 2 4 4 2" xfId="22412"/>
    <cellStyle name="Normal 10 3 3 2 4 5" xfId="17405"/>
    <cellStyle name="Normal 10 3 3 2 5" xfId="4383"/>
    <cellStyle name="Normal 10 3 3 2 5 2" xfId="13223"/>
    <cellStyle name="Normal 10 3 3 2 5 2 2" xfId="23474"/>
    <cellStyle name="Normal 10 3 3 2 5 3" xfId="9644"/>
    <cellStyle name="Normal 10 3 3 2 5 4" xfId="18467"/>
    <cellStyle name="Normal 10 3 3 2 6" xfId="1655"/>
    <cellStyle name="Normal 10 3 3 2 6 2" xfId="11034"/>
    <cellStyle name="Normal 10 3 3 2 6 3" xfId="21038"/>
    <cellStyle name="Normal 10 3 3 2 7" xfId="5841"/>
    <cellStyle name="Normal 10 3 3 2 7 2" xfId="14668"/>
    <cellStyle name="Normal 10 3 3 2 7 3" xfId="24919"/>
    <cellStyle name="Normal 10 3 3 2 8" xfId="7285"/>
    <cellStyle name="Normal 10 3 3 2 8 2" xfId="20011"/>
    <cellStyle name="Normal 10 3 3 2 9" xfId="16031"/>
    <cellStyle name="Normal 10 3 3 2_Degree data" xfId="3887"/>
    <cellStyle name="Normal 10 3 3 3" xfId="357"/>
    <cellStyle name="Normal 10 3 3 3 2" xfId="2844"/>
    <cellStyle name="Normal 10 3 3 3 2 2" xfId="12134"/>
    <cellStyle name="Normal 10 3 3 3 2 2 2" xfId="22207"/>
    <cellStyle name="Normal 10 3 3 3 2 3" xfId="8476"/>
    <cellStyle name="Normal 10 3 3 3 2 4" xfId="17200"/>
    <cellStyle name="Normal 10 3 3 3 3" xfId="4538"/>
    <cellStyle name="Normal 10 3 3 3 3 2" xfId="13378"/>
    <cellStyle name="Normal 10 3 3 3 3 2 2" xfId="23629"/>
    <cellStyle name="Normal 10 3 3 3 3 3" xfId="9799"/>
    <cellStyle name="Normal 10 3 3 3 3 4" xfId="18622"/>
    <cellStyle name="Normal 10 3 3 3 4" xfId="1953"/>
    <cellStyle name="Normal 10 3 3 3 4 2" xfId="11320"/>
    <cellStyle name="Normal 10 3 3 3 4 3" xfId="21324"/>
    <cellStyle name="Normal 10 3 3 3 5" xfId="5996"/>
    <cellStyle name="Normal 10 3 3 3 5 2" xfId="14823"/>
    <cellStyle name="Normal 10 3 3 3 5 3" xfId="25074"/>
    <cellStyle name="Normal 10 3 3 3 6" xfId="7440"/>
    <cellStyle name="Normal 10 3 3 3 6 2" xfId="19806"/>
    <cellStyle name="Normal 10 3 3 3 7" xfId="16317"/>
    <cellStyle name="Normal 10 3 3 4" xfId="722"/>
    <cellStyle name="Normal 10 3 3 4 2" xfId="3209"/>
    <cellStyle name="Normal 10 3 3 4 2 2" xfId="12354"/>
    <cellStyle name="Normal 10 3 3 4 2 2 2" xfId="22572"/>
    <cellStyle name="Normal 10 3 3 4 2 3" xfId="8776"/>
    <cellStyle name="Normal 10 3 3 4 2 4" xfId="17565"/>
    <cellStyle name="Normal 10 3 3 4 3" xfId="4887"/>
    <cellStyle name="Normal 10 3 3 4 3 2" xfId="13726"/>
    <cellStyle name="Normal 10 3 3 4 3 2 2" xfId="23977"/>
    <cellStyle name="Normal 10 3 3 4 3 3" xfId="10147"/>
    <cellStyle name="Normal 10 3 3 4 3 4" xfId="18970"/>
    <cellStyle name="Normal 10 3 3 4 4" xfId="2318"/>
    <cellStyle name="Normal 10 3 3 4 4 2" xfId="11685"/>
    <cellStyle name="Normal 10 3 3 4 4 3" xfId="21689"/>
    <cellStyle name="Normal 10 3 3 4 5" xfId="6344"/>
    <cellStyle name="Normal 10 3 3 4 5 2" xfId="15171"/>
    <cellStyle name="Normal 10 3 3 4 5 3" xfId="25422"/>
    <cellStyle name="Normal 10 3 3 4 6" xfId="7790"/>
    <cellStyle name="Normal 10 3 3 4 6 2" xfId="20171"/>
    <cellStyle name="Normal 10 3 3 4 7" xfId="16682"/>
    <cellStyle name="Normal 10 3 3 5" xfId="1129"/>
    <cellStyle name="Normal 10 3 3 5 2" xfId="3559"/>
    <cellStyle name="Normal 10 3 3 5 2 2" xfId="12697"/>
    <cellStyle name="Normal 10 3 3 5 2 2 2" xfId="22916"/>
    <cellStyle name="Normal 10 3 3 5 2 3" xfId="9118"/>
    <cellStyle name="Normal 10 3 3 5 2 4" xfId="17909"/>
    <cellStyle name="Normal 10 3 3 5 3" xfId="5222"/>
    <cellStyle name="Normal 10 3 3 5 3 2" xfId="14061"/>
    <cellStyle name="Normal 10 3 3 5 3 2 2" xfId="24312"/>
    <cellStyle name="Normal 10 3 3 5 3 3" xfId="10482"/>
    <cellStyle name="Normal 10 3 3 5 3 4" xfId="19305"/>
    <cellStyle name="Normal 10 3 3 5 4" xfId="1838"/>
    <cellStyle name="Normal 10 3 3 5 4 2" xfId="11208"/>
    <cellStyle name="Normal 10 3 3 5 4 3" xfId="21212"/>
    <cellStyle name="Normal 10 3 3 5 5" xfId="6679"/>
    <cellStyle name="Normal 10 3 3 5 5 2" xfId="15506"/>
    <cellStyle name="Normal 10 3 3 5 5 3" xfId="25757"/>
    <cellStyle name="Normal 10 3 3 5 6" xfId="8125"/>
    <cellStyle name="Normal 10 3 3 5 6 2" xfId="20515"/>
    <cellStyle name="Normal 10 3 3 5 7" xfId="16205"/>
    <cellStyle name="Normal 10 3 3 6" xfId="2732"/>
    <cellStyle name="Normal 10 3 3 6 2" xfId="12051"/>
    <cellStyle name="Normal 10 3 3 6 2 2" xfId="22095"/>
    <cellStyle name="Normal 10 3 3 6 3" xfId="8561"/>
    <cellStyle name="Normal 10 3 3 6 4" xfId="17088"/>
    <cellStyle name="Normal 10 3 3 7" xfId="4178"/>
    <cellStyle name="Normal 10 3 3 7 2" xfId="13018"/>
    <cellStyle name="Normal 10 3 3 7 2 2" xfId="23269"/>
    <cellStyle name="Normal 10 3 3 7 3" xfId="9439"/>
    <cellStyle name="Normal 10 3 3 7 4" xfId="18262"/>
    <cellStyle name="Normal 10 3 3 8" xfId="1450"/>
    <cellStyle name="Normal 10 3 3 8 2" xfId="10829"/>
    <cellStyle name="Normal 10 3 3 8 3" xfId="20833"/>
    <cellStyle name="Normal 10 3 3 9" xfId="5636"/>
    <cellStyle name="Normal 10 3 3 9 2" xfId="14463"/>
    <cellStyle name="Normal 10 3 3 9 3" xfId="24714"/>
    <cellStyle name="Normal 10 3 3_Degree data" xfId="3914"/>
    <cellStyle name="Normal 10 3 4" xfId="457"/>
    <cellStyle name="Normal 10 3 4 2" xfId="724"/>
    <cellStyle name="Normal 10 3 4 2 2" xfId="3211"/>
    <cellStyle name="Normal 10 3 4 2 2 2" xfId="12356"/>
    <cellStyle name="Normal 10 3 4 2 2 2 2" xfId="22574"/>
    <cellStyle name="Normal 10 3 4 2 2 3" xfId="8778"/>
    <cellStyle name="Normal 10 3 4 2 2 4" xfId="17567"/>
    <cellStyle name="Normal 10 3 4 2 3" xfId="4540"/>
    <cellStyle name="Normal 10 3 4 2 3 2" xfId="13380"/>
    <cellStyle name="Normal 10 3 4 2 3 2 2" xfId="23631"/>
    <cellStyle name="Normal 10 3 4 2 3 3" xfId="9801"/>
    <cellStyle name="Normal 10 3 4 2 3 4" xfId="18624"/>
    <cellStyle name="Normal 10 3 4 2 4" xfId="2320"/>
    <cellStyle name="Normal 10 3 4 2 4 2" xfId="11687"/>
    <cellStyle name="Normal 10 3 4 2 4 3" xfId="21691"/>
    <cellStyle name="Normal 10 3 4 2 5" xfId="5998"/>
    <cellStyle name="Normal 10 3 4 2 5 2" xfId="14825"/>
    <cellStyle name="Normal 10 3 4 2 5 3" xfId="25076"/>
    <cellStyle name="Normal 10 3 4 2 6" xfId="7442"/>
    <cellStyle name="Normal 10 3 4 2 6 2" xfId="20173"/>
    <cellStyle name="Normal 10 3 4 2 7" xfId="16684"/>
    <cellStyle name="Normal 10 3 4 3" xfId="1229"/>
    <cellStyle name="Normal 10 3 4 3 2" xfId="3659"/>
    <cellStyle name="Normal 10 3 4 3 2 2" xfId="12797"/>
    <cellStyle name="Normal 10 3 4 3 2 2 2" xfId="23016"/>
    <cellStyle name="Normal 10 3 4 3 2 3" xfId="9218"/>
    <cellStyle name="Normal 10 3 4 3 2 4" xfId="18009"/>
    <cellStyle name="Normal 10 3 4 3 3" xfId="4889"/>
    <cellStyle name="Normal 10 3 4 3 3 2" xfId="13728"/>
    <cellStyle name="Normal 10 3 4 3 3 2 2" xfId="23979"/>
    <cellStyle name="Normal 10 3 4 3 3 3" xfId="10149"/>
    <cellStyle name="Normal 10 3 4 3 3 4" xfId="18972"/>
    <cellStyle name="Normal 10 3 4 3 4" xfId="2053"/>
    <cellStyle name="Normal 10 3 4 3 4 2" xfId="11420"/>
    <cellStyle name="Normal 10 3 4 3 4 3" xfId="21424"/>
    <cellStyle name="Normal 10 3 4 3 5" xfId="6346"/>
    <cellStyle name="Normal 10 3 4 3 5 2" xfId="15173"/>
    <cellStyle name="Normal 10 3 4 3 5 3" xfId="25424"/>
    <cellStyle name="Normal 10 3 4 3 6" xfId="7792"/>
    <cellStyle name="Normal 10 3 4 3 6 2" xfId="20615"/>
    <cellStyle name="Normal 10 3 4 3 7" xfId="16417"/>
    <cellStyle name="Normal 10 3 4 4" xfId="2944"/>
    <cellStyle name="Normal 10 3 4 4 2" xfId="5322"/>
    <cellStyle name="Normal 10 3 4 4 2 2" xfId="14161"/>
    <cellStyle name="Normal 10 3 4 4 2 2 2" xfId="24412"/>
    <cellStyle name="Normal 10 3 4 4 2 3" xfId="10582"/>
    <cellStyle name="Normal 10 3 4 4 2 4" xfId="19405"/>
    <cellStyle name="Normal 10 3 4 4 3" xfId="6779"/>
    <cellStyle name="Normal 10 3 4 4 3 2" xfId="15606"/>
    <cellStyle name="Normal 10 3 4 4 3 3" xfId="25857"/>
    <cellStyle name="Normal 10 3 4 4 4" xfId="8225"/>
    <cellStyle name="Normal 10 3 4 4 4 2" xfId="22307"/>
    <cellStyle name="Normal 10 3 4 4 5" xfId="17300"/>
    <cellStyle name="Normal 10 3 4 5" xfId="4278"/>
    <cellStyle name="Normal 10 3 4 5 2" xfId="13118"/>
    <cellStyle name="Normal 10 3 4 5 2 2" xfId="23369"/>
    <cellStyle name="Normal 10 3 4 5 3" xfId="9539"/>
    <cellStyle name="Normal 10 3 4 5 4" xfId="18362"/>
    <cellStyle name="Normal 10 3 4 6" xfId="1550"/>
    <cellStyle name="Normal 10 3 4 6 2" xfId="10929"/>
    <cellStyle name="Normal 10 3 4 6 3" xfId="20933"/>
    <cellStyle name="Normal 10 3 4 7" xfId="5736"/>
    <cellStyle name="Normal 10 3 4 7 2" xfId="14563"/>
    <cellStyle name="Normal 10 3 4 7 3" xfId="24814"/>
    <cellStyle name="Normal 10 3 4 8" xfId="7180"/>
    <cellStyle name="Normal 10 3 4 8 2" xfId="19906"/>
    <cellStyle name="Normal 10 3 4 9" xfId="15926"/>
    <cellStyle name="Normal 10 3 4_Degree data" xfId="3919"/>
    <cellStyle name="Normal 10 3 5" xfId="1726"/>
    <cellStyle name="Normal 10 3 5 2" xfId="11102"/>
    <cellStyle name="Normal 10 3 5 2 2" xfId="21106"/>
    <cellStyle name="Normal 10 3 5 3" xfId="8647"/>
    <cellStyle name="Normal 10 3 5 4" xfId="16099"/>
    <cellStyle name="Normal 10 3 6" xfId="2624"/>
    <cellStyle name="Normal 10 3 6 2" xfId="11977"/>
    <cellStyle name="Normal 10 3 6 2 2" xfId="21989"/>
    <cellStyle name="Normal 10 3 6 3" xfId="8513"/>
    <cellStyle name="Normal 10 3 6 4" xfId="16982"/>
    <cellStyle name="Normal 10 3 7" xfId="10759"/>
    <cellStyle name="Normal 10 3 7 2" xfId="19589"/>
    <cellStyle name="Normal 10 4" xfId="144"/>
    <cellStyle name="Normal 10 4 10" xfId="1413"/>
    <cellStyle name="Normal 10 4 10 2" xfId="10792"/>
    <cellStyle name="Normal 10 4 10 3" xfId="20796"/>
    <cellStyle name="Normal 10 4 11" xfId="5524"/>
    <cellStyle name="Normal 10 4 11 2" xfId="14353"/>
    <cellStyle name="Normal 10 4 11 3" xfId="24604"/>
    <cellStyle name="Normal 10 4 12" xfId="6966"/>
    <cellStyle name="Normal 10 4 12 2" xfId="19611"/>
    <cellStyle name="Normal 10 4 13" xfId="15789"/>
    <cellStyle name="Normal 10 4 2" xfId="194"/>
    <cellStyle name="Normal 10 4 2 10" xfId="7145"/>
    <cellStyle name="Normal 10 4 2 10 2" xfId="19654"/>
    <cellStyle name="Normal 10 4 2 11" xfId="15891"/>
    <cellStyle name="Normal 10 4 2 2" xfId="522"/>
    <cellStyle name="Normal 10 4 2 2 2" xfId="727"/>
    <cellStyle name="Normal 10 4 2 2 2 2" xfId="3214"/>
    <cellStyle name="Normal 10 4 2 2 2 2 2" xfId="12359"/>
    <cellStyle name="Normal 10 4 2 2 2 2 2 2" xfId="22577"/>
    <cellStyle name="Normal 10 4 2 2 2 2 3" xfId="8781"/>
    <cellStyle name="Normal 10 4 2 2 2 2 4" xfId="17570"/>
    <cellStyle name="Normal 10 4 2 2 2 3" xfId="4543"/>
    <cellStyle name="Normal 10 4 2 2 2 3 2" xfId="13383"/>
    <cellStyle name="Normal 10 4 2 2 2 3 2 2" xfId="23634"/>
    <cellStyle name="Normal 10 4 2 2 2 3 3" xfId="9804"/>
    <cellStyle name="Normal 10 4 2 2 2 3 4" xfId="18627"/>
    <cellStyle name="Normal 10 4 2 2 2 4" xfId="2323"/>
    <cellStyle name="Normal 10 4 2 2 2 4 2" xfId="11690"/>
    <cellStyle name="Normal 10 4 2 2 2 4 3" xfId="21694"/>
    <cellStyle name="Normal 10 4 2 2 2 5" xfId="6001"/>
    <cellStyle name="Normal 10 4 2 2 2 5 2" xfId="14828"/>
    <cellStyle name="Normal 10 4 2 2 2 5 3" xfId="25079"/>
    <cellStyle name="Normal 10 4 2 2 2 6" xfId="7445"/>
    <cellStyle name="Normal 10 4 2 2 2 6 2" xfId="20176"/>
    <cellStyle name="Normal 10 4 2 2 2 7" xfId="16687"/>
    <cellStyle name="Normal 10 4 2 2 3" xfId="1294"/>
    <cellStyle name="Normal 10 4 2 2 3 2" xfId="3724"/>
    <cellStyle name="Normal 10 4 2 2 3 2 2" xfId="12862"/>
    <cellStyle name="Normal 10 4 2 2 3 2 2 2" xfId="23081"/>
    <cellStyle name="Normal 10 4 2 2 3 2 3" xfId="9283"/>
    <cellStyle name="Normal 10 4 2 2 3 2 4" xfId="18074"/>
    <cellStyle name="Normal 10 4 2 2 3 3" xfId="4892"/>
    <cellStyle name="Normal 10 4 2 2 3 3 2" xfId="13731"/>
    <cellStyle name="Normal 10 4 2 2 3 3 2 2" xfId="23982"/>
    <cellStyle name="Normal 10 4 2 2 3 3 3" xfId="10152"/>
    <cellStyle name="Normal 10 4 2 2 3 3 4" xfId="18975"/>
    <cellStyle name="Normal 10 4 2 2 3 4" xfId="2118"/>
    <cellStyle name="Normal 10 4 2 2 3 4 2" xfId="11485"/>
    <cellStyle name="Normal 10 4 2 2 3 4 3" xfId="21489"/>
    <cellStyle name="Normal 10 4 2 2 3 5" xfId="6349"/>
    <cellStyle name="Normal 10 4 2 2 3 5 2" xfId="15176"/>
    <cellStyle name="Normal 10 4 2 2 3 5 3" xfId="25427"/>
    <cellStyle name="Normal 10 4 2 2 3 6" xfId="7795"/>
    <cellStyle name="Normal 10 4 2 2 3 6 2" xfId="20680"/>
    <cellStyle name="Normal 10 4 2 2 3 7" xfId="16482"/>
    <cellStyle name="Normal 10 4 2 2 4" xfId="3009"/>
    <cellStyle name="Normal 10 4 2 2 4 2" xfId="5387"/>
    <cellStyle name="Normal 10 4 2 2 4 2 2" xfId="14226"/>
    <cellStyle name="Normal 10 4 2 2 4 2 2 2" xfId="24477"/>
    <cellStyle name="Normal 10 4 2 2 4 2 3" xfId="10647"/>
    <cellStyle name="Normal 10 4 2 2 4 2 4" xfId="19470"/>
    <cellStyle name="Normal 10 4 2 2 4 3" xfId="6844"/>
    <cellStyle name="Normal 10 4 2 2 4 3 2" xfId="15671"/>
    <cellStyle name="Normal 10 4 2 2 4 3 3" xfId="25922"/>
    <cellStyle name="Normal 10 4 2 2 4 4" xfId="8290"/>
    <cellStyle name="Normal 10 4 2 2 4 4 2" xfId="22372"/>
    <cellStyle name="Normal 10 4 2 2 4 5" xfId="17365"/>
    <cellStyle name="Normal 10 4 2 2 5" xfId="4343"/>
    <cellStyle name="Normal 10 4 2 2 5 2" xfId="13183"/>
    <cellStyle name="Normal 10 4 2 2 5 2 2" xfId="23434"/>
    <cellStyle name="Normal 10 4 2 2 5 3" xfId="9604"/>
    <cellStyle name="Normal 10 4 2 2 5 4" xfId="18427"/>
    <cellStyle name="Normal 10 4 2 2 6" xfId="1615"/>
    <cellStyle name="Normal 10 4 2 2 6 2" xfId="10994"/>
    <cellStyle name="Normal 10 4 2 2 6 3" xfId="20998"/>
    <cellStyle name="Normal 10 4 2 2 7" xfId="5801"/>
    <cellStyle name="Normal 10 4 2 2 7 2" xfId="14628"/>
    <cellStyle name="Normal 10 4 2 2 7 3" xfId="24879"/>
    <cellStyle name="Normal 10 4 2 2 8" xfId="7245"/>
    <cellStyle name="Normal 10 4 2 2 8 2" xfId="19971"/>
    <cellStyle name="Normal 10 4 2 2 9" xfId="15991"/>
    <cellStyle name="Normal 10 4 2 2_Degree data" xfId="3848"/>
    <cellStyle name="Normal 10 4 2 3" xfId="422"/>
    <cellStyle name="Normal 10 4 2 3 2" xfId="2909"/>
    <cellStyle name="Normal 10 4 2 3 2 2" xfId="12199"/>
    <cellStyle name="Normal 10 4 2 3 2 2 2" xfId="22272"/>
    <cellStyle name="Normal 10 4 2 3 2 3" xfId="8600"/>
    <cellStyle name="Normal 10 4 2 3 2 4" xfId="17265"/>
    <cellStyle name="Normal 10 4 2 3 3" xfId="4542"/>
    <cellStyle name="Normal 10 4 2 3 3 2" xfId="13382"/>
    <cellStyle name="Normal 10 4 2 3 3 2 2" xfId="23633"/>
    <cellStyle name="Normal 10 4 2 3 3 3" xfId="9803"/>
    <cellStyle name="Normal 10 4 2 3 3 4" xfId="18626"/>
    <cellStyle name="Normal 10 4 2 3 4" xfId="2018"/>
    <cellStyle name="Normal 10 4 2 3 4 2" xfId="11385"/>
    <cellStyle name="Normal 10 4 2 3 4 3" xfId="21389"/>
    <cellStyle name="Normal 10 4 2 3 5" xfId="6000"/>
    <cellStyle name="Normal 10 4 2 3 5 2" xfId="14827"/>
    <cellStyle name="Normal 10 4 2 3 5 3" xfId="25078"/>
    <cellStyle name="Normal 10 4 2 3 6" xfId="7444"/>
    <cellStyle name="Normal 10 4 2 3 6 2" xfId="19871"/>
    <cellStyle name="Normal 10 4 2 3 7" xfId="16382"/>
    <cellStyle name="Normal 10 4 2 4" xfId="726"/>
    <cellStyle name="Normal 10 4 2 4 2" xfId="3213"/>
    <cellStyle name="Normal 10 4 2 4 2 2" xfId="12358"/>
    <cellStyle name="Normal 10 4 2 4 2 2 2" xfId="22576"/>
    <cellStyle name="Normal 10 4 2 4 2 3" xfId="8780"/>
    <cellStyle name="Normal 10 4 2 4 2 4" xfId="17569"/>
    <cellStyle name="Normal 10 4 2 4 3" xfId="4891"/>
    <cellStyle name="Normal 10 4 2 4 3 2" xfId="13730"/>
    <cellStyle name="Normal 10 4 2 4 3 2 2" xfId="23981"/>
    <cellStyle name="Normal 10 4 2 4 3 3" xfId="10151"/>
    <cellStyle name="Normal 10 4 2 4 3 4" xfId="18974"/>
    <cellStyle name="Normal 10 4 2 4 4" xfId="2322"/>
    <cellStyle name="Normal 10 4 2 4 4 2" xfId="11689"/>
    <cellStyle name="Normal 10 4 2 4 4 3" xfId="21693"/>
    <cellStyle name="Normal 10 4 2 4 5" xfId="6348"/>
    <cellStyle name="Normal 10 4 2 4 5 2" xfId="15175"/>
    <cellStyle name="Normal 10 4 2 4 5 3" xfId="25426"/>
    <cellStyle name="Normal 10 4 2 4 6" xfId="7794"/>
    <cellStyle name="Normal 10 4 2 4 6 2" xfId="20175"/>
    <cellStyle name="Normal 10 4 2 4 7" xfId="16686"/>
    <cellStyle name="Normal 10 4 2 5" xfId="1194"/>
    <cellStyle name="Normal 10 4 2 5 2" xfId="3624"/>
    <cellStyle name="Normal 10 4 2 5 2 2" xfId="12762"/>
    <cellStyle name="Normal 10 4 2 5 2 2 2" xfId="22981"/>
    <cellStyle name="Normal 10 4 2 5 2 3" xfId="9183"/>
    <cellStyle name="Normal 10 4 2 5 2 4" xfId="17974"/>
    <cellStyle name="Normal 10 4 2 5 3" xfId="5287"/>
    <cellStyle name="Normal 10 4 2 5 3 2" xfId="14126"/>
    <cellStyle name="Normal 10 4 2 5 3 2 2" xfId="24377"/>
    <cellStyle name="Normal 10 4 2 5 3 3" xfId="10547"/>
    <cellStyle name="Normal 10 4 2 5 3 4" xfId="19370"/>
    <cellStyle name="Normal 10 4 2 5 4" xfId="1797"/>
    <cellStyle name="Normal 10 4 2 5 4 2" xfId="11168"/>
    <cellStyle name="Normal 10 4 2 5 4 3" xfId="21172"/>
    <cellStyle name="Normal 10 4 2 5 5" xfId="6744"/>
    <cellStyle name="Normal 10 4 2 5 5 2" xfId="15571"/>
    <cellStyle name="Normal 10 4 2 5 5 3" xfId="25822"/>
    <cellStyle name="Normal 10 4 2 5 6" xfId="8190"/>
    <cellStyle name="Normal 10 4 2 5 6 2" xfId="20580"/>
    <cellStyle name="Normal 10 4 2 5 7" xfId="16165"/>
    <cellStyle name="Normal 10 4 2 6" xfId="2692"/>
    <cellStyle name="Normal 10 4 2 6 2" xfId="12011"/>
    <cellStyle name="Normal 10 4 2 6 2 2" xfId="22055"/>
    <cellStyle name="Normal 10 4 2 6 3" xfId="8580"/>
    <cellStyle name="Normal 10 4 2 6 4" xfId="17048"/>
    <cellStyle name="Normal 10 4 2 7" xfId="4243"/>
    <cellStyle name="Normal 10 4 2 7 2" xfId="13083"/>
    <cellStyle name="Normal 10 4 2 7 2 2" xfId="23334"/>
    <cellStyle name="Normal 10 4 2 7 3" xfId="9504"/>
    <cellStyle name="Normal 10 4 2 7 4" xfId="18327"/>
    <cellStyle name="Normal 10 4 2 8" xfId="1515"/>
    <cellStyle name="Normal 10 4 2 8 2" xfId="10894"/>
    <cellStyle name="Normal 10 4 2 8 3" xfId="20898"/>
    <cellStyle name="Normal 10 4 2 9" xfId="5701"/>
    <cellStyle name="Normal 10 4 2 9 2" xfId="14528"/>
    <cellStyle name="Normal 10 4 2 9 3" xfId="24779"/>
    <cellStyle name="Normal 10 4 2_Degree data" xfId="2645"/>
    <cellStyle name="Normal 10 4 3" xfId="261"/>
    <cellStyle name="Normal 10 4 3 10" xfId="7102"/>
    <cellStyle name="Normal 10 4 3 10 2" xfId="19716"/>
    <cellStyle name="Normal 10 4 3 11" xfId="15848"/>
    <cellStyle name="Normal 10 4 3 2" xfId="584"/>
    <cellStyle name="Normal 10 4 3 2 2" xfId="729"/>
    <cellStyle name="Normal 10 4 3 2 2 2" xfId="3216"/>
    <cellStyle name="Normal 10 4 3 2 2 2 2" xfId="12361"/>
    <cellStyle name="Normal 10 4 3 2 2 2 2 2" xfId="22579"/>
    <cellStyle name="Normal 10 4 3 2 2 2 3" xfId="8783"/>
    <cellStyle name="Normal 10 4 3 2 2 2 4" xfId="17572"/>
    <cellStyle name="Normal 10 4 3 2 2 3" xfId="4545"/>
    <cellStyle name="Normal 10 4 3 2 2 3 2" xfId="13385"/>
    <cellStyle name="Normal 10 4 3 2 2 3 2 2" xfId="23636"/>
    <cellStyle name="Normal 10 4 3 2 2 3 3" xfId="9806"/>
    <cellStyle name="Normal 10 4 3 2 2 3 4" xfId="18629"/>
    <cellStyle name="Normal 10 4 3 2 2 4" xfId="2325"/>
    <cellStyle name="Normal 10 4 3 2 2 4 2" xfId="11692"/>
    <cellStyle name="Normal 10 4 3 2 2 4 3" xfId="21696"/>
    <cellStyle name="Normal 10 4 3 2 2 5" xfId="6003"/>
    <cellStyle name="Normal 10 4 3 2 2 5 2" xfId="14830"/>
    <cellStyle name="Normal 10 4 3 2 2 5 3" xfId="25081"/>
    <cellStyle name="Normal 10 4 3 2 2 6" xfId="7447"/>
    <cellStyle name="Normal 10 4 3 2 2 6 2" xfId="20178"/>
    <cellStyle name="Normal 10 4 3 2 2 7" xfId="16689"/>
    <cellStyle name="Normal 10 4 3 2 3" xfId="1356"/>
    <cellStyle name="Normal 10 4 3 2 3 2" xfId="3786"/>
    <cellStyle name="Normal 10 4 3 2 3 2 2" xfId="12924"/>
    <cellStyle name="Normal 10 4 3 2 3 2 2 2" xfId="23143"/>
    <cellStyle name="Normal 10 4 3 2 3 2 3" xfId="9345"/>
    <cellStyle name="Normal 10 4 3 2 3 2 4" xfId="18136"/>
    <cellStyle name="Normal 10 4 3 2 3 3" xfId="4894"/>
    <cellStyle name="Normal 10 4 3 2 3 3 2" xfId="13733"/>
    <cellStyle name="Normal 10 4 3 2 3 3 2 2" xfId="23984"/>
    <cellStyle name="Normal 10 4 3 2 3 3 3" xfId="10154"/>
    <cellStyle name="Normal 10 4 3 2 3 3 4" xfId="18977"/>
    <cellStyle name="Normal 10 4 3 2 3 4" xfId="2180"/>
    <cellStyle name="Normal 10 4 3 2 3 4 2" xfId="11547"/>
    <cellStyle name="Normal 10 4 3 2 3 4 3" xfId="21551"/>
    <cellStyle name="Normal 10 4 3 2 3 5" xfId="6351"/>
    <cellStyle name="Normal 10 4 3 2 3 5 2" xfId="15178"/>
    <cellStyle name="Normal 10 4 3 2 3 5 3" xfId="25429"/>
    <cellStyle name="Normal 10 4 3 2 3 6" xfId="7797"/>
    <cellStyle name="Normal 10 4 3 2 3 6 2" xfId="20742"/>
    <cellStyle name="Normal 10 4 3 2 3 7" xfId="16544"/>
    <cellStyle name="Normal 10 4 3 2 4" xfId="3071"/>
    <cellStyle name="Normal 10 4 3 2 4 2" xfId="5449"/>
    <cellStyle name="Normal 10 4 3 2 4 2 2" xfId="14288"/>
    <cellStyle name="Normal 10 4 3 2 4 2 2 2" xfId="24539"/>
    <cellStyle name="Normal 10 4 3 2 4 2 3" xfId="10709"/>
    <cellStyle name="Normal 10 4 3 2 4 2 4" xfId="19532"/>
    <cellStyle name="Normal 10 4 3 2 4 3" xfId="6906"/>
    <cellStyle name="Normal 10 4 3 2 4 3 2" xfId="15733"/>
    <cellStyle name="Normal 10 4 3 2 4 3 3" xfId="25984"/>
    <cellStyle name="Normal 10 4 3 2 4 4" xfId="8352"/>
    <cellStyle name="Normal 10 4 3 2 4 4 2" xfId="22434"/>
    <cellStyle name="Normal 10 4 3 2 4 5" xfId="17427"/>
    <cellStyle name="Normal 10 4 3 2 5" xfId="4405"/>
    <cellStyle name="Normal 10 4 3 2 5 2" xfId="13245"/>
    <cellStyle name="Normal 10 4 3 2 5 2 2" xfId="23496"/>
    <cellStyle name="Normal 10 4 3 2 5 3" xfId="9666"/>
    <cellStyle name="Normal 10 4 3 2 5 4" xfId="18489"/>
    <cellStyle name="Normal 10 4 3 2 6" xfId="1677"/>
    <cellStyle name="Normal 10 4 3 2 6 2" xfId="11056"/>
    <cellStyle name="Normal 10 4 3 2 6 3" xfId="21060"/>
    <cellStyle name="Normal 10 4 3 2 7" xfId="5863"/>
    <cellStyle name="Normal 10 4 3 2 7 2" xfId="14690"/>
    <cellStyle name="Normal 10 4 3 2 7 3" xfId="24941"/>
    <cellStyle name="Normal 10 4 3 2 8" xfId="7307"/>
    <cellStyle name="Normal 10 4 3 2 8 2" xfId="20033"/>
    <cellStyle name="Normal 10 4 3 2 9" xfId="16053"/>
    <cellStyle name="Normal 10 4 3 2_Degree data" xfId="2611"/>
    <cellStyle name="Normal 10 4 3 3" xfId="379"/>
    <cellStyle name="Normal 10 4 3 3 2" xfId="2866"/>
    <cellStyle name="Normal 10 4 3 3 2 2" xfId="12156"/>
    <cellStyle name="Normal 10 4 3 3 2 2 2" xfId="22229"/>
    <cellStyle name="Normal 10 4 3 3 2 3" xfId="8425"/>
    <cellStyle name="Normal 10 4 3 3 2 4" xfId="17222"/>
    <cellStyle name="Normal 10 4 3 3 3" xfId="4544"/>
    <cellStyle name="Normal 10 4 3 3 3 2" xfId="13384"/>
    <cellStyle name="Normal 10 4 3 3 3 2 2" xfId="23635"/>
    <cellStyle name="Normal 10 4 3 3 3 3" xfId="9805"/>
    <cellStyle name="Normal 10 4 3 3 3 4" xfId="18628"/>
    <cellStyle name="Normal 10 4 3 3 4" xfId="1975"/>
    <cellStyle name="Normal 10 4 3 3 4 2" xfId="11342"/>
    <cellStyle name="Normal 10 4 3 3 4 3" xfId="21346"/>
    <cellStyle name="Normal 10 4 3 3 5" xfId="6002"/>
    <cellStyle name="Normal 10 4 3 3 5 2" xfId="14829"/>
    <cellStyle name="Normal 10 4 3 3 5 3" xfId="25080"/>
    <cellStyle name="Normal 10 4 3 3 6" xfId="7446"/>
    <cellStyle name="Normal 10 4 3 3 6 2" xfId="19828"/>
    <cellStyle name="Normal 10 4 3 3 7" xfId="16339"/>
    <cellStyle name="Normal 10 4 3 4" xfId="728"/>
    <cellStyle name="Normal 10 4 3 4 2" xfId="3215"/>
    <cellStyle name="Normal 10 4 3 4 2 2" xfId="12360"/>
    <cellStyle name="Normal 10 4 3 4 2 2 2" xfId="22578"/>
    <cellStyle name="Normal 10 4 3 4 2 3" xfId="8782"/>
    <cellStyle name="Normal 10 4 3 4 2 4" xfId="17571"/>
    <cellStyle name="Normal 10 4 3 4 3" xfId="4893"/>
    <cellStyle name="Normal 10 4 3 4 3 2" xfId="13732"/>
    <cellStyle name="Normal 10 4 3 4 3 2 2" xfId="23983"/>
    <cellStyle name="Normal 10 4 3 4 3 3" xfId="10153"/>
    <cellStyle name="Normal 10 4 3 4 3 4" xfId="18976"/>
    <cellStyle name="Normal 10 4 3 4 4" xfId="2324"/>
    <cellStyle name="Normal 10 4 3 4 4 2" xfId="11691"/>
    <cellStyle name="Normal 10 4 3 4 4 3" xfId="21695"/>
    <cellStyle name="Normal 10 4 3 4 5" xfId="6350"/>
    <cellStyle name="Normal 10 4 3 4 5 2" xfId="15177"/>
    <cellStyle name="Normal 10 4 3 4 5 3" xfId="25428"/>
    <cellStyle name="Normal 10 4 3 4 6" xfId="7796"/>
    <cellStyle name="Normal 10 4 3 4 6 2" xfId="20177"/>
    <cellStyle name="Normal 10 4 3 4 7" xfId="16688"/>
    <cellStyle name="Normal 10 4 3 5" xfId="1151"/>
    <cellStyle name="Normal 10 4 3 5 2" xfId="3581"/>
    <cellStyle name="Normal 10 4 3 5 2 2" xfId="12719"/>
    <cellStyle name="Normal 10 4 3 5 2 2 2" xfId="22938"/>
    <cellStyle name="Normal 10 4 3 5 2 3" xfId="9140"/>
    <cellStyle name="Normal 10 4 3 5 2 4" xfId="17931"/>
    <cellStyle name="Normal 10 4 3 5 3" xfId="5244"/>
    <cellStyle name="Normal 10 4 3 5 3 2" xfId="14083"/>
    <cellStyle name="Normal 10 4 3 5 3 2 2" xfId="24334"/>
    <cellStyle name="Normal 10 4 3 5 3 3" xfId="10504"/>
    <cellStyle name="Normal 10 4 3 5 3 4" xfId="19327"/>
    <cellStyle name="Normal 10 4 3 5 4" xfId="1860"/>
    <cellStyle name="Normal 10 4 3 5 4 2" xfId="11230"/>
    <cellStyle name="Normal 10 4 3 5 4 3" xfId="21234"/>
    <cellStyle name="Normal 10 4 3 5 5" xfId="6701"/>
    <cellStyle name="Normal 10 4 3 5 5 2" xfId="15528"/>
    <cellStyle name="Normal 10 4 3 5 5 3" xfId="25779"/>
    <cellStyle name="Normal 10 4 3 5 6" xfId="8147"/>
    <cellStyle name="Normal 10 4 3 5 6 2" xfId="20537"/>
    <cellStyle name="Normal 10 4 3 5 7" xfId="16227"/>
    <cellStyle name="Normal 10 4 3 6" xfId="2754"/>
    <cellStyle name="Normal 10 4 3 6 2" xfId="12073"/>
    <cellStyle name="Normal 10 4 3 6 2 2" xfId="22117"/>
    <cellStyle name="Normal 10 4 3 6 3" xfId="8440"/>
    <cellStyle name="Normal 10 4 3 6 4" xfId="17110"/>
    <cellStyle name="Normal 10 4 3 7" xfId="4200"/>
    <cellStyle name="Normal 10 4 3 7 2" xfId="13040"/>
    <cellStyle name="Normal 10 4 3 7 2 2" xfId="23291"/>
    <cellStyle name="Normal 10 4 3 7 3" xfId="9461"/>
    <cellStyle name="Normal 10 4 3 7 4" xfId="18284"/>
    <cellStyle name="Normal 10 4 3 8" xfId="1472"/>
    <cellStyle name="Normal 10 4 3 8 2" xfId="10851"/>
    <cellStyle name="Normal 10 4 3 8 3" xfId="20855"/>
    <cellStyle name="Normal 10 4 3 9" xfId="5658"/>
    <cellStyle name="Normal 10 4 3 9 2" xfId="14485"/>
    <cellStyle name="Normal 10 4 3 9 3" xfId="24736"/>
    <cellStyle name="Normal 10 4 3_Degree data" xfId="2636"/>
    <cellStyle name="Normal 10 4 4" xfId="479"/>
    <cellStyle name="Normal 10 4 4 2" xfId="730"/>
    <cellStyle name="Normal 10 4 4 2 2" xfId="3217"/>
    <cellStyle name="Normal 10 4 4 2 2 2" xfId="12362"/>
    <cellStyle name="Normal 10 4 4 2 2 2 2" xfId="22580"/>
    <cellStyle name="Normal 10 4 4 2 2 3" xfId="8784"/>
    <cellStyle name="Normal 10 4 4 2 2 4" xfId="17573"/>
    <cellStyle name="Normal 10 4 4 2 3" xfId="4546"/>
    <cellStyle name="Normal 10 4 4 2 3 2" xfId="13386"/>
    <cellStyle name="Normal 10 4 4 2 3 2 2" xfId="23637"/>
    <cellStyle name="Normal 10 4 4 2 3 3" xfId="9807"/>
    <cellStyle name="Normal 10 4 4 2 3 4" xfId="18630"/>
    <cellStyle name="Normal 10 4 4 2 4" xfId="2326"/>
    <cellStyle name="Normal 10 4 4 2 4 2" xfId="11693"/>
    <cellStyle name="Normal 10 4 4 2 4 3" xfId="21697"/>
    <cellStyle name="Normal 10 4 4 2 5" xfId="6004"/>
    <cellStyle name="Normal 10 4 4 2 5 2" xfId="14831"/>
    <cellStyle name="Normal 10 4 4 2 5 3" xfId="25082"/>
    <cellStyle name="Normal 10 4 4 2 6" xfId="7448"/>
    <cellStyle name="Normal 10 4 4 2 6 2" xfId="20179"/>
    <cellStyle name="Normal 10 4 4 2 7" xfId="16690"/>
    <cellStyle name="Normal 10 4 4 3" xfId="1251"/>
    <cellStyle name="Normal 10 4 4 3 2" xfId="3681"/>
    <cellStyle name="Normal 10 4 4 3 2 2" xfId="12819"/>
    <cellStyle name="Normal 10 4 4 3 2 2 2" xfId="23038"/>
    <cellStyle name="Normal 10 4 4 3 2 3" xfId="9240"/>
    <cellStyle name="Normal 10 4 4 3 2 4" xfId="18031"/>
    <cellStyle name="Normal 10 4 4 3 3" xfId="4895"/>
    <cellStyle name="Normal 10 4 4 3 3 2" xfId="13734"/>
    <cellStyle name="Normal 10 4 4 3 3 2 2" xfId="23985"/>
    <cellStyle name="Normal 10 4 4 3 3 3" xfId="10155"/>
    <cellStyle name="Normal 10 4 4 3 3 4" xfId="18978"/>
    <cellStyle name="Normal 10 4 4 3 4" xfId="2075"/>
    <cellStyle name="Normal 10 4 4 3 4 2" xfId="11442"/>
    <cellStyle name="Normal 10 4 4 3 4 3" xfId="21446"/>
    <cellStyle name="Normal 10 4 4 3 5" xfId="6352"/>
    <cellStyle name="Normal 10 4 4 3 5 2" xfId="15179"/>
    <cellStyle name="Normal 10 4 4 3 5 3" xfId="25430"/>
    <cellStyle name="Normal 10 4 4 3 6" xfId="7798"/>
    <cellStyle name="Normal 10 4 4 3 6 2" xfId="20637"/>
    <cellStyle name="Normal 10 4 4 3 7" xfId="16439"/>
    <cellStyle name="Normal 10 4 4 4" xfId="2966"/>
    <cellStyle name="Normal 10 4 4 4 2" xfId="5344"/>
    <cellStyle name="Normal 10 4 4 4 2 2" xfId="14183"/>
    <cellStyle name="Normal 10 4 4 4 2 2 2" xfId="24434"/>
    <cellStyle name="Normal 10 4 4 4 2 3" xfId="10604"/>
    <cellStyle name="Normal 10 4 4 4 2 4" xfId="19427"/>
    <cellStyle name="Normal 10 4 4 4 3" xfId="6801"/>
    <cellStyle name="Normal 10 4 4 4 3 2" xfId="15628"/>
    <cellStyle name="Normal 10 4 4 4 3 3" xfId="25879"/>
    <cellStyle name="Normal 10 4 4 4 4" xfId="8247"/>
    <cellStyle name="Normal 10 4 4 4 4 2" xfId="22329"/>
    <cellStyle name="Normal 10 4 4 4 5" xfId="17322"/>
    <cellStyle name="Normal 10 4 4 5" xfId="4300"/>
    <cellStyle name="Normal 10 4 4 5 2" xfId="13140"/>
    <cellStyle name="Normal 10 4 4 5 2 2" xfId="23391"/>
    <cellStyle name="Normal 10 4 4 5 3" xfId="9561"/>
    <cellStyle name="Normal 10 4 4 5 4" xfId="18384"/>
    <cellStyle name="Normal 10 4 4 6" xfId="1572"/>
    <cellStyle name="Normal 10 4 4 6 2" xfId="10951"/>
    <cellStyle name="Normal 10 4 4 6 3" xfId="20955"/>
    <cellStyle name="Normal 10 4 4 7" xfId="5758"/>
    <cellStyle name="Normal 10 4 4 7 2" xfId="14585"/>
    <cellStyle name="Normal 10 4 4 7 3" xfId="24836"/>
    <cellStyle name="Normal 10 4 4 8" xfId="7202"/>
    <cellStyle name="Normal 10 4 4 8 2" xfId="19928"/>
    <cellStyle name="Normal 10 4 4 9" xfId="15948"/>
    <cellStyle name="Normal 10 4 4_Degree data" xfId="3474"/>
    <cellStyle name="Normal 10 4 5" xfId="320"/>
    <cellStyle name="Normal 10 4 5 2" xfId="2807"/>
    <cellStyle name="Normal 10 4 5 2 2" xfId="12113"/>
    <cellStyle name="Normal 10 4 5 2 2 2" xfId="22170"/>
    <cellStyle name="Normal 10 4 5 2 3" xfId="8544"/>
    <cellStyle name="Normal 10 4 5 2 4" xfId="17163"/>
    <cellStyle name="Normal 10 4 5 3" xfId="4541"/>
    <cellStyle name="Normal 10 4 5 3 2" xfId="13381"/>
    <cellStyle name="Normal 10 4 5 3 2 2" xfId="23632"/>
    <cellStyle name="Normal 10 4 5 3 3" xfId="9802"/>
    <cellStyle name="Normal 10 4 5 3 4" xfId="18625"/>
    <cellStyle name="Normal 10 4 5 4" xfId="1916"/>
    <cellStyle name="Normal 10 4 5 4 2" xfId="11283"/>
    <cellStyle name="Normal 10 4 5 4 3" xfId="21287"/>
    <cellStyle name="Normal 10 4 5 5" xfId="5999"/>
    <cellStyle name="Normal 10 4 5 5 2" xfId="14826"/>
    <cellStyle name="Normal 10 4 5 5 3" xfId="25077"/>
    <cellStyle name="Normal 10 4 5 6" xfId="7443"/>
    <cellStyle name="Normal 10 4 5 6 2" xfId="19769"/>
    <cellStyle name="Normal 10 4 5 7" xfId="16280"/>
    <cellStyle name="Normal 10 4 6" xfId="725"/>
    <cellStyle name="Normal 10 4 6 2" xfId="3212"/>
    <cellStyle name="Normal 10 4 6 2 2" xfId="12357"/>
    <cellStyle name="Normal 10 4 6 2 2 2" xfId="22575"/>
    <cellStyle name="Normal 10 4 6 2 3" xfId="8779"/>
    <cellStyle name="Normal 10 4 6 2 4" xfId="17568"/>
    <cellStyle name="Normal 10 4 6 3" xfId="4890"/>
    <cellStyle name="Normal 10 4 6 3 2" xfId="13729"/>
    <cellStyle name="Normal 10 4 6 3 2 2" xfId="23980"/>
    <cellStyle name="Normal 10 4 6 3 3" xfId="10150"/>
    <cellStyle name="Normal 10 4 6 3 4" xfId="18973"/>
    <cellStyle name="Normal 10 4 6 4" xfId="2321"/>
    <cellStyle name="Normal 10 4 6 4 2" xfId="11688"/>
    <cellStyle name="Normal 10 4 6 4 3" xfId="21692"/>
    <cellStyle name="Normal 10 4 6 5" xfId="6347"/>
    <cellStyle name="Normal 10 4 6 5 2" xfId="15174"/>
    <cellStyle name="Normal 10 4 6 5 3" xfId="25425"/>
    <cellStyle name="Normal 10 4 6 6" xfId="7793"/>
    <cellStyle name="Normal 10 4 6 6 2" xfId="20174"/>
    <cellStyle name="Normal 10 4 6 7" xfId="16685"/>
    <cellStyle name="Normal 10 4 7" xfId="1092"/>
    <cellStyle name="Normal 10 4 7 2" xfId="3522"/>
    <cellStyle name="Normal 10 4 7 2 2" xfId="12660"/>
    <cellStyle name="Normal 10 4 7 2 2 2" xfId="22879"/>
    <cellStyle name="Normal 10 4 7 2 3" xfId="9082"/>
    <cellStyle name="Normal 10 4 7 2 4" xfId="17872"/>
    <cellStyle name="Normal 10 4 7 3" xfId="5185"/>
    <cellStyle name="Normal 10 4 7 3 2" xfId="14024"/>
    <cellStyle name="Normal 10 4 7 3 2 2" xfId="24275"/>
    <cellStyle name="Normal 10 4 7 3 3" xfId="10445"/>
    <cellStyle name="Normal 10 4 7 3 4" xfId="19268"/>
    <cellStyle name="Normal 10 4 7 4" xfId="1751"/>
    <cellStyle name="Normal 10 4 7 4 2" xfId="11124"/>
    <cellStyle name="Normal 10 4 7 4 3" xfId="21128"/>
    <cellStyle name="Normal 10 4 7 5" xfId="6642"/>
    <cellStyle name="Normal 10 4 7 5 2" xfId="15469"/>
    <cellStyle name="Normal 10 4 7 5 3" xfId="25720"/>
    <cellStyle name="Normal 10 4 7 6" xfId="8088"/>
    <cellStyle name="Normal 10 4 7 6 2" xfId="20478"/>
    <cellStyle name="Normal 10 4 7 7" xfId="16121"/>
    <cellStyle name="Normal 10 4 8" xfId="2649"/>
    <cellStyle name="Normal 10 4 8 2" xfId="5599"/>
    <cellStyle name="Normal 10 4 8 2 2" xfId="14426"/>
    <cellStyle name="Normal 10 4 8 2 3" xfId="24677"/>
    <cellStyle name="Normal 10 4 8 3" xfId="7043"/>
    <cellStyle name="Normal 10 4 8 3 2" xfId="22012"/>
    <cellStyle name="Normal 10 4 8 4" xfId="17005"/>
    <cellStyle name="Normal 10 4 9" xfId="4139"/>
    <cellStyle name="Normal 10 4 9 2" xfId="12979"/>
    <cellStyle name="Normal 10 4 9 2 2" xfId="23230"/>
    <cellStyle name="Normal 10 4 9 3" xfId="9400"/>
    <cellStyle name="Normal 10 4 9 4" xfId="18223"/>
    <cellStyle name="Normal 10 4_Degree data" xfId="3917"/>
    <cellStyle name="Normal 10 5" xfId="185"/>
    <cellStyle name="Normal 10 5 10" xfId="7136"/>
    <cellStyle name="Normal 10 5 10 2" xfId="19645"/>
    <cellStyle name="Normal 10 5 11" xfId="15882"/>
    <cellStyle name="Normal 10 5 2" xfId="513"/>
    <cellStyle name="Normal 10 5 2 2" xfId="732"/>
    <cellStyle name="Normal 10 5 2 2 2" xfId="3219"/>
    <cellStyle name="Normal 10 5 2 2 2 2" xfId="12364"/>
    <cellStyle name="Normal 10 5 2 2 2 2 2" xfId="22582"/>
    <cellStyle name="Normal 10 5 2 2 2 3" xfId="8786"/>
    <cellStyle name="Normal 10 5 2 2 2 4" xfId="17575"/>
    <cellStyle name="Normal 10 5 2 2 3" xfId="4548"/>
    <cellStyle name="Normal 10 5 2 2 3 2" xfId="13388"/>
    <cellStyle name="Normal 10 5 2 2 3 2 2" xfId="23639"/>
    <cellStyle name="Normal 10 5 2 2 3 3" xfId="9809"/>
    <cellStyle name="Normal 10 5 2 2 3 4" xfId="18632"/>
    <cellStyle name="Normal 10 5 2 2 4" xfId="2328"/>
    <cellStyle name="Normal 10 5 2 2 4 2" xfId="11695"/>
    <cellStyle name="Normal 10 5 2 2 4 3" xfId="21699"/>
    <cellStyle name="Normal 10 5 2 2 5" xfId="6006"/>
    <cellStyle name="Normal 10 5 2 2 5 2" xfId="14833"/>
    <cellStyle name="Normal 10 5 2 2 5 3" xfId="25084"/>
    <cellStyle name="Normal 10 5 2 2 6" xfId="7450"/>
    <cellStyle name="Normal 10 5 2 2 6 2" xfId="20181"/>
    <cellStyle name="Normal 10 5 2 2 7" xfId="16692"/>
    <cellStyle name="Normal 10 5 2 3" xfId="1285"/>
    <cellStyle name="Normal 10 5 2 3 2" xfId="3715"/>
    <cellStyle name="Normal 10 5 2 3 2 2" xfId="12853"/>
    <cellStyle name="Normal 10 5 2 3 2 2 2" xfId="23072"/>
    <cellStyle name="Normal 10 5 2 3 2 3" xfId="9274"/>
    <cellStyle name="Normal 10 5 2 3 2 4" xfId="18065"/>
    <cellStyle name="Normal 10 5 2 3 3" xfId="4897"/>
    <cellStyle name="Normal 10 5 2 3 3 2" xfId="13736"/>
    <cellStyle name="Normal 10 5 2 3 3 2 2" xfId="23987"/>
    <cellStyle name="Normal 10 5 2 3 3 3" xfId="10157"/>
    <cellStyle name="Normal 10 5 2 3 3 4" xfId="18980"/>
    <cellStyle name="Normal 10 5 2 3 4" xfId="2109"/>
    <cellStyle name="Normal 10 5 2 3 4 2" xfId="11476"/>
    <cellStyle name="Normal 10 5 2 3 4 3" xfId="21480"/>
    <cellStyle name="Normal 10 5 2 3 5" xfId="6354"/>
    <cellStyle name="Normal 10 5 2 3 5 2" xfId="15181"/>
    <cellStyle name="Normal 10 5 2 3 5 3" xfId="25432"/>
    <cellStyle name="Normal 10 5 2 3 6" xfId="7800"/>
    <cellStyle name="Normal 10 5 2 3 6 2" xfId="20671"/>
    <cellStyle name="Normal 10 5 2 3 7" xfId="16473"/>
    <cellStyle name="Normal 10 5 2 4" xfId="3000"/>
    <cellStyle name="Normal 10 5 2 4 2" xfId="5378"/>
    <cellStyle name="Normal 10 5 2 4 2 2" xfId="14217"/>
    <cellStyle name="Normal 10 5 2 4 2 2 2" xfId="24468"/>
    <cellStyle name="Normal 10 5 2 4 2 3" xfId="10638"/>
    <cellStyle name="Normal 10 5 2 4 2 4" xfId="19461"/>
    <cellStyle name="Normal 10 5 2 4 3" xfId="6835"/>
    <cellStyle name="Normal 10 5 2 4 3 2" xfId="15662"/>
    <cellStyle name="Normal 10 5 2 4 3 3" xfId="25913"/>
    <cellStyle name="Normal 10 5 2 4 4" xfId="8281"/>
    <cellStyle name="Normal 10 5 2 4 4 2" xfId="22363"/>
    <cellStyle name="Normal 10 5 2 4 5" xfId="17356"/>
    <cellStyle name="Normal 10 5 2 5" xfId="4334"/>
    <cellStyle name="Normal 10 5 2 5 2" xfId="13174"/>
    <cellStyle name="Normal 10 5 2 5 2 2" xfId="23425"/>
    <cellStyle name="Normal 10 5 2 5 3" xfId="9595"/>
    <cellStyle name="Normal 10 5 2 5 4" xfId="18418"/>
    <cellStyle name="Normal 10 5 2 6" xfId="1606"/>
    <cellStyle name="Normal 10 5 2 6 2" xfId="10985"/>
    <cellStyle name="Normal 10 5 2 6 3" xfId="20989"/>
    <cellStyle name="Normal 10 5 2 7" xfId="5792"/>
    <cellStyle name="Normal 10 5 2 7 2" xfId="14619"/>
    <cellStyle name="Normal 10 5 2 7 3" xfId="24870"/>
    <cellStyle name="Normal 10 5 2 8" xfId="7236"/>
    <cellStyle name="Normal 10 5 2 8 2" xfId="19962"/>
    <cellStyle name="Normal 10 5 2 9" xfId="15982"/>
    <cellStyle name="Normal 10 5 2_Degree data" xfId="3839"/>
    <cellStyle name="Normal 10 5 3" xfId="413"/>
    <cellStyle name="Normal 10 5 3 2" xfId="2900"/>
    <cellStyle name="Normal 10 5 3 2 2" xfId="12190"/>
    <cellStyle name="Normal 10 5 3 2 2 2" xfId="22263"/>
    <cellStyle name="Normal 10 5 3 2 3" xfId="8396"/>
    <cellStyle name="Normal 10 5 3 2 4" xfId="17256"/>
    <cellStyle name="Normal 10 5 3 3" xfId="4547"/>
    <cellStyle name="Normal 10 5 3 3 2" xfId="13387"/>
    <cellStyle name="Normal 10 5 3 3 2 2" xfId="23638"/>
    <cellStyle name="Normal 10 5 3 3 3" xfId="9808"/>
    <cellStyle name="Normal 10 5 3 3 4" xfId="18631"/>
    <cellStyle name="Normal 10 5 3 4" xfId="2009"/>
    <cellStyle name="Normal 10 5 3 4 2" xfId="11376"/>
    <cellStyle name="Normal 10 5 3 4 3" xfId="21380"/>
    <cellStyle name="Normal 10 5 3 5" xfId="6005"/>
    <cellStyle name="Normal 10 5 3 5 2" xfId="14832"/>
    <cellStyle name="Normal 10 5 3 5 3" xfId="25083"/>
    <cellStyle name="Normal 10 5 3 6" xfId="7449"/>
    <cellStyle name="Normal 10 5 3 6 2" xfId="19862"/>
    <cellStyle name="Normal 10 5 3 7" xfId="16373"/>
    <cellStyle name="Normal 10 5 4" xfId="731"/>
    <cellStyle name="Normal 10 5 4 2" xfId="3218"/>
    <cellStyle name="Normal 10 5 4 2 2" xfId="12363"/>
    <cellStyle name="Normal 10 5 4 2 2 2" xfId="22581"/>
    <cellStyle name="Normal 10 5 4 2 3" xfId="8785"/>
    <cellStyle name="Normal 10 5 4 2 4" xfId="17574"/>
    <cellStyle name="Normal 10 5 4 3" xfId="4896"/>
    <cellStyle name="Normal 10 5 4 3 2" xfId="13735"/>
    <cellStyle name="Normal 10 5 4 3 2 2" xfId="23986"/>
    <cellStyle name="Normal 10 5 4 3 3" xfId="10156"/>
    <cellStyle name="Normal 10 5 4 3 4" xfId="18979"/>
    <cellStyle name="Normal 10 5 4 4" xfId="2327"/>
    <cellStyle name="Normal 10 5 4 4 2" xfId="11694"/>
    <cellStyle name="Normal 10 5 4 4 3" xfId="21698"/>
    <cellStyle name="Normal 10 5 4 5" xfId="6353"/>
    <cellStyle name="Normal 10 5 4 5 2" xfId="15180"/>
    <cellStyle name="Normal 10 5 4 5 3" xfId="25431"/>
    <cellStyle name="Normal 10 5 4 6" xfId="7799"/>
    <cellStyle name="Normal 10 5 4 6 2" xfId="20180"/>
    <cellStyle name="Normal 10 5 4 7" xfId="16691"/>
    <cellStyle name="Normal 10 5 5" xfId="1185"/>
    <cellStyle name="Normal 10 5 5 2" xfId="3615"/>
    <cellStyle name="Normal 10 5 5 2 2" xfId="12753"/>
    <cellStyle name="Normal 10 5 5 2 2 2" xfId="22972"/>
    <cellStyle name="Normal 10 5 5 2 3" xfId="9174"/>
    <cellStyle name="Normal 10 5 5 2 4" xfId="17965"/>
    <cellStyle name="Normal 10 5 5 3" xfId="5278"/>
    <cellStyle name="Normal 10 5 5 3 2" xfId="14117"/>
    <cellStyle name="Normal 10 5 5 3 2 2" xfId="24368"/>
    <cellStyle name="Normal 10 5 5 3 3" xfId="10538"/>
    <cellStyle name="Normal 10 5 5 3 4" xfId="19361"/>
    <cellStyle name="Normal 10 5 5 4" xfId="1788"/>
    <cellStyle name="Normal 10 5 5 4 2" xfId="11159"/>
    <cellStyle name="Normal 10 5 5 4 3" xfId="21163"/>
    <cellStyle name="Normal 10 5 5 5" xfId="6735"/>
    <cellStyle name="Normal 10 5 5 5 2" xfId="15562"/>
    <cellStyle name="Normal 10 5 5 5 3" xfId="25813"/>
    <cellStyle name="Normal 10 5 5 6" xfId="8181"/>
    <cellStyle name="Normal 10 5 5 6 2" xfId="20571"/>
    <cellStyle name="Normal 10 5 5 7" xfId="16156"/>
    <cellStyle name="Normal 10 5 6" xfId="2683"/>
    <cellStyle name="Normal 10 5 6 2" xfId="12002"/>
    <cellStyle name="Normal 10 5 6 2 2" xfId="22046"/>
    <cellStyle name="Normal 10 5 6 3" xfId="8402"/>
    <cellStyle name="Normal 10 5 6 4" xfId="17039"/>
    <cellStyle name="Normal 10 5 7" xfId="4234"/>
    <cellStyle name="Normal 10 5 7 2" xfId="13074"/>
    <cellStyle name="Normal 10 5 7 2 2" xfId="23325"/>
    <cellStyle name="Normal 10 5 7 3" xfId="9495"/>
    <cellStyle name="Normal 10 5 7 4" xfId="18318"/>
    <cellStyle name="Normal 10 5 8" xfId="1506"/>
    <cellStyle name="Normal 10 5 8 2" xfId="10885"/>
    <cellStyle name="Normal 10 5 8 3" xfId="20889"/>
    <cellStyle name="Normal 10 5 9" xfId="5692"/>
    <cellStyle name="Normal 10 5 9 2" xfId="14519"/>
    <cellStyle name="Normal 10 5 9 3" xfId="24770"/>
    <cellStyle name="Normal 10 5_Degree data" xfId="3837"/>
    <cellStyle name="Normal 10 6" xfId="706"/>
    <cellStyle name="Normal 10 6 2" xfId="3193"/>
    <cellStyle name="Normal 10 6 2 2" xfId="12338"/>
    <cellStyle name="Normal 10 6 2 2 2" xfId="22556"/>
    <cellStyle name="Normal 10 6 2 3" xfId="8760"/>
    <cellStyle name="Normal 10 6 2 4" xfId="17549"/>
    <cellStyle name="Normal 10 6 3" xfId="4522"/>
    <cellStyle name="Normal 10 6 3 2" xfId="13362"/>
    <cellStyle name="Normal 10 6 3 2 2" xfId="23613"/>
    <cellStyle name="Normal 10 6 3 3" xfId="9783"/>
    <cellStyle name="Normal 10 6 3 4" xfId="18606"/>
    <cellStyle name="Normal 10 6 4" xfId="2302"/>
    <cellStyle name="Normal 10 6 4 2" xfId="11669"/>
    <cellStyle name="Normal 10 6 4 3" xfId="21673"/>
    <cellStyle name="Normal 10 6 5" xfId="5980"/>
    <cellStyle name="Normal 10 6 5 2" xfId="14807"/>
    <cellStyle name="Normal 10 6 5 3" xfId="25058"/>
    <cellStyle name="Normal 10 6 6" xfId="7424"/>
    <cellStyle name="Normal 10 6 6 2" xfId="20155"/>
    <cellStyle name="Normal 10 6 7" xfId="16666"/>
    <cellStyle name="Normal 10 7" xfId="1049"/>
    <cellStyle name="Normal 10 7 2" xfId="3479"/>
    <cellStyle name="Normal 10 7 2 2" xfId="12617"/>
    <cellStyle name="Normal 10 7 2 2 2" xfId="22836"/>
    <cellStyle name="Normal 10 7 2 3" xfId="9039"/>
    <cellStyle name="Normal 10 7 2 4" xfId="17829"/>
    <cellStyle name="Normal 10 7 3" xfId="4871"/>
    <cellStyle name="Normal 10 7 3 2" xfId="13710"/>
    <cellStyle name="Normal 10 7 3 2 2" xfId="23961"/>
    <cellStyle name="Normal 10 7 3 3" xfId="10131"/>
    <cellStyle name="Normal 10 7 3 4" xfId="18954"/>
    <cellStyle name="Normal 10 7 4" xfId="2592"/>
    <cellStyle name="Normal 10 7 4 2" xfId="11958"/>
    <cellStyle name="Normal 10 7 4 3" xfId="21962"/>
    <cellStyle name="Normal 10 7 5" xfId="6328"/>
    <cellStyle name="Normal 10 7 5 2" xfId="15155"/>
    <cellStyle name="Normal 10 7 5 3" xfId="25406"/>
    <cellStyle name="Normal 10 7 6" xfId="7774"/>
    <cellStyle name="Normal 10 7 6 2" xfId="20435"/>
    <cellStyle name="Normal 10 7 7" xfId="16955"/>
    <cellStyle name="Normal 10 8" xfId="3910"/>
    <cellStyle name="Normal 10 8 2" xfId="5142"/>
    <cellStyle name="Normal 10 8 2 2" xfId="13981"/>
    <cellStyle name="Normal 10 8 2 2 2" xfId="24232"/>
    <cellStyle name="Normal 10 8 2 3" xfId="10402"/>
    <cellStyle name="Normal 10 8 2 4" xfId="19225"/>
    <cellStyle name="Normal 10 8 3" xfId="6599"/>
    <cellStyle name="Normal 10 8 3 2" xfId="15426"/>
    <cellStyle name="Normal 10 8 3 3" xfId="25677"/>
    <cellStyle name="Normal 10 8 4" xfId="8045"/>
    <cellStyle name="Normal 10 8 4 2" xfId="23182"/>
    <cellStyle name="Normal 10 8 5" xfId="18175"/>
    <cellStyle name="Normal 10 9" xfId="4095"/>
    <cellStyle name="Normal 10 9 2" xfId="5556"/>
    <cellStyle name="Normal 10 9 2 2" xfId="14383"/>
    <cellStyle name="Normal 10 9 2 3" xfId="24634"/>
    <cellStyle name="Normal 10 9 3" xfId="7000"/>
    <cellStyle name="Normal 10 9 3 2" xfId="23186"/>
    <cellStyle name="Normal 10 9 4" xfId="18179"/>
    <cellStyle name="Normal 10_Degree data" xfId="3826"/>
    <cellStyle name="Normal 100" xfId="5506"/>
    <cellStyle name="Normal 101" xfId="6944"/>
    <cellStyle name="Normal 101 2" xfId="10758"/>
    <cellStyle name="Normal 102" xfId="6946"/>
    <cellStyle name="Normal 102 2" xfId="10775"/>
    <cellStyle name="Normal 103" xfId="15771"/>
    <cellStyle name="Normal 104" xfId="6945"/>
    <cellStyle name="Normal 105" xfId="6981"/>
    <cellStyle name="Normal 106" xfId="15772"/>
    <cellStyle name="Normal 109" xfId="26034"/>
    <cellStyle name="Normal 11" xfId="22"/>
    <cellStyle name="Normal 111" xfId="26035"/>
    <cellStyle name="Normal 112" xfId="26036"/>
    <cellStyle name="Normal 113" xfId="26037"/>
    <cellStyle name="Normal 114" xfId="26038"/>
    <cellStyle name="Normal 12" xfId="13"/>
    <cellStyle name="Normal 12 2" xfId="41"/>
    <cellStyle name="Normal 12 3" xfId="158"/>
    <cellStyle name="Normal 13" xfId="31"/>
    <cellStyle name="Normal 13 2" xfId="42"/>
    <cellStyle name="Normal 13 3" xfId="70"/>
    <cellStyle name="Normal 13 3 2" xfId="128"/>
    <cellStyle name="Normal 13 3 3" xfId="230"/>
    <cellStyle name="Normal 14" xfId="11"/>
    <cellStyle name="Normal 14 2" xfId="40"/>
    <cellStyle name="Normal 14 3" xfId="157"/>
    <cellStyle name="Normal 141" xfId="26027"/>
    <cellStyle name="Normal 142" xfId="26028"/>
    <cellStyle name="Normal 143" xfId="26029"/>
    <cellStyle name="Normal 144" xfId="26030"/>
    <cellStyle name="Normal 145" xfId="26031"/>
    <cellStyle name="Normal 146" xfId="26032"/>
    <cellStyle name="Normal 147" xfId="26033"/>
    <cellStyle name="Normal 15" xfId="12"/>
    <cellStyle name="Normal 15 2" xfId="733"/>
    <cellStyle name="Normal 15 2 2" xfId="1393"/>
    <cellStyle name="Normal 15 2 2 2" xfId="3823"/>
    <cellStyle name="Normal 15 2 2 2 2" xfId="12961"/>
    <cellStyle name="Normal 15 2 2 2 2 2" xfId="23180"/>
    <cellStyle name="Normal 15 2 2 2 3" xfId="9382"/>
    <cellStyle name="Normal 15 2 2 2 4" xfId="18173"/>
    <cellStyle name="Normal 15 2 2 3" xfId="4898"/>
    <cellStyle name="Normal 15 2 2 3 2" xfId="13737"/>
    <cellStyle name="Normal 15 2 2 3 2 2" xfId="23988"/>
    <cellStyle name="Normal 15 2 2 3 3" xfId="10158"/>
    <cellStyle name="Normal 15 2 2 3 4" xfId="18981"/>
    <cellStyle name="Normal 15 2 2 4" xfId="2589"/>
    <cellStyle name="Normal 15 2 2 4 2" xfId="11955"/>
    <cellStyle name="Normal 15 2 2 4 3" xfId="21959"/>
    <cellStyle name="Normal 15 2 2 5" xfId="6355"/>
    <cellStyle name="Normal 15 2 2 5 2" xfId="15182"/>
    <cellStyle name="Normal 15 2 2 5 3" xfId="25433"/>
    <cellStyle name="Normal 15 2 2 6" xfId="7801"/>
    <cellStyle name="Normal 15 2 2 6 2" xfId="20779"/>
    <cellStyle name="Normal 15 2 2 7" xfId="16952"/>
    <cellStyle name="Normal 15 2 3" xfId="3220"/>
    <cellStyle name="Normal 15 2 3 2" xfId="5486"/>
    <cellStyle name="Normal 15 2 3 2 2" xfId="14325"/>
    <cellStyle name="Normal 15 2 3 2 2 2" xfId="24576"/>
    <cellStyle name="Normal 15 2 3 2 3" xfId="10746"/>
    <cellStyle name="Normal 15 2 3 2 4" xfId="19569"/>
    <cellStyle name="Normal 15 2 3 3" xfId="6943"/>
    <cellStyle name="Normal 15 2 3 3 2" xfId="15770"/>
    <cellStyle name="Normal 15 2 3 3 3" xfId="26021"/>
    <cellStyle name="Normal 15 2 3 4" xfId="8389"/>
    <cellStyle name="Normal 15 2 3 4 2" xfId="22583"/>
    <cellStyle name="Normal 15 2 3 5" xfId="17576"/>
    <cellStyle name="Normal 15 2 4" xfId="4549"/>
    <cellStyle name="Normal 15 2 4 2" xfId="13389"/>
    <cellStyle name="Normal 15 2 4 2 2" xfId="23640"/>
    <cellStyle name="Normal 15 2 4 3" xfId="9810"/>
    <cellStyle name="Normal 15 2 4 4" xfId="18633"/>
    <cellStyle name="Normal 15 2 5" xfId="2329"/>
    <cellStyle name="Normal 15 2 5 2" xfId="11696"/>
    <cellStyle name="Normal 15 2 5 3" xfId="21700"/>
    <cellStyle name="Normal 15 2 6" xfId="6007"/>
    <cellStyle name="Normal 15 2 6 2" xfId="14834"/>
    <cellStyle name="Normal 15 2 6 3" xfId="25085"/>
    <cellStyle name="Normal 15 2 7" xfId="7451"/>
    <cellStyle name="Normal 15 2 7 2" xfId="20182"/>
    <cellStyle name="Normal 15 2 8" xfId="16693"/>
    <cellStyle name="Normal 15 2_Degree data" xfId="3935"/>
    <cellStyle name="Normal 16" xfId="71"/>
    <cellStyle name="Normal 17" xfId="72"/>
    <cellStyle name="Normal 18" xfId="73"/>
    <cellStyle name="Normal 19" xfId="106"/>
    <cellStyle name="Normal 19 2" xfId="130"/>
    <cellStyle name="Normal 19 3" xfId="125"/>
    <cellStyle name="Normal 2" xfId="10"/>
    <cellStyle name="Normal 2 2" xfId="34"/>
    <cellStyle name="Normal 2 2 2" xfId="56"/>
    <cellStyle name="Normal 2 3" xfId="55"/>
    <cellStyle name="Normal 2 3 2" xfId="57"/>
    <cellStyle name="Normal 2 4" xfId="67"/>
    <cellStyle name="Normal 2 4 2" xfId="295"/>
    <cellStyle name="Normal 2 5" xfId="58"/>
    <cellStyle name="Normal 2 5 10" xfId="307"/>
    <cellStyle name="Normal 2 5 10 2" xfId="735"/>
    <cellStyle name="Normal 2 5 10 2 2" xfId="3222"/>
    <cellStyle name="Normal 2 5 10 2 2 2" xfId="12366"/>
    <cellStyle name="Normal 2 5 10 2 2 2 2" xfId="22585"/>
    <cellStyle name="Normal 2 5 10 2 2 3" xfId="8788"/>
    <cellStyle name="Normal 2 5 10 2 2 4" xfId="17578"/>
    <cellStyle name="Normal 2 5 10 2 3" xfId="4551"/>
    <cellStyle name="Normal 2 5 10 2 3 2" xfId="13391"/>
    <cellStyle name="Normal 2 5 10 2 3 2 2" xfId="23642"/>
    <cellStyle name="Normal 2 5 10 2 3 3" xfId="9812"/>
    <cellStyle name="Normal 2 5 10 2 3 4" xfId="18635"/>
    <cellStyle name="Normal 2 5 10 2 4" xfId="2331"/>
    <cellStyle name="Normal 2 5 10 2 4 2" xfId="11698"/>
    <cellStyle name="Normal 2 5 10 2 4 3" xfId="21702"/>
    <cellStyle name="Normal 2 5 10 2 5" xfId="6009"/>
    <cellStyle name="Normal 2 5 10 2 5 2" xfId="14836"/>
    <cellStyle name="Normal 2 5 10 2 5 3" xfId="25087"/>
    <cellStyle name="Normal 2 5 10 2 6" xfId="7453"/>
    <cellStyle name="Normal 2 5 10 2 6 2" xfId="20184"/>
    <cellStyle name="Normal 2 5 10 2 7" xfId="16695"/>
    <cellStyle name="Normal 2 5 10 3" xfId="1079"/>
    <cellStyle name="Normal 2 5 10 3 2" xfId="3509"/>
    <cellStyle name="Normal 2 5 10 3 2 2" xfId="12647"/>
    <cellStyle name="Normal 2 5 10 3 2 2 2" xfId="22866"/>
    <cellStyle name="Normal 2 5 10 3 2 3" xfId="9069"/>
    <cellStyle name="Normal 2 5 10 3 2 4" xfId="17859"/>
    <cellStyle name="Normal 2 5 10 3 3" xfId="4900"/>
    <cellStyle name="Normal 2 5 10 3 3 2" xfId="13739"/>
    <cellStyle name="Normal 2 5 10 3 3 2 2" xfId="23990"/>
    <cellStyle name="Normal 2 5 10 3 3 3" xfId="10160"/>
    <cellStyle name="Normal 2 5 10 3 3 4" xfId="18983"/>
    <cellStyle name="Normal 2 5 10 3 4" xfId="2583"/>
    <cellStyle name="Normal 2 5 10 3 4 2" xfId="11949"/>
    <cellStyle name="Normal 2 5 10 3 4 3" xfId="21953"/>
    <cellStyle name="Normal 2 5 10 3 5" xfId="6357"/>
    <cellStyle name="Normal 2 5 10 3 5 2" xfId="15184"/>
    <cellStyle name="Normal 2 5 10 3 5 3" xfId="25435"/>
    <cellStyle name="Normal 2 5 10 3 6" xfId="7803"/>
    <cellStyle name="Normal 2 5 10 3 6 2" xfId="20465"/>
    <cellStyle name="Normal 2 5 10 3 7" xfId="16946"/>
    <cellStyle name="Normal 2 5 10 4" xfId="2794"/>
    <cellStyle name="Normal 2 5 10 4 2" xfId="5172"/>
    <cellStyle name="Normal 2 5 10 4 2 2" xfId="14011"/>
    <cellStyle name="Normal 2 5 10 4 2 2 2" xfId="24262"/>
    <cellStyle name="Normal 2 5 10 4 2 3" xfId="10432"/>
    <cellStyle name="Normal 2 5 10 4 2 4" xfId="19255"/>
    <cellStyle name="Normal 2 5 10 4 3" xfId="6629"/>
    <cellStyle name="Normal 2 5 10 4 3 2" xfId="15456"/>
    <cellStyle name="Normal 2 5 10 4 3 3" xfId="25707"/>
    <cellStyle name="Normal 2 5 10 4 4" xfId="8075"/>
    <cellStyle name="Normal 2 5 10 4 4 2" xfId="22157"/>
    <cellStyle name="Normal 2 5 10 4 5" xfId="17150"/>
    <cellStyle name="Normal 2 5 10 5" xfId="4126"/>
    <cellStyle name="Normal 2 5 10 5 2" xfId="12966"/>
    <cellStyle name="Normal 2 5 10 5 2 2" xfId="23217"/>
    <cellStyle name="Normal 2 5 10 5 3" xfId="9387"/>
    <cellStyle name="Normal 2 5 10 5 4" xfId="18210"/>
    <cellStyle name="Normal 2 5 10 6" xfId="1903"/>
    <cellStyle name="Normal 2 5 10 6 2" xfId="11270"/>
    <cellStyle name="Normal 2 5 10 6 3" xfId="21274"/>
    <cellStyle name="Normal 2 5 10 7" xfId="5586"/>
    <cellStyle name="Normal 2 5 10 7 2" xfId="14413"/>
    <cellStyle name="Normal 2 5 10 7 3" xfId="24664"/>
    <cellStyle name="Normal 2 5 10 8" xfId="7030"/>
    <cellStyle name="Normal 2 5 10 8 2" xfId="19756"/>
    <cellStyle name="Normal 2 5 10 9" xfId="16267"/>
    <cellStyle name="Normal 2 5 10_Degree data" xfId="3932"/>
    <cellStyle name="Normal 2 5 11" xfId="734"/>
    <cellStyle name="Normal 2 5 11 2" xfId="3221"/>
    <cellStyle name="Normal 2 5 11 2 2" xfId="12365"/>
    <cellStyle name="Normal 2 5 11 2 2 2" xfId="22584"/>
    <cellStyle name="Normal 2 5 11 2 3" xfId="8787"/>
    <cellStyle name="Normal 2 5 11 2 4" xfId="17577"/>
    <cellStyle name="Normal 2 5 11 3" xfId="4550"/>
    <cellStyle name="Normal 2 5 11 3 2" xfId="13390"/>
    <cellStyle name="Normal 2 5 11 3 2 2" xfId="23641"/>
    <cellStyle name="Normal 2 5 11 3 3" xfId="9811"/>
    <cellStyle name="Normal 2 5 11 3 4" xfId="18634"/>
    <cellStyle name="Normal 2 5 11 4" xfId="2330"/>
    <cellStyle name="Normal 2 5 11 4 2" xfId="11697"/>
    <cellStyle name="Normal 2 5 11 4 3" xfId="21701"/>
    <cellStyle name="Normal 2 5 11 5" xfId="6008"/>
    <cellStyle name="Normal 2 5 11 5 2" xfId="14835"/>
    <cellStyle name="Normal 2 5 11 5 3" xfId="25086"/>
    <cellStyle name="Normal 2 5 11 6" xfId="7452"/>
    <cellStyle name="Normal 2 5 11 6 2" xfId="20183"/>
    <cellStyle name="Normal 2 5 11 7" xfId="16694"/>
    <cellStyle name="Normal 2 5 12" xfId="1047"/>
    <cellStyle name="Normal 2 5 12 2" xfId="3477"/>
    <cellStyle name="Normal 2 5 12 2 2" xfId="12615"/>
    <cellStyle name="Normal 2 5 12 2 2 2" xfId="22834"/>
    <cellStyle name="Normal 2 5 12 2 3" xfId="9037"/>
    <cellStyle name="Normal 2 5 12 2 4" xfId="17827"/>
    <cellStyle name="Normal 2 5 12 3" xfId="4899"/>
    <cellStyle name="Normal 2 5 12 3 2" xfId="13738"/>
    <cellStyle name="Normal 2 5 12 3 2 2" xfId="23989"/>
    <cellStyle name="Normal 2 5 12 3 3" xfId="10159"/>
    <cellStyle name="Normal 2 5 12 3 4" xfId="18982"/>
    <cellStyle name="Normal 2 5 12 4" xfId="1720"/>
    <cellStyle name="Normal 2 5 12 4 2" xfId="11099"/>
    <cellStyle name="Normal 2 5 12 4 3" xfId="21103"/>
    <cellStyle name="Normal 2 5 12 5" xfId="6356"/>
    <cellStyle name="Normal 2 5 12 5 2" xfId="15183"/>
    <cellStyle name="Normal 2 5 12 5 3" xfId="25434"/>
    <cellStyle name="Normal 2 5 12 6" xfId="7802"/>
    <cellStyle name="Normal 2 5 12 6 2" xfId="20433"/>
    <cellStyle name="Normal 2 5 12 7" xfId="16096"/>
    <cellStyle name="Normal 2 5 13" xfId="2620"/>
    <cellStyle name="Normal 2 5 13 2" xfId="5140"/>
    <cellStyle name="Normal 2 5 13 2 2" xfId="13979"/>
    <cellStyle name="Normal 2 5 13 2 2 2" xfId="24230"/>
    <cellStyle name="Normal 2 5 13 2 3" xfId="10400"/>
    <cellStyle name="Normal 2 5 13 2 4" xfId="19223"/>
    <cellStyle name="Normal 2 5 13 3" xfId="6597"/>
    <cellStyle name="Normal 2 5 13 3 2" xfId="15424"/>
    <cellStyle name="Normal 2 5 13 3 3" xfId="25675"/>
    <cellStyle name="Normal 2 5 13 4" xfId="8043"/>
    <cellStyle name="Normal 2 5 13 4 2" xfId="21986"/>
    <cellStyle name="Normal 2 5 13 5" xfId="16979"/>
    <cellStyle name="Normal 2 5 14" xfId="4093"/>
    <cellStyle name="Normal 2 5 14 2" xfId="5554"/>
    <cellStyle name="Normal 2 5 14 2 2" xfId="14381"/>
    <cellStyle name="Normal 2 5 14 2 3" xfId="24632"/>
    <cellStyle name="Normal 2 5 14 3" xfId="6998"/>
    <cellStyle name="Normal 2 5 14 3 2" xfId="23184"/>
    <cellStyle name="Normal 2 5 14 4" xfId="18177"/>
    <cellStyle name="Normal 2 5 15" xfId="1399"/>
    <cellStyle name="Normal 2 5 15 2" xfId="10779"/>
    <cellStyle name="Normal 2 5 15 3" xfId="20783"/>
    <cellStyle name="Normal 2 5 16" xfId="5512"/>
    <cellStyle name="Normal 2 5 16 2" xfId="14341"/>
    <cellStyle name="Normal 2 5 16 3" xfId="24592"/>
    <cellStyle name="Normal 2 5 17" xfId="6953"/>
    <cellStyle name="Normal 2 5 17 2" xfId="19586"/>
    <cellStyle name="Normal 2 5 18" xfId="15776"/>
    <cellStyle name="Normal 2 5 2" xfId="123"/>
    <cellStyle name="Normal 2 5 2 10" xfId="2634"/>
    <cellStyle name="Normal 2 5 2 10 2" xfId="5148"/>
    <cellStyle name="Normal 2 5 2 10 2 2" xfId="13987"/>
    <cellStyle name="Normal 2 5 2 10 2 2 2" xfId="24238"/>
    <cellStyle name="Normal 2 5 2 10 2 3" xfId="10408"/>
    <cellStyle name="Normal 2 5 2 10 2 4" xfId="19231"/>
    <cellStyle name="Normal 2 5 2 10 3" xfId="6605"/>
    <cellStyle name="Normal 2 5 2 10 3 2" xfId="15432"/>
    <cellStyle name="Normal 2 5 2 10 3 3" xfId="25683"/>
    <cellStyle name="Normal 2 5 2 10 4" xfId="8051"/>
    <cellStyle name="Normal 2 5 2 10 4 2" xfId="21999"/>
    <cellStyle name="Normal 2 5 2 10 5" xfId="16992"/>
    <cellStyle name="Normal 2 5 2 11" xfId="4102"/>
    <cellStyle name="Normal 2 5 2 11 2" xfId="5562"/>
    <cellStyle name="Normal 2 5 2 11 2 2" xfId="14389"/>
    <cellStyle name="Normal 2 5 2 11 2 3" xfId="24640"/>
    <cellStyle name="Normal 2 5 2 11 3" xfId="7006"/>
    <cellStyle name="Normal 2 5 2 11 3 2" xfId="23193"/>
    <cellStyle name="Normal 2 5 2 11 4" xfId="18186"/>
    <cellStyle name="Normal 2 5 2 12" xfId="1408"/>
    <cellStyle name="Normal 2 5 2 12 2" xfId="10787"/>
    <cellStyle name="Normal 2 5 2 12 3" xfId="20791"/>
    <cellStyle name="Normal 2 5 2 13" xfId="5520"/>
    <cellStyle name="Normal 2 5 2 13 2" xfId="14349"/>
    <cellStyle name="Normal 2 5 2 13 3" xfId="24600"/>
    <cellStyle name="Normal 2 5 2 14" xfId="6962"/>
    <cellStyle name="Normal 2 5 2 14 2" xfId="19599"/>
    <cellStyle name="Normal 2 5 2 15" xfId="15784"/>
    <cellStyle name="Normal 2 5 2 2" xfId="167"/>
    <cellStyle name="Normal 2 5 2 2 10" xfId="1433"/>
    <cellStyle name="Normal 2 5 2 2 10 2" xfId="10812"/>
    <cellStyle name="Normal 2 5 2 2 10 3" xfId="20816"/>
    <cellStyle name="Normal 2 5 2 2 11" xfId="5542"/>
    <cellStyle name="Normal 2 5 2 2 11 2" xfId="14371"/>
    <cellStyle name="Normal 2 5 2 2 11 3" xfId="24622"/>
    <cellStyle name="Normal 2 5 2 2 12" xfId="6988"/>
    <cellStyle name="Normal 2 5 2 2 12 2" xfId="19629"/>
    <cellStyle name="Normal 2 5 2 2 13" xfId="15809"/>
    <cellStyle name="Normal 2 5 2 2 2" xfId="214"/>
    <cellStyle name="Normal 2 5 2 2 2 10" xfId="7163"/>
    <cellStyle name="Normal 2 5 2 2 2 10 2" xfId="19672"/>
    <cellStyle name="Normal 2 5 2 2 2 11" xfId="15909"/>
    <cellStyle name="Normal 2 5 2 2 2 2" xfId="540"/>
    <cellStyle name="Normal 2 5 2 2 2 2 2" xfId="739"/>
    <cellStyle name="Normal 2 5 2 2 2 2 2 2" xfId="3226"/>
    <cellStyle name="Normal 2 5 2 2 2 2 2 2 2" xfId="12370"/>
    <cellStyle name="Normal 2 5 2 2 2 2 2 2 2 2" xfId="22589"/>
    <cellStyle name="Normal 2 5 2 2 2 2 2 2 3" xfId="8792"/>
    <cellStyle name="Normal 2 5 2 2 2 2 2 2 4" xfId="17582"/>
    <cellStyle name="Normal 2 5 2 2 2 2 2 3" xfId="4555"/>
    <cellStyle name="Normal 2 5 2 2 2 2 2 3 2" xfId="13395"/>
    <cellStyle name="Normal 2 5 2 2 2 2 2 3 2 2" xfId="23646"/>
    <cellStyle name="Normal 2 5 2 2 2 2 2 3 3" xfId="9816"/>
    <cellStyle name="Normal 2 5 2 2 2 2 2 3 4" xfId="18639"/>
    <cellStyle name="Normal 2 5 2 2 2 2 2 4" xfId="2335"/>
    <cellStyle name="Normal 2 5 2 2 2 2 2 4 2" xfId="11702"/>
    <cellStyle name="Normal 2 5 2 2 2 2 2 4 3" xfId="21706"/>
    <cellStyle name="Normal 2 5 2 2 2 2 2 5" xfId="6013"/>
    <cellStyle name="Normal 2 5 2 2 2 2 2 5 2" xfId="14840"/>
    <cellStyle name="Normal 2 5 2 2 2 2 2 5 3" xfId="25091"/>
    <cellStyle name="Normal 2 5 2 2 2 2 2 6" xfId="7457"/>
    <cellStyle name="Normal 2 5 2 2 2 2 2 6 2" xfId="20188"/>
    <cellStyle name="Normal 2 5 2 2 2 2 2 7" xfId="16699"/>
    <cellStyle name="Normal 2 5 2 2 2 2 3" xfId="1312"/>
    <cellStyle name="Normal 2 5 2 2 2 2 3 2" xfId="3742"/>
    <cellStyle name="Normal 2 5 2 2 2 2 3 2 2" xfId="12880"/>
    <cellStyle name="Normal 2 5 2 2 2 2 3 2 2 2" xfId="23099"/>
    <cellStyle name="Normal 2 5 2 2 2 2 3 2 3" xfId="9301"/>
    <cellStyle name="Normal 2 5 2 2 2 2 3 2 4" xfId="18092"/>
    <cellStyle name="Normal 2 5 2 2 2 2 3 3" xfId="4904"/>
    <cellStyle name="Normal 2 5 2 2 2 2 3 3 2" xfId="13743"/>
    <cellStyle name="Normal 2 5 2 2 2 2 3 3 2 2" xfId="23994"/>
    <cellStyle name="Normal 2 5 2 2 2 2 3 3 3" xfId="10164"/>
    <cellStyle name="Normal 2 5 2 2 2 2 3 3 4" xfId="18987"/>
    <cellStyle name="Normal 2 5 2 2 2 2 3 4" xfId="2136"/>
    <cellStyle name="Normal 2 5 2 2 2 2 3 4 2" xfId="11503"/>
    <cellStyle name="Normal 2 5 2 2 2 2 3 4 3" xfId="21507"/>
    <cellStyle name="Normal 2 5 2 2 2 2 3 5" xfId="6361"/>
    <cellStyle name="Normal 2 5 2 2 2 2 3 5 2" xfId="15188"/>
    <cellStyle name="Normal 2 5 2 2 2 2 3 5 3" xfId="25439"/>
    <cellStyle name="Normal 2 5 2 2 2 2 3 6" xfId="7807"/>
    <cellStyle name="Normal 2 5 2 2 2 2 3 6 2" xfId="20698"/>
    <cellStyle name="Normal 2 5 2 2 2 2 3 7" xfId="16500"/>
    <cellStyle name="Normal 2 5 2 2 2 2 4" xfId="3027"/>
    <cellStyle name="Normal 2 5 2 2 2 2 4 2" xfId="5405"/>
    <cellStyle name="Normal 2 5 2 2 2 2 4 2 2" xfId="14244"/>
    <cellStyle name="Normal 2 5 2 2 2 2 4 2 2 2" xfId="24495"/>
    <cellStyle name="Normal 2 5 2 2 2 2 4 2 3" xfId="10665"/>
    <cellStyle name="Normal 2 5 2 2 2 2 4 2 4" xfId="19488"/>
    <cellStyle name="Normal 2 5 2 2 2 2 4 3" xfId="6862"/>
    <cellStyle name="Normal 2 5 2 2 2 2 4 3 2" xfId="15689"/>
    <cellStyle name="Normal 2 5 2 2 2 2 4 3 3" xfId="25940"/>
    <cellStyle name="Normal 2 5 2 2 2 2 4 4" xfId="8308"/>
    <cellStyle name="Normal 2 5 2 2 2 2 4 4 2" xfId="22390"/>
    <cellStyle name="Normal 2 5 2 2 2 2 4 5" xfId="17383"/>
    <cellStyle name="Normal 2 5 2 2 2 2 5" xfId="4361"/>
    <cellStyle name="Normal 2 5 2 2 2 2 5 2" xfId="13201"/>
    <cellStyle name="Normal 2 5 2 2 2 2 5 2 2" xfId="23452"/>
    <cellStyle name="Normal 2 5 2 2 2 2 5 3" xfId="9622"/>
    <cellStyle name="Normal 2 5 2 2 2 2 5 4" xfId="18445"/>
    <cellStyle name="Normal 2 5 2 2 2 2 6" xfId="1633"/>
    <cellStyle name="Normal 2 5 2 2 2 2 6 2" xfId="11012"/>
    <cellStyle name="Normal 2 5 2 2 2 2 6 3" xfId="21016"/>
    <cellStyle name="Normal 2 5 2 2 2 2 7" xfId="5819"/>
    <cellStyle name="Normal 2 5 2 2 2 2 7 2" xfId="14646"/>
    <cellStyle name="Normal 2 5 2 2 2 2 7 3" xfId="24897"/>
    <cellStyle name="Normal 2 5 2 2 2 2 8" xfId="7263"/>
    <cellStyle name="Normal 2 5 2 2 2 2 8 2" xfId="19989"/>
    <cellStyle name="Normal 2 5 2 2 2 2 9" xfId="16009"/>
    <cellStyle name="Normal 2 5 2 2 2 2_Degree data" xfId="3867"/>
    <cellStyle name="Normal 2 5 2 2 2 3" xfId="440"/>
    <cellStyle name="Normal 2 5 2 2 2 3 2" xfId="2927"/>
    <cellStyle name="Normal 2 5 2 2 2 3 2 2" xfId="12217"/>
    <cellStyle name="Normal 2 5 2 2 2 3 2 2 2" xfId="22290"/>
    <cellStyle name="Normal 2 5 2 2 2 3 2 3" xfId="8518"/>
    <cellStyle name="Normal 2 5 2 2 2 3 2 4" xfId="17283"/>
    <cellStyle name="Normal 2 5 2 2 2 3 3" xfId="4554"/>
    <cellStyle name="Normal 2 5 2 2 2 3 3 2" xfId="13394"/>
    <cellStyle name="Normal 2 5 2 2 2 3 3 2 2" xfId="23645"/>
    <cellStyle name="Normal 2 5 2 2 2 3 3 3" xfId="9815"/>
    <cellStyle name="Normal 2 5 2 2 2 3 3 4" xfId="18638"/>
    <cellStyle name="Normal 2 5 2 2 2 3 4" xfId="2036"/>
    <cellStyle name="Normal 2 5 2 2 2 3 4 2" xfId="11403"/>
    <cellStyle name="Normal 2 5 2 2 2 3 4 3" xfId="21407"/>
    <cellStyle name="Normal 2 5 2 2 2 3 5" xfId="6012"/>
    <cellStyle name="Normal 2 5 2 2 2 3 5 2" xfId="14839"/>
    <cellStyle name="Normal 2 5 2 2 2 3 5 3" xfId="25090"/>
    <cellStyle name="Normal 2 5 2 2 2 3 6" xfId="7456"/>
    <cellStyle name="Normal 2 5 2 2 2 3 6 2" xfId="19889"/>
    <cellStyle name="Normal 2 5 2 2 2 3 7" xfId="16400"/>
    <cellStyle name="Normal 2 5 2 2 2 4" xfId="738"/>
    <cellStyle name="Normal 2 5 2 2 2 4 2" xfId="3225"/>
    <cellStyle name="Normal 2 5 2 2 2 4 2 2" xfId="12369"/>
    <cellStyle name="Normal 2 5 2 2 2 4 2 2 2" xfId="22588"/>
    <cellStyle name="Normal 2 5 2 2 2 4 2 3" xfId="8791"/>
    <cellStyle name="Normal 2 5 2 2 2 4 2 4" xfId="17581"/>
    <cellStyle name="Normal 2 5 2 2 2 4 3" xfId="4903"/>
    <cellStyle name="Normal 2 5 2 2 2 4 3 2" xfId="13742"/>
    <cellStyle name="Normal 2 5 2 2 2 4 3 2 2" xfId="23993"/>
    <cellStyle name="Normal 2 5 2 2 2 4 3 3" xfId="10163"/>
    <cellStyle name="Normal 2 5 2 2 2 4 3 4" xfId="18986"/>
    <cellStyle name="Normal 2 5 2 2 2 4 4" xfId="2334"/>
    <cellStyle name="Normal 2 5 2 2 2 4 4 2" xfId="11701"/>
    <cellStyle name="Normal 2 5 2 2 2 4 4 3" xfId="21705"/>
    <cellStyle name="Normal 2 5 2 2 2 4 5" xfId="6360"/>
    <cellStyle name="Normal 2 5 2 2 2 4 5 2" xfId="15187"/>
    <cellStyle name="Normal 2 5 2 2 2 4 5 3" xfId="25438"/>
    <cellStyle name="Normal 2 5 2 2 2 4 6" xfId="7806"/>
    <cellStyle name="Normal 2 5 2 2 2 4 6 2" xfId="20187"/>
    <cellStyle name="Normal 2 5 2 2 2 4 7" xfId="16698"/>
    <cellStyle name="Normal 2 5 2 2 2 5" xfId="1212"/>
    <cellStyle name="Normal 2 5 2 2 2 5 2" xfId="3642"/>
    <cellStyle name="Normal 2 5 2 2 2 5 2 2" xfId="12780"/>
    <cellStyle name="Normal 2 5 2 2 2 5 2 2 2" xfId="22999"/>
    <cellStyle name="Normal 2 5 2 2 2 5 2 3" xfId="9201"/>
    <cellStyle name="Normal 2 5 2 2 2 5 2 4" xfId="17992"/>
    <cellStyle name="Normal 2 5 2 2 2 5 3" xfId="5305"/>
    <cellStyle name="Normal 2 5 2 2 2 5 3 2" xfId="14144"/>
    <cellStyle name="Normal 2 5 2 2 2 5 3 2 2" xfId="24395"/>
    <cellStyle name="Normal 2 5 2 2 2 5 3 3" xfId="10565"/>
    <cellStyle name="Normal 2 5 2 2 2 5 3 4" xfId="19388"/>
    <cellStyle name="Normal 2 5 2 2 2 5 4" xfId="1816"/>
    <cellStyle name="Normal 2 5 2 2 2 5 4 2" xfId="11186"/>
    <cellStyle name="Normal 2 5 2 2 2 5 4 3" xfId="21190"/>
    <cellStyle name="Normal 2 5 2 2 2 5 5" xfId="6762"/>
    <cellStyle name="Normal 2 5 2 2 2 5 5 2" xfId="15589"/>
    <cellStyle name="Normal 2 5 2 2 2 5 5 3" xfId="25840"/>
    <cellStyle name="Normal 2 5 2 2 2 5 6" xfId="8208"/>
    <cellStyle name="Normal 2 5 2 2 2 5 6 2" xfId="20598"/>
    <cellStyle name="Normal 2 5 2 2 2 5 7" xfId="16183"/>
    <cellStyle name="Normal 2 5 2 2 2 6" xfId="2710"/>
    <cellStyle name="Normal 2 5 2 2 2 6 2" xfId="12029"/>
    <cellStyle name="Normal 2 5 2 2 2 6 2 2" xfId="22073"/>
    <cellStyle name="Normal 2 5 2 2 2 6 3" xfId="8438"/>
    <cellStyle name="Normal 2 5 2 2 2 6 4" xfId="17066"/>
    <cellStyle name="Normal 2 5 2 2 2 7" xfId="4261"/>
    <cellStyle name="Normal 2 5 2 2 2 7 2" xfId="13101"/>
    <cellStyle name="Normal 2 5 2 2 2 7 2 2" xfId="23352"/>
    <cellStyle name="Normal 2 5 2 2 2 7 3" xfId="9522"/>
    <cellStyle name="Normal 2 5 2 2 2 7 4" xfId="18345"/>
    <cellStyle name="Normal 2 5 2 2 2 8" xfId="1533"/>
    <cellStyle name="Normal 2 5 2 2 2 8 2" xfId="10912"/>
    <cellStyle name="Normal 2 5 2 2 2 8 3" xfId="20916"/>
    <cellStyle name="Normal 2 5 2 2 2 9" xfId="5719"/>
    <cellStyle name="Normal 2 5 2 2 2 9 2" xfId="14546"/>
    <cellStyle name="Normal 2 5 2 2 2 9 3" xfId="24797"/>
    <cellStyle name="Normal 2 5 2 2 2_Degree data" xfId="3928"/>
    <cellStyle name="Normal 2 5 2 2 3" xfId="279"/>
    <cellStyle name="Normal 2 5 2 2 3 10" xfId="7120"/>
    <cellStyle name="Normal 2 5 2 2 3 10 2" xfId="19733"/>
    <cellStyle name="Normal 2 5 2 2 3 11" xfId="15866"/>
    <cellStyle name="Normal 2 5 2 2 3 2" xfId="601"/>
    <cellStyle name="Normal 2 5 2 2 3 2 2" xfId="741"/>
    <cellStyle name="Normal 2 5 2 2 3 2 2 2" xfId="3228"/>
    <cellStyle name="Normal 2 5 2 2 3 2 2 2 2" xfId="12372"/>
    <cellStyle name="Normal 2 5 2 2 3 2 2 2 2 2" xfId="22591"/>
    <cellStyle name="Normal 2 5 2 2 3 2 2 2 3" xfId="8794"/>
    <cellStyle name="Normal 2 5 2 2 3 2 2 2 4" xfId="17584"/>
    <cellStyle name="Normal 2 5 2 2 3 2 2 3" xfId="4557"/>
    <cellStyle name="Normal 2 5 2 2 3 2 2 3 2" xfId="13397"/>
    <cellStyle name="Normal 2 5 2 2 3 2 2 3 2 2" xfId="23648"/>
    <cellStyle name="Normal 2 5 2 2 3 2 2 3 3" xfId="9818"/>
    <cellStyle name="Normal 2 5 2 2 3 2 2 3 4" xfId="18641"/>
    <cellStyle name="Normal 2 5 2 2 3 2 2 4" xfId="2337"/>
    <cellStyle name="Normal 2 5 2 2 3 2 2 4 2" xfId="11704"/>
    <cellStyle name="Normal 2 5 2 2 3 2 2 4 3" xfId="21708"/>
    <cellStyle name="Normal 2 5 2 2 3 2 2 5" xfId="6015"/>
    <cellStyle name="Normal 2 5 2 2 3 2 2 5 2" xfId="14842"/>
    <cellStyle name="Normal 2 5 2 2 3 2 2 5 3" xfId="25093"/>
    <cellStyle name="Normal 2 5 2 2 3 2 2 6" xfId="7459"/>
    <cellStyle name="Normal 2 5 2 2 3 2 2 6 2" xfId="20190"/>
    <cellStyle name="Normal 2 5 2 2 3 2 2 7" xfId="16701"/>
    <cellStyle name="Normal 2 5 2 2 3 2 3" xfId="1373"/>
    <cellStyle name="Normal 2 5 2 2 3 2 3 2" xfId="3803"/>
    <cellStyle name="Normal 2 5 2 2 3 2 3 2 2" xfId="12941"/>
    <cellStyle name="Normal 2 5 2 2 3 2 3 2 2 2" xfId="23160"/>
    <cellStyle name="Normal 2 5 2 2 3 2 3 2 3" xfId="9362"/>
    <cellStyle name="Normal 2 5 2 2 3 2 3 2 4" xfId="18153"/>
    <cellStyle name="Normal 2 5 2 2 3 2 3 3" xfId="4906"/>
    <cellStyle name="Normal 2 5 2 2 3 2 3 3 2" xfId="13745"/>
    <cellStyle name="Normal 2 5 2 2 3 2 3 3 2 2" xfId="23996"/>
    <cellStyle name="Normal 2 5 2 2 3 2 3 3 3" xfId="10166"/>
    <cellStyle name="Normal 2 5 2 2 3 2 3 3 4" xfId="18989"/>
    <cellStyle name="Normal 2 5 2 2 3 2 3 4" xfId="2197"/>
    <cellStyle name="Normal 2 5 2 2 3 2 3 4 2" xfId="11564"/>
    <cellStyle name="Normal 2 5 2 2 3 2 3 4 3" xfId="21568"/>
    <cellStyle name="Normal 2 5 2 2 3 2 3 5" xfId="6363"/>
    <cellStyle name="Normal 2 5 2 2 3 2 3 5 2" xfId="15190"/>
    <cellStyle name="Normal 2 5 2 2 3 2 3 5 3" xfId="25441"/>
    <cellStyle name="Normal 2 5 2 2 3 2 3 6" xfId="7809"/>
    <cellStyle name="Normal 2 5 2 2 3 2 3 6 2" xfId="20759"/>
    <cellStyle name="Normal 2 5 2 2 3 2 3 7" xfId="16561"/>
    <cellStyle name="Normal 2 5 2 2 3 2 4" xfId="3088"/>
    <cellStyle name="Normal 2 5 2 2 3 2 4 2" xfId="5466"/>
    <cellStyle name="Normal 2 5 2 2 3 2 4 2 2" xfId="14305"/>
    <cellStyle name="Normal 2 5 2 2 3 2 4 2 2 2" xfId="24556"/>
    <cellStyle name="Normal 2 5 2 2 3 2 4 2 3" xfId="10726"/>
    <cellStyle name="Normal 2 5 2 2 3 2 4 2 4" xfId="19549"/>
    <cellStyle name="Normal 2 5 2 2 3 2 4 3" xfId="6923"/>
    <cellStyle name="Normal 2 5 2 2 3 2 4 3 2" xfId="15750"/>
    <cellStyle name="Normal 2 5 2 2 3 2 4 3 3" xfId="26001"/>
    <cellStyle name="Normal 2 5 2 2 3 2 4 4" xfId="8369"/>
    <cellStyle name="Normal 2 5 2 2 3 2 4 4 2" xfId="22451"/>
    <cellStyle name="Normal 2 5 2 2 3 2 4 5" xfId="17444"/>
    <cellStyle name="Normal 2 5 2 2 3 2 5" xfId="4422"/>
    <cellStyle name="Normal 2 5 2 2 3 2 5 2" xfId="13262"/>
    <cellStyle name="Normal 2 5 2 2 3 2 5 2 2" xfId="23513"/>
    <cellStyle name="Normal 2 5 2 2 3 2 5 3" xfId="9683"/>
    <cellStyle name="Normal 2 5 2 2 3 2 5 4" xfId="18506"/>
    <cellStyle name="Normal 2 5 2 2 3 2 6" xfId="1694"/>
    <cellStyle name="Normal 2 5 2 2 3 2 6 2" xfId="11073"/>
    <cellStyle name="Normal 2 5 2 2 3 2 6 3" xfId="21077"/>
    <cellStyle name="Normal 2 5 2 2 3 2 7" xfId="5880"/>
    <cellStyle name="Normal 2 5 2 2 3 2 7 2" xfId="14707"/>
    <cellStyle name="Normal 2 5 2 2 3 2 7 3" xfId="24958"/>
    <cellStyle name="Normal 2 5 2 2 3 2 8" xfId="7324"/>
    <cellStyle name="Normal 2 5 2 2 3 2 8 2" xfId="20050"/>
    <cellStyle name="Normal 2 5 2 2 3 2 9" xfId="16070"/>
    <cellStyle name="Normal 2 5 2 2 3 2_Degree data" xfId="3874"/>
    <cellStyle name="Normal 2 5 2 2 3 3" xfId="397"/>
    <cellStyle name="Normal 2 5 2 2 3 3 2" xfId="2884"/>
    <cellStyle name="Normal 2 5 2 2 3 3 2 2" xfId="12174"/>
    <cellStyle name="Normal 2 5 2 2 3 3 2 2 2" xfId="22247"/>
    <cellStyle name="Normal 2 5 2 2 3 3 2 3" xfId="8529"/>
    <cellStyle name="Normal 2 5 2 2 3 3 2 4" xfId="17240"/>
    <cellStyle name="Normal 2 5 2 2 3 3 3" xfId="4556"/>
    <cellStyle name="Normal 2 5 2 2 3 3 3 2" xfId="13396"/>
    <cellStyle name="Normal 2 5 2 2 3 3 3 2 2" xfId="23647"/>
    <cellStyle name="Normal 2 5 2 2 3 3 3 3" xfId="9817"/>
    <cellStyle name="Normal 2 5 2 2 3 3 3 4" xfId="18640"/>
    <cellStyle name="Normal 2 5 2 2 3 3 4" xfId="1993"/>
    <cellStyle name="Normal 2 5 2 2 3 3 4 2" xfId="11360"/>
    <cellStyle name="Normal 2 5 2 2 3 3 4 3" xfId="21364"/>
    <cellStyle name="Normal 2 5 2 2 3 3 5" xfId="6014"/>
    <cellStyle name="Normal 2 5 2 2 3 3 5 2" xfId="14841"/>
    <cellStyle name="Normal 2 5 2 2 3 3 5 3" xfId="25092"/>
    <cellStyle name="Normal 2 5 2 2 3 3 6" xfId="7458"/>
    <cellStyle name="Normal 2 5 2 2 3 3 6 2" xfId="19846"/>
    <cellStyle name="Normal 2 5 2 2 3 3 7" xfId="16357"/>
    <cellStyle name="Normal 2 5 2 2 3 4" xfId="740"/>
    <cellStyle name="Normal 2 5 2 2 3 4 2" xfId="3227"/>
    <cellStyle name="Normal 2 5 2 2 3 4 2 2" xfId="12371"/>
    <cellStyle name="Normal 2 5 2 2 3 4 2 2 2" xfId="22590"/>
    <cellStyle name="Normal 2 5 2 2 3 4 2 3" xfId="8793"/>
    <cellStyle name="Normal 2 5 2 2 3 4 2 4" xfId="17583"/>
    <cellStyle name="Normal 2 5 2 2 3 4 3" xfId="4905"/>
    <cellStyle name="Normal 2 5 2 2 3 4 3 2" xfId="13744"/>
    <cellStyle name="Normal 2 5 2 2 3 4 3 2 2" xfId="23995"/>
    <cellStyle name="Normal 2 5 2 2 3 4 3 3" xfId="10165"/>
    <cellStyle name="Normal 2 5 2 2 3 4 3 4" xfId="18988"/>
    <cellStyle name="Normal 2 5 2 2 3 4 4" xfId="2336"/>
    <cellStyle name="Normal 2 5 2 2 3 4 4 2" xfId="11703"/>
    <cellStyle name="Normal 2 5 2 2 3 4 4 3" xfId="21707"/>
    <cellStyle name="Normal 2 5 2 2 3 4 5" xfId="6362"/>
    <cellStyle name="Normal 2 5 2 2 3 4 5 2" xfId="15189"/>
    <cellStyle name="Normal 2 5 2 2 3 4 5 3" xfId="25440"/>
    <cellStyle name="Normal 2 5 2 2 3 4 6" xfId="7808"/>
    <cellStyle name="Normal 2 5 2 2 3 4 6 2" xfId="20189"/>
    <cellStyle name="Normal 2 5 2 2 3 4 7" xfId="16700"/>
    <cellStyle name="Normal 2 5 2 2 3 5" xfId="1169"/>
    <cellStyle name="Normal 2 5 2 2 3 5 2" xfId="3599"/>
    <cellStyle name="Normal 2 5 2 2 3 5 2 2" xfId="12737"/>
    <cellStyle name="Normal 2 5 2 2 3 5 2 2 2" xfId="22956"/>
    <cellStyle name="Normal 2 5 2 2 3 5 2 3" xfId="9158"/>
    <cellStyle name="Normal 2 5 2 2 3 5 2 4" xfId="17949"/>
    <cellStyle name="Normal 2 5 2 2 3 5 3" xfId="5262"/>
    <cellStyle name="Normal 2 5 2 2 3 5 3 2" xfId="14101"/>
    <cellStyle name="Normal 2 5 2 2 3 5 3 2 2" xfId="24352"/>
    <cellStyle name="Normal 2 5 2 2 3 5 3 3" xfId="10522"/>
    <cellStyle name="Normal 2 5 2 2 3 5 3 4" xfId="19345"/>
    <cellStyle name="Normal 2 5 2 2 3 5 4" xfId="1877"/>
    <cellStyle name="Normal 2 5 2 2 3 5 4 2" xfId="11247"/>
    <cellStyle name="Normal 2 5 2 2 3 5 4 3" xfId="21251"/>
    <cellStyle name="Normal 2 5 2 2 3 5 5" xfId="6719"/>
    <cellStyle name="Normal 2 5 2 2 3 5 5 2" xfId="15546"/>
    <cellStyle name="Normal 2 5 2 2 3 5 5 3" xfId="25797"/>
    <cellStyle name="Normal 2 5 2 2 3 5 6" xfId="8165"/>
    <cellStyle name="Normal 2 5 2 2 3 5 6 2" xfId="20555"/>
    <cellStyle name="Normal 2 5 2 2 3 5 7" xfId="16244"/>
    <cellStyle name="Normal 2 5 2 2 3 6" xfId="2771"/>
    <cellStyle name="Normal 2 5 2 2 3 6 2" xfId="12090"/>
    <cellStyle name="Normal 2 5 2 2 3 6 2 2" xfId="22134"/>
    <cellStyle name="Normal 2 5 2 2 3 6 3" xfId="8550"/>
    <cellStyle name="Normal 2 5 2 2 3 6 4" xfId="17127"/>
    <cellStyle name="Normal 2 5 2 2 3 7" xfId="4218"/>
    <cellStyle name="Normal 2 5 2 2 3 7 2" xfId="13058"/>
    <cellStyle name="Normal 2 5 2 2 3 7 2 2" xfId="23309"/>
    <cellStyle name="Normal 2 5 2 2 3 7 3" xfId="9479"/>
    <cellStyle name="Normal 2 5 2 2 3 7 4" xfId="18302"/>
    <cellStyle name="Normal 2 5 2 2 3 8" xfId="1490"/>
    <cellStyle name="Normal 2 5 2 2 3 8 2" xfId="10869"/>
    <cellStyle name="Normal 2 5 2 2 3 8 3" xfId="20873"/>
    <cellStyle name="Normal 2 5 2 2 3 9" xfId="5676"/>
    <cellStyle name="Normal 2 5 2 2 3 9 2" xfId="14503"/>
    <cellStyle name="Normal 2 5 2 2 3 9 3" xfId="24754"/>
    <cellStyle name="Normal 2 5 2 2 3_Degree data" xfId="3829"/>
    <cellStyle name="Normal 2 5 2 2 4" xfId="497"/>
    <cellStyle name="Normal 2 5 2 2 4 2" xfId="742"/>
    <cellStyle name="Normal 2 5 2 2 4 2 2" xfId="3229"/>
    <cellStyle name="Normal 2 5 2 2 4 2 2 2" xfId="12373"/>
    <cellStyle name="Normal 2 5 2 2 4 2 2 2 2" xfId="22592"/>
    <cellStyle name="Normal 2 5 2 2 4 2 2 3" xfId="8795"/>
    <cellStyle name="Normal 2 5 2 2 4 2 2 4" xfId="17585"/>
    <cellStyle name="Normal 2 5 2 2 4 2 3" xfId="4558"/>
    <cellStyle name="Normal 2 5 2 2 4 2 3 2" xfId="13398"/>
    <cellStyle name="Normal 2 5 2 2 4 2 3 2 2" xfId="23649"/>
    <cellStyle name="Normal 2 5 2 2 4 2 3 3" xfId="9819"/>
    <cellStyle name="Normal 2 5 2 2 4 2 3 4" xfId="18642"/>
    <cellStyle name="Normal 2 5 2 2 4 2 4" xfId="2338"/>
    <cellStyle name="Normal 2 5 2 2 4 2 4 2" xfId="11705"/>
    <cellStyle name="Normal 2 5 2 2 4 2 4 3" xfId="21709"/>
    <cellStyle name="Normal 2 5 2 2 4 2 5" xfId="6016"/>
    <cellStyle name="Normal 2 5 2 2 4 2 5 2" xfId="14843"/>
    <cellStyle name="Normal 2 5 2 2 4 2 5 3" xfId="25094"/>
    <cellStyle name="Normal 2 5 2 2 4 2 6" xfId="7460"/>
    <cellStyle name="Normal 2 5 2 2 4 2 6 2" xfId="20191"/>
    <cellStyle name="Normal 2 5 2 2 4 2 7" xfId="16702"/>
    <cellStyle name="Normal 2 5 2 2 4 3" xfId="1269"/>
    <cellStyle name="Normal 2 5 2 2 4 3 2" xfId="3699"/>
    <cellStyle name="Normal 2 5 2 2 4 3 2 2" xfId="12837"/>
    <cellStyle name="Normal 2 5 2 2 4 3 2 2 2" xfId="23056"/>
    <cellStyle name="Normal 2 5 2 2 4 3 2 3" xfId="9258"/>
    <cellStyle name="Normal 2 5 2 2 4 3 2 4" xfId="18049"/>
    <cellStyle name="Normal 2 5 2 2 4 3 3" xfId="4907"/>
    <cellStyle name="Normal 2 5 2 2 4 3 3 2" xfId="13746"/>
    <cellStyle name="Normal 2 5 2 2 4 3 3 2 2" xfId="23997"/>
    <cellStyle name="Normal 2 5 2 2 4 3 3 3" xfId="10167"/>
    <cellStyle name="Normal 2 5 2 2 4 3 3 4" xfId="18990"/>
    <cellStyle name="Normal 2 5 2 2 4 3 4" xfId="2093"/>
    <cellStyle name="Normal 2 5 2 2 4 3 4 2" xfId="11460"/>
    <cellStyle name="Normal 2 5 2 2 4 3 4 3" xfId="21464"/>
    <cellStyle name="Normal 2 5 2 2 4 3 5" xfId="6364"/>
    <cellStyle name="Normal 2 5 2 2 4 3 5 2" xfId="15191"/>
    <cellStyle name="Normal 2 5 2 2 4 3 5 3" xfId="25442"/>
    <cellStyle name="Normal 2 5 2 2 4 3 6" xfId="7810"/>
    <cellStyle name="Normal 2 5 2 2 4 3 6 2" xfId="20655"/>
    <cellStyle name="Normal 2 5 2 2 4 3 7" xfId="16457"/>
    <cellStyle name="Normal 2 5 2 2 4 4" xfId="2984"/>
    <cellStyle name="Normal 2 5 2 2 4 4 2" xfId="5362"/>
    <cellStyle name="Normal 2 5 2 2 4 4 2 2" xfId="14201"/>
    <cellStyle name="Normal 2 5 2 2 4 4 2 2 2" xfId="24452"/>
    <cellStyle name="Normal 2 5 2 2 4 4 2 3" xfId="10622"/>
    <cellStyle name="Normal 2 5 2 2 4 4 2 4" xfId="19445"/>
    <cellStyle name="Normal 2 5 2 2 4 4 3" xfId="6819"/>
    <cellStyle name="Normal 2 5 2 2 4 4 3 2" xfId="15646"/>
    <cellStyle name="Normal 2 5 2 2 4 4 3 3" xfId="25897"/>
    <cellStyle name="Normal 2 5 2 2 4 4 4" xfId="8265"/>
    <cellStyle name="Normal 2 5 2 2 4 4 4 2" xfId="22347"/>
    <cellStyle name="Normal 2 5 2 2 4 4 5" xfId="17340"/>
    <cellStyle name="Normal 2 5 2 2 4 5" xfId="4318"/>
    <cellStyle name="Normal 2 5 2 2 4 5 2" xfId="13158"/>
    <cellStyle name="Normal 2 5 2 2 4 5 2 2" xfId="23409"/>
    <cellStyle name="Normal 2 5 2 2 4 5 3" xfId="9579"/>
    <cellStyle name="Normal 2 5 2 2 4 5 4" xfId="18402"/>
    <cellStyle name="Normal 2 5 2 2 4 6" xfId="1590"/>
    <cellStyle name="Normal 2 5 2 2 4 6 2" xfId="10969"/>
    <cellStyle name="Normal 2 5 2 2 4 6 3" xfId="20973"/>
    <cellStyle name="Normal 2 5 2 2 4 7" xfId="5776"/>
    <cellStyle name="Normal 2 5 2 2 4 7 2" xfId="14603"/>
    <cellStyle name="Normal 2 5 2 2 4 7 3" xfId="24854"/>
    <cellStyle name="Normal 2 5 2 2 4 8" xfId="7220"/>
    <cellStyle name="Normal 2 5 2 2 4 8 2" xfId="19946"/>
    <cellStyle name="Normal 2 5 2 2 4 9" xfId="15966"/>
    <cellStyle name="Normal 2 5 2 2 4_Degree data" xfId="3855"/>
    <cellStyle name="Normal 2 5 2 2 5" xfId="340"/>
    <cellStyle name="Normal 2 5 2 2 5 2" xfId="743"/>
    <cellStyle name="Normal 2 5 2 2 5 2 2" xfId="3230"/>
    <cellStyle name="Normal 2 5 2 2 5 2 2 2" xfId="12374"/>
    <cellStyle name="Normal 2 5 2 2 5 2 2 2 2" xfId="22593"/>
    <cellStyle name="Normal 2 5 2 2 5 2 2 3" xfId="8796"/>
    <cellStyle name="Normal 2 5 2 2 5 2 2 4" xfId="17586"/>
    <cellStyle name="Normal 2 5 2 2 5 2 3" xfId="4559"/>
    <cellStyle name="Normal 2 5 2 2 5 2 3 2" xfId="13399"/>
    <cellStyle name="Normal 2 5 2 2 5 2 3 2 2" xfId="23650"/>
    <cellStyle name="Normal 2 5 2 2 5 2 3 3" xfId="9820"/>
    <cellStyle name="Normal 2 5 2 2 5 2 3 4" xfId="18643"/>
    <cellStyle name="Normal 2 5 2 2 5 2 4" xfId="2339"/>
    <cellStyle name="Normal 2 5 2 2 5 2 4 2" xfId="11706"/>
    <cellStyle name="Normal 2 5 2 2 5 2 4 3" xfId="21710"/>
    <cellStyle name="Normal 2 5 2 2 5 2 5" xfId="6017"/>
    <cellStyle name="Normal 2 5 2 2 5 2 5 2" xfId="14844"/>
    <cellStyle name="Normal 2 5 2 2 5 2 5 3" xfId="25095"/>
    <cellStyle name="Normal 2 5 2 2 5 2 6" xfId="7461"/>
    <cellStyle name="Normal 2 5 2 2 5 2 6 2" xfId="20192"/>
    <cellStyle name="Normal 2 5 2 2 5 2 7" xfId="16703"/>
    <cellStyle name="Normal 2 5 2 2 5 3" xfId="1112"/>
    <cellStyle name="Normal 2 5 2 2 5 3 2" xfId="3542"/>
    <cellStyle name="Normal 2 5 2 2 5 3 2 2" xfId="12680"/>
    <cellStyle name="Normal 2 5 2 2 5 3 2 2 2" xfId="22899"/>
    <cellStyle name="Normal 2 5 2 2 5 3 2 3" xfId="9101"/>
    <cellStyle name="Normal 2 5 2 2 5 3 2 4" xfId="17892"/>
    <cellStyle name="Normal 2 5 2 2 5 3 3" xfId="4908"/>
    <cellStyle name="Normal 2 5 2 2 5 3 3 2" xfId="13747"/>
    <cellStyle name="Normal 2 5 2 2 5 3 3 2 2" xfId="23998"/>
    <cellStyle name="Normal 2 5 2 2 5 3 3 3" xfId="10168"/>
    <cellStyle name="Normal 2 5 2 2 5 3 3 4" xfId="18991"/>
    <cellStyle name="Normal 2 5 2 2 5 3 4" xfId="2594"/>
    <cellStyle name="Normal 2 5 2 2 5 3 4 2" xfId="11960"/>
    <cellStyle name="Normal 2 5 2 2 5 3 4 3" xfId="21964"/>
    <cellStyle name="Normal 2 5 2 2 5 3 5" xfId="6365"/>
    <cellStyle name="Normal 2 5 2 2 5 3 5 2" xfId="15192"/>
    <cellStyle name="Normal 2 5 2 2 5 3 5 3" xfId="25443"/>
    <cellStyle name="Normal 2 5 2 2 5 3 6" xfId="7811"/>
    <cellStyle name="Normal 2 5 2 2 5 3 6 2" xfId="20498"/>
    <cellStyle name="Normal 2 5 2 2 5 3 7" xfId="16957"/>
    <cellStyle name="Normal 2 5 2 2 5 4" xfId="2827"/>
    <cellStyle name="Normal 2 5 2 2 5 4 2" xfId="5205"/>
    <cellStyle name="Normal 2 5 2 2 5 4 2 2" xfId="14044"/>
    <cellStyle name="Normal 2 5 2 2 5 4 2 2 2" xfId="24295"/>
    <cellStyle name="Normal 2 5 2 2 5 4 2 3" xfId="10465"/>
    <cellStyle name="Normal 2 5 2 2 5 4 2 4" xfId="19288"/>
    <cellStyle name="Normal 2 5 2 2 5 4 3" xfId="6662"/>
    <cellStyle name="Normal 2 5 2 2 5 4 3 2" xfId="15489"/>
    <cellStyle name="Normal 2 5 2 2 5 4 3 3" xfId="25740"/>
    <cellStyle name="Normal 2 5 2 2 5 4 4" xfId="8108"/>
    <cellStyle name="Normal 2 5 2 2 5 4 4 2" xfId="22190"/>
    <cellStyle name="Normal 2 5 2 2 5 4 5" xfId="17183"/>
    <cellStyle name="Normal 2 5 2 2 5 5" xfId="4159"/>
    <cellStyle name="Normal 2 5 2 2 5 5 2" xfId="12999"/>
    <cellStyle name="Normal 2 5 2 2 5 5 2 2" xfId="23250"/>
    <cellStyle name="Normal 2 5 2 2 5 5 3" xfId="9420"/>
    <cellStyle name="Normal 2 5 2 2 5 5 4" xfId="18243"/>
    <cellStyle name="Normal 2 5 2 2 5 6" xfId="1936"/>
    <cellStyle name="Normal 2 5 2 2 5 6 2" xfId="11303"/>
    <cellStyle name="Normal 2 5 2 2 5 6 3" xfId="21307"/>
    <cellStyle name="Normal 2 5 2 2 5 7" xfId="5619"/>
    <cellStyle name="Normal 2 5 2 2 5 7 2" xfId="14446"/>
    <cellStyle name="Normal 2 5 2 2 5 7 3" xfId="24697"/>
    <cellStyle name="Normal 2 5 2 2 5 8" xfId="7063"/>
    <cellStyle name="Normal 2 5 2 2 5 8 2" xfId="19789"/>
    <cellStyle name="Normal 2 5 2 2 5 9" xfId="16300"/>
    <cellStyle name="Normal 2 5 2 2 5_Degree data" xfId="3825"/>
    <cellStyle name="Normal 2 5 2 2 6" xfId="737"/>
    <cellStyle name="Normal 2 5 2 2 6 2" xfId="3224"/>
    <cellStyle name="Normal 2 5 2 2 6 2 2" xfId="12368"/>
    <cellStyle name="Normal 2 5 2 2 6 2 2 2" xfId="22587"/>
    <cellStyle name="Normal 2 5 2 2 6 2 3" xfId="8790"/>
    <cellStyle name="Normal 2 5 2 2 6 2 4" xfId="17580"/>
    <cellStyle name="Normal 2 5 2 2 6 3" xfId="4553"/>
    <cellStyle name="Normal 2 5 2 2 6 3 2" xfId="13393"/>
    <cellStyle name="Normal 2 5 2 2 6 3 2 2" xfId="23644"/>
    <cellStyle name="Normal 2 5 2 2 6 3 3" xfId="9814"/>
    <cellStyle name="Normal 2 5 2 2 6 3 4" xfId="18637"/>
    <cellStyle name="Normal 2 5 2 2 6 4" xfId="2333"/>
    <cellStyle name="Normal 2 5 2 2 6 4 2" xfId="11700"/>
    <cellStyle name="Normal 2 5 2 2 6 4 3" xfId="21704"/>
    <cellStyle name="Normal 2 5 2 2 6 5" xfId="6011"/>
    <cellStyle name="Normal 2 5 2 2 6 5 2" xfId="14838"/>
    <cellStyle name="Normal 2 5 2 2 6 5 3" xfId="25089"/>
    <cellStyle name="Normal 2 5 2 2 6 6" xfId="7455"/>
    <cellStyle name="Normal 2 5 2 2 6 6 2" xfId="20186"/>
    <cellStyle name="Normal 2 5 2 2 6 7" xfId="16697"/>
    <cellStyle name="Normal 2 5 2 2 7" xfId="1067"/>
    <cellStyle name="Normal 2 5 2 2 7 2" xfId="3497"/>
    <cellStyle name="Normal 2 5 2 2 7 2 2" xfId="12635"/>
    <cellStyle name="Normal 2 5 2 2 7 2 2 2" xfId="22854"/>
    <cellStyle name="Normal 2 5 2 2 7 2 3" xfId="9057"/>
    <cellStyle name="Normal 2 5 2 2 7 2 4" xfId="17847"/>
    <cellStyle name="Normal 2 5 2 2 7 3" xfId="4902"/>
    <cellStyle name="Normal 2 5 2 2 7 3 2" xfId="13741"/>
    <cellStyle name="Normal 2 5 2 2 7 3 2 2" xfId="23992"/>
    <cellStyle name="Normal 2 5 2 2 7 3 3" xfId="10162"/>
    <cellStyle name="Normal 2 5 2 2 7 3 4" xfId="18985"/>
    <cellStyle name="Normal 2 5 2 2 7 4" xfId="1770"/>
    <cellStyle name="Normal 2 5 2 2 7 4 2" xfId="11143"/>
    <cellStyle name="Normal 2 5 2 2 7 4 3" xfId="21147"/>
    <cellStyle name="Normal 2 5 2 2 7 5" xfId="6359"/>
    <cellStyle name="Normal 2 5 2 2 7 5 2" xfId="15186"/>
    <cellStyle name="Normal 2 5 2 2 7 5 3" xfId="25437"/>
    <cellStyle name="Normal 2 5 2 2 7 6" xfId="7805"/>
    <cellStyle name="Normal 2 5 2 2 7 6 2" xfId="20453"/>
    <cellStyle name="Normal 2 5 2 2 7 7" xfId="16140"/>
    <cellStyle name="Normal 2 5 2 2 8" xfId="2667"/>
    <cellStyle name="Normal 2 5 2 2 8 2" xfId="5160"/>
    <cellStyle name="Normal 2 5 2 2 8 2 2" xfId="13999"/>
    <cellStyle name="Normal 2 5 2 2 8 2 2 2" xfId="24250"/>
    <cellStyle name="Normal 2 5 2 2 8 2 3" xfId="10420"/>
    <cellStyle name="Normal 2 5 2 2 8 2 4" xfId="19243"/>
    <cellStyle name="Normal 2 5 2 2 8 3" xfId="6617"/>
    <cellStyle name="Normal 2 5 2 2 8 3 2" xfId="15444"/>
    <cellStyle name="Normal 2 5 2 2 8 3 3" xfId="25695"/>
    <cellStyle name="Normal 2 5 2 2 8 4" xfId="8063"/>
    <cellStyle name="Normal 2 5 2 2 8 4 2" xfId="22030"/>
    <cellStyle name="Normal 2 5 2 2 8 5" xfId="17023"/>
    <cellStyle name="Normal 2 5 2 2 9" xfId="4114"/>
    <cellStyle name="Normal 2 5 2 2 9 2" xfId="5574"/>
    <cellStyle name="Normal 2 5 2 2 9 2 2" xfId="14401"/>
    <cellStyle name="Normal 2 5 2 2 9 2 3" xfId="24652"/>
    <cellStyle name="Normal 2 5 2 2 9 3" xfId="7018"/>
    <cellStyle name="Normal 2 5 2 2 9 3 2" xfId="23205"/>
    <cellStyle name="Normal 2 5 2 2 9 4" xfId="18198"/>
    <cellStyle name="Normal 2 5 2 2_Degree data" xfId="3930"/>
    <cellStyle name="Normal 2 5 2 3" xfId="150"/>
    <cellStyle name="Normal 2 5 2 3 10" xfId="1419"/>
    <cellStyle name="Normal 2 5 2 3 10 2" xfId="10798"/>
    <cellStyle name="Normal 2 5 2 3 10 3" xfId="20802"/>
    <cellStyle name="Normal 2 5 2 3 11" xfId="5530"/>
    <cellStyle name="Normal 2 5 2 3 11 2" xfId="14359"/>
    <cellStyle name="Normal 2 5 2 3 11 3" xfId="24610"/>
    <cellStyle name="Normal 2 5 2 3 12" xfId="6972"/>
    <cellStyle name="Normal 2 5 2 3 12 2" xfId="19617"/>
    <cellStyle name="Normal 2 5 2 3 13" xfId="15795"/>
    <cellStyle name="Normal 2 5 2 3 2" xfId="200"/>
    <cellStyle name="Normal 2 5 2 3 2 10" xfId="7151"/>
    <cellStyle name="Normal 2 5 2 3 2 10 2" xfId="19660"/>
    <cellStyle name="Normal 2 5 2 3 2 11" xfId="15897"/>
    <cellStyle name="Normal 2 5 2 3 2 2" xfId="528"/>
    <cellStyle name="Normal 2 5 2 3 2 2 2" xfId="746"/>
    <cellStyle name="Normal 2 5 2 3 2 2 2 2" xfId="3233"/>
    <cellStyle name="Normal 2 5 2 3 2 2 2 2 2" xfId="12377"/>
    <cellStyle name="Normal 2 5 2 3 2 2 2 2 2 2" xfId="22596"/>
    <cellStyle name="Normal 2 5 2 3 2 2 2 2 3" xfId="8799"/>
    <cellStyle name="Normal 2 5 2 3 2 2 2 2 4" xfId="17589"/>
    <cellStyle name="Normal 2 5 2 3 2 2 2 3" xfId="4562"/>
    <cellStyle name="Normal 2 5 2 3 2 2 2 3 2" xfId="13402"/>
    <cellStyle name="Normal 2 5 2 3 2 2 2 3 2 2" xfId="23653"/>
    <cellStyle name="Normal 2 5 2 3 2 2 2 3 3" xfId="9823"/>
    <cellStyle name="Normal 2 5 2 3 2 2 2 3 4" xfId="18646"/>
    <cellStyle name="Normal 2 5 2 3 2 2 2 4" xfId="2342"/>
    <cellStyle name="Normal 2 5 2 3 2 2 2 4 2" xfId="11709"/>
    <cellStyle name="Normal 2 5 2 3 2 2 2 4 3" xfId="21713"/>
    <cellStyle name="Normal 2 5 2 3 2 2 2 5" xfId="6020"/>
    <cellStyle name="Normal 2 5 2 3 2 2 2 5 2" xfId="14847"/>
    <cellStyle name="Normal 2 5 2 3 2 2 2 5 3" xfId="25098"/>
    <cellStyle name="Normal 2 5 2 3 2 2 2 6" xfId="7464"/>
    <cellStyle name="Normal 2 5 2 3 2 2 2 6 2" xfId="20195"/>
    <cellStyle name="Normal 2 5 2 3 2 2 2 7" xfId="16706"/>
    <cellStyle name="Normal 2 5 2 3 2 2 3" xfId="1300"/>
    <cellStyle name="Normal 2 5 2 3 2 2 3 2" xfId="3730"/>
    <cellStyle name="Normal 2 5 2 3 2 2 3 2 2" xfId="12868"/>
    <cellStyle name="Normal 2 5 2 3 2 2 3 2 2 2" xfId="23087"/>
    <cellStyle name="Normal 2 5 2 3 2 2 3 2 3" xfId="9289"/>
    <cellStyle name="Normal 2 5 2 3 2 2 3 2 4" xfId="18080"/>
    <cellStyle name="Normal 2 5 2 3 2 2 3 3" xfId="4911"/>
    <cellStyle name="Normal 2 5 2 3 2 2 3 3 2" xfId="13750"/>
    <cellStyle name="Normal 2 5 2 3 2 2 3 3 2 2" xfId="24001"/>
    <cellStyle name="Normal 2 5 2 3 2 2 3 3 3" xfId="10171"/>
    <cellStyle name="Normal 2 5 2 3 2 2 3 3 4" xfId="18994"/>
    <cellStyle name="Normal 2 5 2 3 2 2 3 4" xfId="2124"/>
    <cellStyle name="Normal 2 5 2 3 2 2 3 4 2" xfId="11491"/>
    <cellStyle name="Normal 2 5 2 3 2 2 3 4 3" xfId="21495"/>
    <cellStyle name="Normal 2 5 2 3 2 2 3 5" xfId="6368"/>
    <cellStyle name="Normal 2 5 2 3 2 2 3 5 2" xfId="15195"/>
    <cellStyle name="Normal 2 5 2 3 2 2 3 5 3" xfId="25446"/>
    <cellStyle name="Normal 2 5 2 3 2 2 3 6" xfId="7814"/>
    <cellStyle name="Normal 2 5 2 3 2 2 3 6 2" xfId="20686"/>
    <cellStyle name="Normal 2 5 2 3 2 2 3 7" xfId="16488"/>
    <cellStyle name="Normal 2 5 2 3 2 2 4" xfId="3015"/>
    <cellStyle name="Normal 2 5 2 3 2 2 4 2" xfId="5393"/>
    <cellStyle name="Normal 2 5 2 3 2 2 4 2 2" xfId="14232"/>
    <cellStyle name="Normal 2 5 2 3 2 2 4 2 2 2" xfId="24483"/>
    <cellStyle name="Normal 2 5 2 3 2 2 4 2 3" xfId="10653"/>
    <cellStyle name="Normal 2 5 2 3 2 2 4 2 4" xfId="19476"/>
    <cellStyle name="Normal 2 5 2 3 2 2 4 3" xfId="6850"/>
    <cellStyle name="Normal 2 5 2 3 2 2 4 3 2" xfId="15677"/>
    <cellStyle name="Normal 2 5 2 3 2 2 4 3 3" xfId="25928"/>
    <cellStyle name="Normal 2 5 2 3 2 2 4 4" xfId="8296"/>
    <cellStyle name="Normal 2 5 2 3 2 2 4 4 2" xfId="22378"/>
    <cellStyle name="Normal 2 5 2 3 2 2 4 5" xfId="17371"/>
    <cellStyle name="Normal 2 5 2 3 2 2 5" xfId="4349"/>
    <cellStyle name="Normal 2 5 2 3 2 2 5 2" xfId="13189"/>
    <cellStyle name="Normal 2 5 2 3 2 2 5 2 2" xfId="23440"/>
    <cellStyle name="Normal 2 5 2 3 2 2 5 3" xfId="9610"/>
    <cellStyle name="Normal 2 5 2 3 2 2 5 4" xfId="18433"/>
    <cellStyle name="Normal 2 5 2 3 2 2 6" xfId="1621"/>
    <cellStyle name="Normal 2 5 2 3 2 2 6 2" xfId="11000"/>
    <cellStyle name="Normal 2 5 2 3 2 2 6 3" xfId="21004"/>
    <cellStyle name="Normal 2 5 2 3 2 2 7" xfId="5807"/>
    <cellStyle name="Normal 2 5 2 3 2 2 7 2" xfId="14634"/>
    <cellStyle name="Normal 2 5 2 3 2 2 7 3" xfId="24885"/>
    <cellStyle name="Normal 2 5 2 3 2 2 8" xfId="7251"/>
    <cellStyle name="Normal 2 5 2 3 2 2 8 2" xfId="19977"/>
    <cellStyle name="Normal 2 5 2 3 2 2 9" xfId="15997"/>
    <cellStyle name="Normal 2 5 2 3 2 2_Degree data" xfId="3859"/>
    <cellStyle name="Normal 2 5 2 3 2 3" xfId="428"/>
    <cellStyle name="Normal 2 5 2 3 2 3 2" xfId="2915"/>
    <cellStyle name="Normal 2 5 2 3 2 3 2 2" xfId="12205"/>
    <cellStyle name="Normal 2 5 2 3 2 3 2 2 2" xfId="22278"/>
    <cellStyle name="Normal 2 5 2 3 2 3 2 3" xfId="8442"/>
    <cellStyle name="Normal 2 5 2 3 2 3 2 4" xfId="17271"/>
    <cellStyle name="Normal 2 5 2 3 2 3 3" xfId="4561"/>
    <cellStyle name="Normal 2 5 2 3 2 3 3 2" xfId="13401"/>
    <cellStyle name="Normal 2 5 2 3 2 3 3 2 2" xfId="23652"/>
    <cellStyle name="Normal 2 5 2 3 2 3 3 3" xfId="9822"/>
    <cellStyle name="Normal 2 5 2 3 2 3 3 4" xfId="18645"/>
    <cellStyle name="Normal 2 5 2 3 2 3 4" xfId="2024"/>
    <cellStyle name="Normal 2 5 2 3 2 3 4 2" xfId="11391"/>
    <cellStyle name="Normal 2 5 2 3 2 3 4 3" xfId="21395"/>
    <cellStyle name="Normal 2 5 2 3 2 3 5" xfId="6019"/>
    <cellStyle name="Normal 2 5 2 3 2 3 5 2" xfId="14846"/>
    <cellStyle name="Normal 2 5 2 3 2 3 5 3" xfId="25097"/>
    <cellStyle name="Normal 2 5 2 3 2 3 6" xfId="7463"/>
    <cellStyle name="Normal 2 5 2 3 2 3 6 2" xfId="19877"/>
    <cellStyle name="Normal 2 5 2 3 2 3 7" xfId="16388"/>
    <cellStyle name="Normal 2 5 2 3 2 4" xfId="745"/>
    <cellStyle name="Normal 2 5 2 3 2 4 2" xfId="3232"/>
    <cellStyle name="Normal 2 5 2 3 2 4 2 2" xfId="12376"/>
    <cellStyle name="Normal 2 5 2 3 2 4 2 2 2" xfId="22595"/>
    <cellStyle name="Normal 2 5 2 3 2 4 2 3" xfId="8798"/>
    <cellStyle name="Normal 2 5 2 3 2 4 2 4" xfId="17588"/>
    <cellStyle name="Normal 2 5 2 3 2 4 3" xfId="4910"/>
    <cellStyle name="Normal 2 5 2 3 2 4 3 2" xfId="13749"/>
    <cellStyle name="Normal 2 5 2 3 2 4 3 2 2" xfId="24000"/>
    <cellStyle name="Normal 2 5 2 3 2 4 3 3" xfId="10170"/>
    <cellStyle name="Normal 2 5 2 3 2 4 3 4" xfId="18993"/>
    <cellStyle name="Normal 2 5 2 3 2 4 4" xfId="2341"/>
    <cellStyle name="Normal 2 5 2 3 2 4 4 2" xfId="11708"/>
    <cellStyle name="Normal 2 5 2 3 2 4 4 3" xfId="21712"/>
    <cellStyle name="Normal 2 5 2 3 2 4 5" xfId="6367"/>
    <cellStyle name="Normal 2 5 2 3 2 4 5 2" xfId="15194"/>
    <cellStyle name="Normal 2 5 2 3 2 4 5 3" xfId="25445"/>
    <cellStyle name="Normal 2 5 2 3 2 4 6" xfId="7813"/>
    <cellStyle name="Normal 2 5 2 3 2 4 6 2" xfId="20194"/>
    <cellStyle name="Normal 2 5 2 3 2 4 7" xfId="16705"/>
    <cellStyle name="Normal 2 5 2 3 2 5" xfId="1200"/>
    <cellStyle name="Normal 2 5 2 3 2 5 2" xfId="3630"/>
    <cellStyle name="Normal 2 5 2 3 2 5 2 2" xfId="12768"/>
    <cellStyle name="Normal 2 5 2 3 2 5 2 2 2" xfId="22987"/>
    <cellStyle name="Normal 2 5 2 3 2 5 2 3" xfId="9189"/>
    <cellStyle name="Normal 2 5 2 3 2 5 2 4" xfId="17980"/>
    <cellStyle name="Normal 2 5 2 3 2 5 3" xfId="5293"/>
    <cellStyle name="Normal 2 5 2 3 2 5 3 2" xfId="14132"/>
    <cellStyle name="Normal 2 5 2 3 2 5 3 2 2" xfId="24383"/>
    <cellStyle name="Normal 2 5 2 3 2 5 3 3" xfId="10553"/>
    <cellStyle name="Normal 2 5 2 3 2 5 3 4" xfId="19376"/>
    <cellStyle name="Normal 2 5 2 3 2 5 4" xfId="1803"/>
    <cellStyle name="Normal 2 5 2 3 2 5 4 2" xfId="11174"/>
    <cellStyle name="Normal 2 5 2 3 2 5 4 3" xfId="21178"/>
    <cellStyle name="Normal 2 5 2 3 2 5 5" xfId="6750"/>
    <cellStyle name="Normal 2 5 2 3 2 5 5 2" xfId="15577"/>
    <cellStyle name="Normal 2 5 2 3 2 5 5 3" xfId="25828"/>
    <cellStyle name="Normal 2 5 2 3 2 5 6" xfId="8196"/>
    <cellStyle name="Normal 2 5 2 3 2 5 6 2" xfId="20586"/>
    <cellStyle name="Normal 2 5 2 3 2 5 7" xfId="16171"/>
    <cellStyle name="Normal 2 5 2 3 2 6" xfId="2698"/>
    <cellStyle name="Normal 2 5 2 3 2 6 2" xfId="12017"/>
    <cellStyle name="Normal 2 5 2 3 2 6 2 2" xfId="22061"/>
    <cellStyle name="Normal 2 5 2 3 2 6 3" xfId="8568"/>
    <cellStyle name="Normal 2 5 2 3 2 6 4" xfId="17054"/>
    <cellStyle name="Normal 2 5 2 3 2 7" xfId="4249"/>
    <cellStyle name="Normal 2 5 2 3 2 7 2" xfId="13089"/>
    <cellStyle name="Normal 2 5 2 3 2 7 2 2" xfId="23340"/>
    <cellStyle name="Normal 2 5 2 3 2 7 3" xfId="9510"/>
    <cellStyle name="Normal 2 5 2 3 2 7 4" xfId="18333"/>
    <cellStyle name="Normal 2 5 2 3 2 8" xfId="1521"/>
    <cellStyle name="Normal 2 5 2 3 2 8 2" xfId="10900"/>
    <cellStyle name="Normal 2 5 2 3 2 8 3" xfId="20904"/>
    <cellStyle name="Normal 2 5 2 3 2 9" xfId="5707"/>
    <cellStyle name="Normal 2 5 2 3 2 9 2" xfId="14534"/>
    <cellStyle name="Normal 2 5 2 3 2 9 3" xfId="24785"/>
    <cellStyle name="Normal 2 5 2 3 2_Degree data" xfId="3923"/>
    <cellStyle name="Normal 2 5 2 3 3" xfId="267"/>
    <cellStyle name="Normal 2 5 2 3 3 10" xfId="7108"/>
    <cellStyle name="Normal 2 5 2 3 3 10 2" xfId="19722"/>
    <cellStyle name="Normal 2 5 2 3 3 11" xfId="15854"/>
    <cellStyle name="Normal 2 5 2 3 3 2" xfId="590"/>
    <cellStyle name="Normal 2 5 2 3 3 2 2" xfId="748"/>
    <cellStyle name="Normal 2 5 2 3 3 2 2 2" xfId="3235"/>
    <cellStyle name="Normal 2 5 2 3 3 2 2 2 2" xfId="12379"/>
    <cellStyle name="Normal 2 5 2 3 3 2 2 2 2 2" xfId="22598"/>
    <cellStyle name="Normal 2 5 2 3 3 2 2 2 3" xfId="8801"/>
    <cellStyle name="Normal 2 5 2 3 3 2 2 2 4" xfId="17591"/>
    <cellStyle name="Normal 2 5 2 3 3 2 2 3" xfId="4564"/>
    <cellStyle name="Normal 2 5 2 3 3 2 2 3 2" xfId="13404"/>
    <cellStyle name="Normal 2 5 2 3 3 2 2 3 2 2" xfId="23655"/>
    <cellStyle name="Normal 2 5 2 3 3 2 2 3 3" xfId="9825"/>
    <cellStyle name="Normal 2 5 2 3 3 2 2 3 4" xfId="18648"/>
    <cellStyle name="Normal 2 5 2 3 3 2 2 4" xfId="2344"/>
    <cellStyle name="Normal 2 5 2 3 3 2 2 4 2" xfId="11711"/>
    <cellStyle name="Normal 2 5 2 3 3 2 2 4 3" xfId="21715"/>
    <cellStyle name="Normal 2 5 2 3 3 2 2 5" xfId="6022"/>
    <cellStyle name="Normal 2 5 2 3 3 2 2 5 2" xfId="14849"/>
    <cellStyle name="Normal 2 5 2 3 3 2 2 5 3" xfId="25100"/>
    <cellStyle name="Normal 2 5 2 3 3 2 2 6" xfId="7466"/>
    <cellStyle name="Normal 2 5 2 3 3 2 2 6 2" xfId="20197"/>
    <cellStyle name="Normal 2 5 2 3 3 2 2 7" xfId="16708"/>
    <cellStyle name="Normal 2 5 2 3 3 2 3" xfId="1362"/>
    <cellStyle name="Normal 2 5 2 3 3 2 3 2" xfId="3792"/>
    <cellStyle name="Normal 2 5 2 3 3 2 3 2 2" xfId="12930"/>
    <cellStyle name="Normal 2 5 2 3 3 2 3 2 2 2" xfId="23149"/>
    <cellStyle name="Normal 2 5 2 3 3 2 3 2 3" xfId="9351"/>
    <cellStyle name="Normal 2 5 2 3 3 2 3 2 4" xfId="18142"/>
    <cellStyle name="Normal 2 5 2 3 3 2 3 3" xfId="4913"/>
    <cellStyle name="Normal 2 5 2 3 3 2 3 3 2" xfId="13752"/>
    <cellStyle name="Normal 2 5 2 3 3 2 3 3 2 2" xfId="24003"/>
    <cellStyle name="Normal 2 5 2 3 3 2 3 3 3" xfId="10173"/>
    <cellStyle name="Normal 2 5 2 3 3 2 3 3 4" xfId="18996"/>
    <cellStyle name="Normal 2 5 2 3 3 2 3 4" xfId="2186"/>
    <cellStyle name="Normal 2 5 2 3 3 2 3 4 2" xfId="11553"/>
    <cellStyle name="Normal 2 5 2 3 3 2 3 4 3" xfId="21557"/>
    <cellStyle name="Normal 2 5 2 3 3 2 3 5" xfId="6370"/>
    <cellStyle name="Normal 2 5 2 3 3 2 3 5 2" xfId="15197"/>
    <cellStyle name="Normal 2 5 2 3 3 2 3 5 3" xfId="25448"/>
    <cellStyle name="Normal 2 5 2 3 3 2 3 6" xfId="7816"/>
    <cellStyle name="Normal 2 5 2 3 3 2 3 6 2" xfId="20748"/>
    <cellStyle name="Normal 2 5 2 3 3 2 3 7" xfId="16550"/>
    <cellStyle name="Normal 2 5 2 3 3 2 4" xfId="3077"/>
    <cellStyle name="Normal 2 5 2 3 3 2 4 2" xfId="5455"/>
    <cellStyle name="Normal 2 5 2 3 3 2 4 2 2" xfId="14294"/>
    <cellStyle name="Normal 2 5 2 3 3 2 4 2 2 2" xfId="24545"/>
    <cellStyle name="Normal 2 5 2 3 3 2 4 2 3" xfId="10715"/>
    <cellStyle name="Normal 2 5 2 3 3 2 4 2 4" xfId="19538"/>
    <cellStyle name="Normal 2 5 2 3 3 2 4 3" xfId="6912"/>
    <cellStyle name="Normal 2 5 2 3 3 2 4 3 2" xfId="15739"/>
    <cellStyle name="Normal 2 5 2 3 3 2 4 3 3" xfId="25990"/>
    <cellStyle name="Normal 2 5 2 3 3 2 4 4" xfId="8358"/>
    <cellStyle name="Normal 2 5 2 3 3 2 4 4 2" xfId="22440"/>
    <cellStyle name="Normal 2 5 2 3 3 2 4 5" xfId="17433"/>
    <cellStyle name="Normal 2 5 2 3 3 2 5" xfId="4411"/>
    <cellStyle name="Normal 2 5 2 3 3 2 5 2" xfId="13251"/>
    <cellStyle name="Normal 2 5 2 3 3 2 5 2 2" xfId="23502"/>
    <cellStyle name="Normal 2 5 2 3 3 2 5 3" xfId="9672"/>
    <cellStyle name="Normal 2 5 2 3 3 2 5 4" xfId="18495"/>
    <cellStyle name="Normal 2 5 2 3 3 2 6" xfId="1683"/>
    <cellStyle name="Normal 2 5 2 3 3 2 6 2" xfId="11062"/>
    <cellStyle name="Normal 2 5 2 3 3 2 6 3" xfId="21066"/>
    <cellStyle name="Normal 2 5 2 3 3 2 7" xfId="5869"/>
    <cellStyle name="Normal 2 5 2 3 3 2 7 2" xfId="14696"/>
    <cellStyle name="Normal 2 5 2 3 3 2 7 3" xfId="24947"/>
    <cellStyle name="Normal 2 5 2 3 3 2 8" xfId="7313"/>
    <cellStyle name="Normal 2 5 2 3 3 2 8 2" xfId="20039"/>
    <cellStyle name="Normal 2 5 2 3 3 2 9" xfId="16059"/>
    <cellStyle name="Normal 2 5 2 3 3 2_Degree data" xfId="3924"/>
    <cellStyle name="Normal 2 5 2 3 3 3" xfId="385"/>
    <cellStyle name="Normal 2 5 2 3 3 3 2" xfId="2872"/>
    <cellStyle name="Normal 2 5 2 3 3 3 2 2" xfId="12162"/>
    <cellStyle name="Normal 2 5 2 3 3 3 2 2 2" xfId="22235"/>
    <cellStyle name="Normal 2 5 2 3 3 3 2 3" xfId="8473"/>
    <cellStyle name="Normal 2 5 2 3 3 3 2 4" xfId="17228"/>
    <cellStyle name="Normal 2 5 2 3 3 3 3" xfId="4563"/>
    <cellStyle name="Normal 2 5 2 3 3 3 3 2" xfId="13403"/>
    <cellStyle name="Normal 2 5 2 3 3 3 3 2 2" xfId="23654"/>
    <cellStyle name="Normal 2 5 2 3 3 3 3 3" xfId="9824"/>
    <cellStyle name="Normal 2 5 2 3 3 3 3 4" xfId="18647"/>
    <cellStyle name="Normal 2 5 2 3 3 3 4" xfId="1981"/>
    <cellStyle name="Normal 2 5 2 3 3 3 4 2" xfId="11348"/>
    <cellStyle name="Normal 2 5 2 3 3 3 4 3" xfId="21352"/>
    <cellStyle name="Normal 2 5 2 3 3 3 5" xfId="6021"/>
    <cellStyle name="Normal 2 5 2 3 3 3 5 2" xfId="14848"/>
    <cellStyle name="Normal 2 5 2 3 3 3 5 3" xfId="25099"/>
    <cellStyle name="Normal 2 5 2 3 3 3 6" xfId="7465"/>
    <cellStyle name="Normal 2 5 2 3 3 3 6 2" xfId="19834"/>
    <cellStyle name="Normal 2 5 2 3 3 3 7" xfId="16345"/>
    <cellStyle name="Normal 2 5 2 3 3 4" xfId="747"/>
    <cellStyle name="Normal 2 5 2 3 3 4 2" xfId="3234"/>
    <cellStyle name="Normal 2 5 2 3 3 4 2 2" xfId="12378"/>
    <cellStyle name="Normal 2 5 2 3 3 4 2 2 2" xfId="22597"/>
    <cellStyle name="Normal 2 5 2 3 3 4 2 3" xfId="8800"/>
    <cellStyle name="Normal 2 5 2 3 3 4 2 4" xfId="17590"/>
    <cellStyle name="Normal 2 5 2 3 3 4 3" xfId="4912"/>
    <cellStyle name="Normal 2 5 2 3 3 4 3 2" xfId="13751"/>
    <cellStyle name="Normal 2 5 2 3 3 4 3 2 2" xfId="24002"/>
    <cellStyle name="Normal 2 5 2 3 3 4 3 3" xfId="10172"/>
    <cellStyle name="Normal 2 5 2 3 3 4 3 4" xfId="18995"/>
    <cellStyle name="Normal 2 5 2 3 3 4 4" xfId="2343"/>
    <cellStyle name="Normal 2 5 2 3 3 4 4 2" xfId="11710"/>
    <cellStyle name="Normal 2 5 2 3 3 4 4 3" xfId="21714"/>
    <cellStyle name="Normal 2 5 2 3 3 4 5" xfId="6369"/>
    <cellStyle name="Normal 2 5 2 3 3 4 5 2" xfId="15196"/>
    <cellStyle name="Normal 2 5 2 3 3 4 5 3" xfId="25447"/>
    <cellStyle name="Normal 2 5 2 3 3 4 6" xfId="7815"/>
    <cellStyle name="Normal 2 5 2 3 3 4 6 2" xfId="20196"/>
    <cellStyle name="Normal 2 5 2 3 3 4 7" xfId="16707"/>
    <cellStyle name="Normal 2 5 2 3 3 5" xfId="1157"/>
    <cellStyle name="Normal 2 5 2 3 3 5 2" xfId="3587"/>
    <cellStyle name="Normal 2 5 2 3 3 5 2 2" xfId="12725"/>
    <cellStyle name="Normal 2 5 2 3 3 5 2 2 2" xfId="22944"/>
    <cellStyle name="Normal 2 5 2 3 3 5 2 3" xfId="9146"/>
    <cellStyle name="Normal 2 5 2 3 3 5 2 4" xfId="17937"/>
    <cellStyle name="Normal 2 5 2 3 3 5 3" xfId="5250"/>
    <cellStyle name="Normal 2 5 2 3 3 5 3 2" xfId="14089"/>
    <cellStyle name="Normal 2 5 2 3 3 5 3 2 2" xfId="24340"/>
    <cellStyle name="Normal 2 5 2 3 3 5 3 3" xfId="10510"/>
    <cellStyle name="Normal 2 5 2 3 3 5 3 4" xfId="19333"/>
    <cellStyle name="Normal 2 5 2 3 3 5 4" xfId="1866"/>
    <cellStyle name="Normal 2 5 2 3 3 5 4 2" xfId="11236"/>
    <cellStyle name="Normal 2 5 2 3 3 5 4 3" xfId="21240"/>
    <cellStyle name="Normal 2 5 2 3 3 5 5" xfId="6707"/>
    <cellStyle name="Normal 2 5 2 3 3 5 5 2" xfId="15534"/>
    <cellStyle name="Normal 2 5 2 3 3 5 5 3" xfId="25785"/>
    <cellStyle name="Normal 2 5 2 3 3 5 6" xfId="8153"/>
    <cellStyle name="Normal 2 5 2 3 3 5 6 2" xfId="20543"/>
    <cellStyle name="Normal 2 5 2 3 3 5 7" xfId="16233"/>
    <cellStyle name="Normal 2 5 2 3 3 6" xfId="2760"/>
    <cellStyle name="Normal 2 5 2 3 3 6 2" xfId="12079"/>
    <cellStyle name="Normal 2 5 2 3 3 6 2 2" xfId="22123"/>
    <cellStyle name="Normal 2 5 2 3 3 6 3" xfId="8494"/>
    <cellStyle name="Normal 2 5 2 3 3 6 4" xfId="17116"/>
    <cellStyle name="Normal 2 5 2 3 3 7" xfId="4206"/>
    <cellStyle name="Normal 2 5 2 3 3 7 2" xfId="13046"/>
    <cellStyle name="Normal 2 5 2 3 3 7 2 2" xfId="23297"/>
    <cellStyle name="Normal 2 5 2 3 3 7 3" xfId="9467"/>
    <cellStyle name="Normal 2 5 2 3 3 7 4" xfId="18290"/>
    <cellStyle name="Normal 2 5 2 3 3 8" xfId="1478"/>
    <cellStyle name="Normal 2 5 2 3 3 8 2" xfId="10857"/>
    <cellStyle name="Normal 2 5 2 3 3 8 3" xfId="20861"/>
    <cellStyle name="Normal 2 5 2 3 3 9" xfId="5664"/>
    <cellStyle name="Normal 2 5 2 3 3 9 2" xfId="14491"/>
    <cellStyle name="Normal 2 5 2 3 3 9 3" xfId="24742"/>
    <cellStyle name="Normal 2 5 2 3 3_Degree data" xfId="3471"/>
    <cellStyle name="Normal 2 5 2 3 4" xfId="485"/>
    <cellStyle name="Normal 2 5 2 3 4 2" xfId="749"/>
    <cellStyle name="Normal 2 5 2 3 4 2 2" xfId="3236"/>
    <cellStyle name="Normal 2 5 2 3 4 2 2 2" xfId="12380"/>
    <cellStyle name="Normal 2 5 2 3 4 2 2 2 2" xfId="22599"/>
    <cellStyle name="Normal 2 5 2 3 4 2 2 3" xfId="8802"/>
    <cellStyle name="Normal 2 5 2 3 4 2 2 4" xfId="17592"/>
    <cellStyle name="Normal 2 5 2 3 4 2 3" xfId="4565"/>
    <cellStyle name="Normal 2 5 2 3 4 2 3 2" xfId="13405"/>
    <cellStyle name="Normal 2 5 2 3 4 2 3 2 2" xfId="23656"/>
    <cellStyle name="Normal 2 5 2 3 4 2 3 3" xfId="9826"/>
    <cellStyle name="Normal 2 5 2 3 4 2 3 4" xfId="18649"/>
    <cellStyle name="Normal 2 5 2 3 4 2 4" xfId="2345"/>
    <cellStyle name="Normal 2 5 2 3 4 2 4 2" xfId="11712"/>
    <cellStyle name="Normal 2 5 2 3 4 2 4 3" xfId="21716"/>
    <cellStyle name="Normal 2 5 2 3 4 2 5" xfId="6023"/>
    <cellStyle name="Normal 2 5 2 3 4 2 5 2" xfId="14850"/>
    <cellStyle name="Normal 2 5 2 3 4 2 5 3" xfId="25101"/>
    <cellStyle name="Normal 2 5 2 3 4 2 6" xfId="7467"/>
    <cellStyle name="Normal 2 5 2 3 4 2 6 2" xfId="20198"/>
    <cellStyle name="Normal 2 5 2 3 4 2 7" xfId="16709"/>
    <cellStyle name="Normal 2 5 2 3 4 3" xfId="1257"/>
    <cellStyle name="Normal 2 5 2 3 4 3 2" xfId="3687"/>
    <cellStyle name="Normal 2 5 2 3 4 3 2 2" xfId="12825"/>
    <cellStyle name="Normal 2 5 2 3 4 3 2 2 2" xfId="23044"/>
    <cellStyle name="Normal 2 5 2 3 4 3 2 3" xfId="9246"/>
    <cellStyle name="Normal 2 5 2 3 4 3 2 4" xfId="18037"/>
    <cellStyle name="Normal 2 5 2 3 4 3 3" xfId="4914"/>
    <cellStyle name="Normal 2 5 2 3 4 3 3 2" xfId="13753"/>
    <cellStyle name="Normal 2 5 2 3 4 3 3 2 2" xfId="24004"/>
    <cellStyle name="Normal 2 5 2 3 4 3 3 3" xfId="10174"/>
    <cellStyle name="Normal 2 5 2 3 4 3 3 4" xfId="18997"/>
    <cellStyle name="Normal 2 5 2 3 4 3 4" xfId="2081"/>
    <cellStyle name="Normal 2 5 2 3 4 3 4 2" xfId="11448"/>
    <cellStyle name="Normal 2 5 2 3 4 3 4 3" xfId="21452"/>
    <cellStyle name="Normal 2 5 2 3 4 3 5" xfId="6371"/>
    <cellStyle name="Normal 2 5 2 3 4 3 5 2" xfId="15198"/>
    <cellStyle name="Normal 2 5 2 3 4 3 5 3" xfId="25449"/>
    <cellStyle name="Normal 2 5 2 3 4 3 6" xfId="7817"/>
    <cellStyle name="Normal 2 5 2 3 4 3 6 2" xfId="20643"/>
    <cellStyle name="Normal 2 5 2 3 4 3 7" xfId="16445"/>
    <cellStyle name="Normal 2 5 2 3 4 4" xfId="2972"/>
    <cellStyle name="Normal 2 5 2 3 4 4 2" xfId="5350"/>
    <cellStyle name="Normal 2 5 2 3 4 4 2 2" xfId="14189"/>
    <cellStyle name="Normal 2 5 2 3 4 4 2 2 2" xfId="24440"/>
    <cellStyle name="Normal 2 5 2 3 4 4 2 3" xfId="10610"/>
    <cellStyle name="Normal 2 5 2 3 4 4 2 4" xfId="19433"/>
    <cellStyle name="Normal 2 5 2 3 4 4 3" xfId="6807"/>
    <cellStyle name="Normal 2 5 2 3 4 4 3 2" xfId="15634"/>
    <cellStyle name="Normal 2 5 2 3 4 4 3 3" xfId="25885"/>
    <cellStyle name="Normal 2 5 2 3 4 4 4" xfId="8253"/>
    <cellStyle name="Normal 2 5 2 3 4 4 4 2" xfId="22335"/>
    <cellStyle name="Normal 2 5 2 3 4 4 5" xfId="17328"/>
    <cellStyle name="Normal 2 5 2 3 4 5" xfId="4306"/>
    <cellStyle name="Normal 2 5 2 3 4 5 2" xfId="13146"/>
    <cellStyle name="Normal 2 5 2 3 4 5 2 2" xfId="23397"/>
    <cellStyle name="Normal 2 5 2 3 4 5 3" xfId="9567"/>
    <cellStyle name="Normal 2 5 2 3 4 5 4" xfId="18390"/>
    <cellStyle name="Normal 2 5 2 3 4 6" xfId="1578"/>
    <cellStyle name="Normal 2 5 2 3 4 6 2" xfId="10957"/>
    <cellStyle name="Normal 2 5 2 3 4 6 3" xfId="20961"/>
    <cellStyle name="Normal 2 5 2 3 4 7" xfId="5764"/>
    <cellStyle name="Normal 2 5 2 3 4 7 2" xfId="14591"/>
    <cellStyle name="Normal 2 5 2 3 4 7 3" xfId="24842"/>
    <cellStyle name="Normal 2 5 2 3 4 8" xfId="7208"/>
    <cellStyle name="Normal 2 5 2 3 4 8 2" xfId="19934"/>
    <cellStyle name="Normal 2 5 2 3 4 9" xfId="15954"/>
    <cellStyle name="Normal 2 5 2 3 4_Degree data" xfId="3918"/>
    <cellStyle name="Normal 2 5 2 3 5" xfId="326"/>
    <cellStyle name="Normal 2 5 2 3 5 2" xfId="2813"/>
    <cellStyle name="Normal 2 5 2 3 5 2 2" xfId="12119"/>
    <cellStyle name="Normal 2 5 2 3 5 2 2 2" xfId="22176"/>
    <cellStyle name="Normal 2 5 2 3 5 2 3" xfId="8417"/>
    <cellStyle name="Normal 2 5 2 3 5 2 4" xfId="17169"/>
    <cellStyle name="Normal 2 5 2 3 5 3" xfId="4560"/>
    <cellStyle name="Normal 2 5 2 3 5 3 2" xfId="13400"/>
    <cellStyle name="Normal 2 5 2 3 5 3 2 2" xfId="23651"/>
    <cellStyle name="Normal 2 5 2 3 5 3 3" xfId="9821"/>
    <cellStyle name="Normal 2 5 2 3 5 3 4" xfId="18644"/>
    <cellStyle name="Normal 2 5 2 3 5 4" xfId="1922"/>
    <cellStyle name="Normal 2 5 2 3 5 4 2" xfId="11289"/>
    <cellStyle name="Normal 2 5 2 3 5 4 3" xfId="21293"/>
    <cellStyle name="Normal 2 5 2 3 5 5" xfId="6018"/>
    <cellStyle name="Normal 2 5 2 3 5 5 2" xfId="14845"/>
    <cellStyle name="Normal 2 5 2 3 5 5 3" xfId="25096"/>
    <cellStyle name="Normal 2 5 2 3 5 6" xfId="7462"/>
    <cellStyle name="Normal 2 5 2 3 5 6 2" xfId="19775"/>
    <cellStyle name="Normal 2 5 2 3 5 7" xfId="16286"/>
    <cellStyle name="Normal 2 5 2 3 6" xfId="744"/>
    <cellStyle name="Normal 2 5 2 3 6 2" xfId="3231"/>
    <cellStyle name="Normal 2 5 2 3 6 2 2" xfId="12375"/>
    <cellStyle name="Normal 2 5 2 3 6 2 2 2" xfId="22594"/>
    <cellStyle name="Normal 2 5 2 3 6 2 3" xfId="8797"/>
    <cellStyle name="Normal 2 5 2 3 6 2 4" xfId="17587"/>
    <cellStyle name="Normal 2 5 2 3 6 3" xfId="4909"/>
    <cellStyle name="Normal 2 5 2 3 6 3 2" xfId="13748"/>
    <cellStyle name="Normal 2 5 2 3 6 3 2 2" xfId="23999"/>
    <cellStyle name="Normal 2 5 2 3 6 3 3" xfId="10169"/>
    <cellStyle name="Normal 2 5 2 3 6 3 4" xfId="18992"/>
    <cellStyle name="Normal 2 5 2 3 6 4" xfId="2340"/>
    <cellStyle name="Normal 2 5 2 3 6 4 2" xfId="11707"/>
    <cellStyle name="Normal 2 5 2 3 6 4 3" xfId="21711"/>
    <cellStyle name="Normal 2 5 2 3 6 5" xfId="6366"/>
    <cellStyle name="Normal 2 5 2 3 6 5 2" xfId="15193"/>
    <cellStyle name="Normal 2 5 2 3 6 5 3" xfId="25444"/>
    <cellStyle name="Normal 2 5 2 3 6 6" xfId="7812"/>
    <cellStyle name="Normal 2 5 2 3 6 6 2" xfId="20193"/>
    <cellStyle name="Normal 2 5 2 3 6 7" xfId="16704"/>
    <cellStyle name="Normal 2 5 2 3 7" xfId="1098"/>
    <cellStyle name="Normal 2 5 2 3 7 2" xfId="3528"/>
    <cellStyle name="Normal 2 5 2 3 7 2 2" xfId="12666"/>
    <cellStyle name="Normal 2 5 2 3 7 2 2 2" xfId="22885"/>
    <cellStyle name="Normal 2 5 2 3 7 2 3" xfId="9088"/>
    <cellStyle name="Normal 2 5 2 3 7 2 4" xfId="17878"/>
    <cellStyle name="Normal 2 5 2 3 7 3" xfId="5191"/>
    <cellStyle name="Normal 2 5 2 3 7 3 2" xfId="14030"/>
    <cellStyle name="Normal 2 5 2 3 7 3 2 2" xfId="24281"/>
    <cellStyle name="Normal 2 5 2 3 7 3 3" xfId="10451"/>
    <cellStyle name="Normal 2 5 2 3 7 3 4" xfId="19274"/>
    <cellStyle name="Normal 2 5 2 3 7 4" xfId="1757"/>
    <cellStyle name="Normal 2 5 2 3 7 4 2" xfId="11130"/>
    <cellStyle name="Normal 2 5 2 3 7 4 3" xfId="21134"/>
    <cellStyle name="Normal 2 5 2 3 7 5" xfId="6648"/>
    <cellStyle name="Normal 2 5 2 3 7 5 2" xfId="15475"/>
    <cellStyle name="Normal 2 5 2 3 7 5 3" xfId="25726"/>
    <cellStyle name="Normal 2 5 2 3 7 6" xfId="8094"/>
    <cellStyle name="Normal 2 5 2 3 7 6 2" xfId="20484"/>
    <cellStyle name="Normal 2 5 2 3 7 7" xfId="16127"/>
    <cellStyle name="Normal 2 5 2 3 8" xfId="2655"/>
    <cellStyle name="Normal 2 5 2 3 8 2" xfId="5605"/>
    <cellStyle name="Normal 2 5 2 3 8 2 2" xfId="14432"/>
    <cellStyle name="Normal 2 5 2 3 8 2 3" xfId="24683"/>
    <cellStyle name="Normal 2 5 2 3 8 3" xfId="7049"/>
    <cellStyle name="Normal 2 5 2 3 8 3 2" xfId="22018"/>
    <cellStyle name="Normal 2 5 2 3 8 4" xfId="17011"/>
    <cellStyle name="Normal 2 5 2 3 9" xfId="4145"/>
    <cellStyle name="Normal 2 5 2 3 9 2" xfId="12985"/>
    <cellStyle name="Normal 2 5 2 3 9 2 2" xfId="23236"/>
    <cellStyle name="Normal 2 5 2 3 9 3" xfId="9406"/>
    <cellStyle name="Normal 2 5 2 3 9 4" xfId="18229"/>
    <cellStyle name="Normal 2 5 2 3_Degree data" xfId="3828"/>
    <cellStyle name="Normal 2 5 2 4" xfId="190"/>
    <cellStyle name="Normal 2 5 2 4 10" xfId="7141"/>
    <cellStyle name="Normal 2 5 2 4 10 2" xfId="19650"/>
    <cellStyle name="Normal 2 5 2 4 11" xfId="15887"/>
    <cellStyle name="Normal 2 5 2 4 2" xfId="518"/>
    <cellStyle name="Normal 2 5 2 4 2 2" xfId="751"/>
    <cellStyle name="Normal 2 5 2 4 2 2 2" xfId="3238"/>
    <cellStyle name="Normal 2 5 2 4 2 2 2 2" xfId="12382"/>
    <cellStyle name="Normal 2 5 2 4 2 2 2 2 2" xfId="22601"/>
    <cellStyle name="Normal 2 5 2 4 2 2 2 3" xfId="8804"/>
    <cellStyle name="Normal 2 5 2 4 2 2 2 4" xfId="17594"/>
    <cellStyle name="Normal 2 5 2 4 2 2 3" xfId="4567"/>
    <cellStyle name="Normal 2 5 2 4 2 2 3 2" xfId="13407"/>
    <cellStyle name="Normal 2 5 2 4 2 2 3 2 2" xfId="23658"/>
    <cellStyle name="Normal 2 5 2 4 2 2 3 3" xfId="9828"/>
    <cellStyle name="Normal 2 5 2 4 2 2 3 4" xfId="18651"/>
    <cellStyle name="Normal 2 5 2 4 2 2 4" xfId="2347"/>
    <cellStyle name="Normal 2 5 2 4 2 2 4 2" xfId="11714"/>
    <cellStyle name="Normal 2 5 2 4 2 2 4 3" xfId="21718"/>
    <cellStyle name="Normal 2 5 2 4 2 2 5" xfId="6025"/>
    <cellStyle name="Normal 2 5 2 4 2 2 5 2" xfId="14852"/>
    <cellStyle name="Normal 2 5 2 4 2 2 5 3" xfId="25103"/>
    <cellStyle name="Normal 2 5 2 4 2 2 6" xfId="7469"/>
    <cellStyle name="Normal 2 5 2 4 2 2 6 2" xfId="20200"/>
    <cellStyle name="Normal 2 5 2 4 2 2 7" xfId="16711"/>
    <cellStyle name="Normal 2 5 2 4 2 3" xfId="1290"/>
    <cellStyle name="Normal 2 5 2 4 2 3 2" xfId="3720"/>
    <cellStyle name="Normal 2 5 2 4 2 3 2 2" xfId="12858"/>
    <cellStyle name="Normal 2 5 2 4 2 3 2 2 2" xfId="23077"/>
    <cellStyle name="Normal 2 5 2 4 2 3 2 3" xfId="9279"/>
    <cellStyle name="Normal 2 5 2 4 2 3 2 4" xfId="18070"/>
    <cellStyle name="Normal 2 5 2 4 2 3 3" xfId="4916"/>
    <cellStyle name="Normal 2 5 2 4 2 3 3 2" xfId="13755"/>
    <cellStyle name="Normal 2 5 2 4 2 3 3 2 2" xfId="24006"/>
    <cellStyle name="Normal 2 5 2 4 2 3 3 3" xfId="10176"/>
    <cellStyle name="Normal 2 5 2 4 2 3 3 4" xfId="18999"/>
    <cellStyle name="Normal 2 5 2 4 2 3 4" xfId="2114"/>
    <cellStyle name="Normal 2 5 2 4 2 3 4 2" xfId="11481"/>
    <cellStyle name="Normal 2 5 2 4 2 3 4 3" xfId="21485"/>
    <cellStyle name="Normal 2 5 2 4 2 3 5" xfId="6373"/>
    <cellStyle name="Normal 2 5 2 4 2 3 5 2" xfId="15200"/>
    <cellStyle name="Normal 2 5 2 4 2 3 5 3" xfId="25451"/>
    <cellStyle name="Normal 2 5 2 4 2 3 6" xfId="7819"/>
    <cellStyle name="Normal 2 5 2 4 2 3 6 2" xfId="20676"/>
    <cellStyle name="Normal 2 5 2 4 2 3 7" xfId="16478"/>
    <cellStyle name="Normal 2 5 2 4 2 4" xfId="3005"/>
    <cellStyle name="Normal 2 5 2 4 2 4 2" xfId="5383"/>
    <cellStyle name="Normal 2 5 2 4 2 4 2 2" xfId="14222"/>
    <cellStyle name="Normal 2 5 2 4 2 4 2 2 2" xfId="24473"/>
    <cellStyle name="Normal 2 5 2 4 2 4 2 3" xfId="10643"/>
    <cellStyle name="Normal 2 5 2 4 2 4 2 4" xfId="19466"/>
    <cellStyle name="Normal 2 5 2 4 2 4 3" xfId="6840"/>
    <cellStyle name="Normal 2 5 2 4 2 4 3 2" xfId="15667"/>
    <cellStyle name="Normal 2 5 2 4 2 4 3 3" xfId="25918"/>
    <cellStyle name="Normal 2 5 2 4 2 4 4" xfId="8286"/>
    <cellStyle name="Normal 2 5 2 4 2 4 4 2" xfId="22368"/>
    <cellStyle name="Normal 2 5 2 4 2 4 5" xfId="17361"/>
    <cellStyle name="Normal 2 5 2 4 2 5" xfId="4339"/>
    <cellStyle name="Normal 2 5 2 4 2 5 2" xfId="13179"/>
    <cellStyle name="Normal 2 5 2 4 2 5 2 2" xfId="23430"/>
    <cellStyle name="Normal 2 5 2 4 2 5 3" xfId="9600"/>
    <cellStyle name="Normal 2 5 2 4 2 5 4" xfId="18423"/>
    <cellStyle name="Normal 2 5 2 4 2 6" xfId="1611"/>
    <cellStyle name="Normal 2 5 2 4 2 6 2" xfId="10990"/>
    <cellStyle name="Normal 2 5 2 4 2 6 3" xfId="20994"/>
    <cellStyle name="Normal 2 5 2 4 2 7" xfId="5797"/>
    <cellStyle name="Normal 2 5 2 4 2 7 2" xfId="14624"/>
    <cellStyle name="Normal 2 5 2 4 2 7 3" xfId="24875"/>
    <cellStyle name="Normal 2 5 2 4 2 8" xfId="7241"/>
    <cellStyle name="Normal 2 5 2 4 2 8 2" xfId="19967"/>
    <cellStyle name="Normal 2 5 2 4 2 9" xfId="15987"/>
    <cellStyle name="Normal 2 5 2 4 2_Degree data" xfId="3883"/>
    <cellStyle name="Normal 2 5 2 4 3" xfId="418"/>
    <cellStyle name="Normal 2 5 2 4 3 2" xfId="2905"/>
    <cellStyle name="Normal 2 5 2 4 3 2 2" xfId="12195"/>
    <cellStyle name="Normal 2 5 2 4 3 2 2 2" xfId="22268"/>
    <cellStyle name="Normal 2 5 2 4 3 2 3" xfId="8652"/>
    <cellStyle name="Normal 2 5 2 4 3 2 4" xfId="17261"/>
    <cellStyle name="Normal 2 5 2 4 3 3" xfId="4566"/>
    <cellStyle name="Normal 2 5 2 4 3 3 2" xfId="13406"/>
    <cellStyle name="Normal 2 5 2 4 3 3 2 2" xfId="23657"/>
    <cellStyle name="Normal 2 5 2 4 3 3 3" xfId="9827"/>
    <cellStyle name="Normal 2 5 2 4 3 3 4" xfId="18650"/>
    <cellStyle name="Normal 2 5 2 4 3 4" xfId="2014"/>
    <cellStyle name="Normal 2 5 2 4 3 4 2" xfId="11381"/>
    <cellStyle name="Normal 2 5 2 4 3 4 3" xfId="21385"/>
    <cellStyle name="Normal 2 5 2 4 3 5" xfId="6024"/>
    <cellStyle name="Normal 2 5 2 4 3 5 2" xfId="14851"/>
    <cellStyle name="Normal 2 5 2 4 3 5 3" xfId="25102"/>
    <cellStyle name="Normal 2 5 2 4 3 6" xfId="7468"/>
    <cellStyle name="Normal 2 5 2 4 3 6 2" xfId="19867"/>
    <cellStyle name="Normal 2 5 2 4 3 7" xfId="16378"/>
    <cellStyle name="Normal 2 5 2 4 4" xfId="750"/>
    <cellStyle name="Normal 2 5 2 4 4 2" xfId="3237"/>
    <cellStyle name="Normal 2 5 2 4 4 2 2" xfId="12381"/>
    <cellStyle name="Normal 2 5 2 4 4 2 2 2" xfId="22600"/>
    <cellStyle name="Normal 2 5 2 4 4 2 3" xfId="8803"/>
    <cellStyle name="Normal 2 5 2 4 4 2 4" xfId="17593"/>
    <cellStyle name="Normal 2 5 2 4 4 3" xfId="4915"/>
    <cellStyle name="Normal 2 5 2 4 4 3 2" xfId="13754"/>
    <cellStyle name="Normal 2 5 2 4 4 3 2 2" xfId="24005"/>
    <cellStyle name="Normal 2 5 2 4 4 3 3" xfId="10175"/>
    <cellStyle name="Normal 2 5 2 4 4 3 4" xfId="18998"/>
    <cellStyle name="Normal 2 5 2 4 4 4" xfId="2346"/>
    <cellStyle name="Normal 2 5 2 4 4 4 2" xfId="11713"/>
    <cellStyle name="Normal 2 5 2 4 4 4 3" xfId="21717"/>
    <cellStyle name="Normal 2 5 2 4 4 5" xfId="6372"/>
    <cellStyle name="Normal 2 5 2 4 4 5 2" xfId="15199"/>
    <cellStyle name="Normal 2 5 2 4 4 5 3" xfId="25450"/>
    <cellStyle name="Normal 2 5 2 4 4 6" xfId="7818"/>
    <cellStyle name="Normal 2 5 2 4 4 6 2" xfId="20199"/>
    <cellStyle name="Normal 2 5 2 4 4 7" xfId="16710"/>
    <cellStyle name="Normal 2 5 2 4 5" xfId="1190"/>
    <cellStyle name="Normal 2 5 2 4 5 2" xfId="3620"/>
    <cellStyle name="Normal 2 5 2 4 5 2 2" xfId="12758"/>
    <cellStyle name="Normal 2 5 2 4 5 2 2 2" xfId="22977"/>
    <cellStyle name="Normal 2 5 2 4 5 2 3" xfId="9179"/>
    <cellStyle name="Normal 2 5 2 4 5 2 4" xfId="17970"/>
    <cellStyle name="Normal 2 5 2 4 5 3" xfId="5283"/>
    <cellStyle name="Normal 2 5 2 4 5 3 2" xfId="14122"/>
    <cellStyle name="Normal 2 5 2 4 5 3 2 2" xfId="24373"/>
    <cellStyle name="Normal 2 5 2 4 5 3 3" xfId="10543"/>
    <cellStyle name="Normal 2 5 2 4 5 3 4" xfId="19366"/>
    <cellStyle name="Normal 2 5 2 4 5 4" xfId="1793"/>
    <cellStyle name="Normal 2 5 2 4 5 4 2" xfId="11164"/>
    <cellStyle name="Normal 2 5 2 4 5 4 3" xfId="21168"/>
    <cellStyle name="Normal 2 5 2 4 5 5" xfId="6740"/>
    <cellStyle name="Normal 2 5 2 4 5 5 2" xfId="15567"/>
    <cellStyle name="Normal 2 5 2 4 5 5 3" xfId="25818"/>
    <cellStyle name="Normal 2 5 2 4 5 6" xfId="8186"/>
    <cellStyle name="Normal 2 5 2 4 5 6 2" xfId="20576"/>
    <cellStyle name="Normal 2 5 2 4 5 7" xfId="16161"/>
    <cellStyle name="Normal 2 5 2 4 6" xfId="2688"/>
    <cellStyle name="Normal 2 5 2 4 6 2" xfId="12007"/>
    <cellStyle name="Normal 2 5 2 4 6 2 2" xfId="22051"/>
    <cellStyle name="Normal 2 5 2 4 6 3" xfId="8629"/>
    <cellStyle name="Normal 2 5 2 4 6 4" xfId="17044"/>
    <cellStyle name="Normal 2 5 2 4 7" xfId="4239"/>
    <cellStyle name="Normal 2 5 2 4 7 2" xfId="13079"/>
    <cellStyle name="Normal 2 5 2 4 7 2 2" xfId="23330"/>
    <cellStyle name="Normal 2 5 2 4 7 3" xfId="9500"/>
    <cellStyle name="Normal 2 5 2 4 7 4" xfId="18323"/>
    <cellStyle name="Normal 2 5 2 4 8" xfId="1511"/>
    <cellStyle name="Normal 2 5 2 4 8 2" xfId="10890"/>
    <cellStyle name="Normal 2 5 2 4 8 3" xfId="20894"/>
    <cellStyle name="Normal 2 5 2 4 9" xfId="5697"/>
    <cellStyle name="Normal 2 5 2 4 9 2" xfId="14524"/>
    <cellStyle name="Normal 2 5 2 4 9 3" xfId="24775"/>
    <cellStyle name="Normal 2 5 2 4_Degree data" xfId="3849"/>
    <cellStyle name="Normal 2 5 2 5" xfId="249"/>
    <cellStyle name="Normal 2 5 2 5 10" xfId="7090"/>
    <cellStyle name="Normal 2 5 2 5 10 2" xfId="19704"/>
    <cellStyle name="Normal 2 5 2 5 11" xfId="15836"/>
    <cellStyle name="Normal 2 5 2 5 2" xfId="572"/>
    <cellStyle name="Normal 2 5 2 5 2 2" xfId="753"/>
    <cellStyle name="Normal 2 5 2 5 2 2 2" xfId="3240"/>
    <cellStyle name="Normal 2 5 2 5 2 2 2 2" xfId="12384"/>
    <cellStyle name="Normal 2 5 2 5 2 2 2 2 2" xfId="22603"/>
    <cellStyle name="Normal 2 5 2 5 2 2 2 3" xfId="8806"/>
    <cellStyle name="Normal 2 5 2 5 2 2 2 4" xfId="17596"/>
    <cellStyle name="Normal 2 5 2 5 2 2 3" xfId="4569"/>
    <cellStyle name="Normal 2 5 2 5 2 2 3 2" xfId="13409"/>
    <cellStyle name="Normal 2 5 2 5 2 2 3 2 2" xfId="23660"/>
    <cellStyle name="Normal 2 5 2 5 2 2 3 3" xfId="9830"/>
    <cellStyle name="Normal 2 5 2 5 2 2 3 4" xfId="18653"/>
    <cellStyle name="Normal 2 5 2 5 2 2 4" xfId="2349"/>
    <cellStyle name="Normal 2 5 2 5 2 2 4 2" xfId="11716"/>
    <cellStyle name="Normal 2 5 2 5 2 2 4 3" xfId="21720"/>
    <cellStyle name="Normal 2 5 2 5 2 2 5" xfId="6027"/>
    <cellStyle name="Normal 2 5 2 5 2 2 5 2" xfId="14854"/>
    <cellStyle name="Normal 2 5 2 5 2 2 5 3" xfId="25105"/>
    <cellStyle name="Normal 2 5 2 5 2 2 6" xfId="7471"/>
    <cellStyle name="Normal 2 5 2 5 2 2 6 2" xfId="20202"/>
    <cellStyle name="Normal 2 5 2 5 2 2 7" xfId="16713"/>
    <cellStyle name="Normal 2 5 2 5 2 3" xfId="1344"/>
    <cellStyle name="Normal 2 5 2 5 2 3 2" xfId="3774"/>
    <cellStyle name="Normal 2 5 2 5 2 3 2 2" xfId="12912"/>
    <cellStyle name="Normal 2 5 2 5 2 3 2 2 2" xfId="23131"/>
    <cellStyle name="Normal 2 5 2 5 2 3 2 3" xfId="9333"/>
    <cellStyle name="Normal 2 5 2 5 2 3 2 4" xfId="18124"/>
    <cellStyle name="Normal 2 5 2 5 2 3 3" xfId="4918"/>
    <cellStyle name="Normal 2 5 2 5 2 3 3 2" xfId="13757"/>
    <cellStyle name="Normal 2 5 2 5 2 3 3 2 2" xfId="24008"/>
    <cellStyle name="Normal 2 5 2 5 2 3 3 3" xfId="10178"/>
    <cellStyle name="Normal 2 5 2 5 2 3 3 4" xfId="19001"/>
    <cellStyle name="Normal 2 5 2 5 2 3 4" xfId="2168"/>
    <cellStyle name="Normal 2 5 2 5 2 3 4 2" xfId="11535"/>
    <cellStyle name="Normal 2 5 2 5 2 3 4 3" xfId="21539"/>
    <cellStyle name="Normal 2 5 2 5 2 3 5" xfId="6375"/>
    <cellStyle name="Normal 2 5 2 5 2 3 5 2" xfId="15202"/>
    <cellStyle name="Normal 2 5 2 5 2 3 5 3" xfId="25453"/>
    <cellStyle name="Normal 2 5 2 5 2 3 6" xfId="7821"/>
    <cellStyle name="Normal 2 5 2 5 2 3 6 2" xfId="20730"/>
    <cellStyle name="Normal 2 5 2 5 2 3 7" xfId="16532"/>
    <cellStyle name="Normal 2 5 2 5 2 4" xfId="3059"/>
    <cellStyle name="Normal 2 5 2 5 2 4 2" xfId="5437"/>
    <cellStyle name="Normal 2 5 2 5 2 4 2 2" xfId="14276"/>
    <cellStyle name="Normal 2 5 2 5 2 4 2 2 2" xfId="24527"/>
    <cellStyle name="Normal 2 5 2 5 2 4 2 3" xfId="10697"/>
    <cellStyle name="Normal 2 5 2 5 2 4 2 4" xfId="19520"/>
    <cellStyle name="Normal 2 5 2 5 2 4 3" xfId="6894"/>
    <cellStyle name="Normal 2 5 2 5 2 4 3 2" xfId="15721"/>
    <cellStyle name="Normal 2 5 2 5 2 4 3 3" xfId="25972"/>
    <cellStyle name="Normal 2 5 2 5 2 4 4" xfId="8340"/>
    <cellStyle name="Normal 2 5 2 5 2 4 4 2" xfId="22422"/>
    <cellStyle name="Normal 2 5 2 5 2 4 5" xfId="17415"/>
    <cellStyle name="Normal 2 5 2 5 2 5" xfId="4393"/>
    <cellStyle name="Normal 2 5 2 5 2 5 2" xfId="13233"/>
    <cellStyle name="Normal 2 5 2 5 2 5 2 2" xfId="23484"/>
    <cellStyle name="Normal 2 5 2 5 2 5 3" xfId="9654"/>
    <cellStyle name="Normal 2 5 2 5 2 5 4" xfId="18477"/>
    <cellStyle name="Normal 2 5 2 5 2 6" xfId="1665"/>
    <cellStyle name="Normal 2 5 2 5 2 6 2" xfId="11044"/>
    <cellStyle name="Normal 2 5 2 5 2 6 3" xfId="21048"/>
    <cellStyle name="Normal 2 5 2 5 2 7" xfId="5851"/>
    <cellStyle name="Normal 2 5 2 5 2 7 2" xfId="14678"/>
    <cellStyle name="Normal 2 5 2 5 2 7 3" xfId="24929"/>
    <cellStyle name="Normal 2 5 2 5 2 8" xfId="7295"/>
    <cellStyle name="Normal 2 5 2 5 2 8 2" xfId="20021"/>
    <cellStyle name="Normal 2 5 2 5 2 9" xfId="16041"/>
    <cellStyle name="Normal 2 5 2 5 2_Degree data" xfId="3824"/>
    <cellStyle name="Normal 2 5 2 5 3" xfId="367"/>
    <cellStyle name="Normal 2 5 2 5 3 2" xfId="2854"/>
    <cellStyle name="Normal 2 5 2 5 3 2 2" xfId="12144"/>
    <cellStyle name="Normal 2 5 2 5 3 2 2 2" xfId="22217"/>
    <cellStyle name="Normal 2 5 2 5 3 2 3" xfId="8394"/>
    <cellStyle name="Normal 2 5 2 5 3 2 4" xfId="17210"/>
    <cellStyle name="Normal 2 5 2 5 3 3" xfId="4568"/>
    <cellStyle name="Normal 2 5 2 5 3 3 2" xfId="13408"/>
    <cellStyle name="Normal 2 5 2 5 3 3 2 2" xfId="23659"/>
    <cellStyle name="Normal 2 5 2 5 3 3 3" xfId="9829"/>
    <cellStyle name="Normal 2 5 2 5 3 3 4" xfId="18652"/>
    <cellStyle name="Normal 2 5 2 5 3 4" xfId="1963"/>
    <cellStyle name="Normal 2 5 2 5 3 4 2" xfId="11330"/>
    <cellStyle name="Normal 2 5 2 5 3 4 3" xfId="21334"/>
    <cellStyle name="Normal 2 5 2 5 3 5" xfId="6026"/>
    <cellStyle name="Normal 2 5 2 5 3 5 2" xfId="14853"/>
    <cellStyle name="Normal 2 5 2 5 3 5 3" xfId="25104"/>
    <cellStyle name="Normal 2 5 2 5 3 6" xfId="7470"/>
    <cellStyle name="Normal 2 5 2 5 3 6 2" xfId="19816"/>
    <cellStyle name="Normal 2 5 2 5 3 7" xfId="16327"/>
    <cellStyle name="Normal 2 5 2 5 4" xfId="752"/>
    <cellStyle name="Normal 2 5 2 5 4 2" xfId="3239"/>
    <cellStyle name="Normal 2 5 2 5 4 2 2" xfId="12383"/>
    <cellStyle name="Normal 2 5 2 5 4 2 2 2" xfId="22602"/>
    <cellStyle name="Normal 2 5 2 5 4 2 3" xfId="8805"/>
    <cellStyle name="Normal 2 5 2 5 4 2 4" xfId="17595"/>
    <cellStyle name="Normal 2 5 2 5 4 3" xfId="4917"/>
    <cellStyle name="Normal 2 5 2 5 4 3 2" xfId="13756"/>
    <cellStyle name="Normal 2 5 2 5 4 3 2 2" xfId="24007"/>
    <cellStyle name="Normal 2 5 2 5 4 3 3" xfId="10177"/>
    <cellStyle name="Normal 2 5 2 5 4 3 4" xfId="19000"/>
    <cellStyle name="Normal 2 5 2 5 4 4" xfId="2348"/>
    <cellStyle name="Normal 2 5 2 5 4 4 2" xfId="11715"/>
    <cellStyle name="Normal 2 5 2 5 4 4 3" xfId="21719"/>
    <cellStyle name="Normal 2 5 2 5 4 5" xfId="6374"/>
    <cellStyle name="Normal 2 5 2 5 4 5 2" xfId="15201"/>
    <cellStyle name="Normal 2 5 2 5 4 5 3" xfId="25452"/>
    <cellStyle name="Normal 2 5 2 5 4 6" xfId="7820"/>
    <cellStyle name="Normal 2 5 2 5 4 6 2" xfId="20201"/>
    <cellStyle name="Normal 2 5 2 5 4 7" xfId="16712"/>
    <cellStyle name="Normal 2 5 2 5 5" xfId="1139"/>
    <cellStyle name="Normal 2 5 2 5 5 2" xfId="3569"/>
    <cellStyle name="Normal 2 5 2 5 5 2 2" xfId="12707"/>
    <cellStyle name="Normal 2 5 2 5 5 2 2 2" xfId="22926"/>
    <cellStyle name="Normal 2 5 2 5 5 2 3" xfId="9128"/>
    <cellStyle name="Normal 2 5 2 5 5 2 4" xfId="17919"/>
    <cellStyle name="Normal 2 5 2 5 5 3" xfId="5232"/>
    <cellStyle name="Normal 2 5 2 5 5 3 2" xfId="14071"/>
    <cellStyle name="Normal 2 5 2 5 5 3 2 2" xfId="24322"/>
    <cellStyle name="Normal 2 5 2 5 5 3 3" xfId="10492"/>
    <cellStyle name="Normal 2 5 2 5 5 3 4" xfId="19315"/>
    <cellStyle name="Normal 2 5 2 5 5 4" xfId="1848"/>
    <cellStyle name="Normal 2 5 2 5 5 4 2" xfId="11218"/>
    <cellStyle name="Normal 2 5 2 5 5 4 3" xfId="21222"/>
    <cellStyle name="Normal 2 5 2 5 5 5" xfId="6689"/>
    <cellStyle name="Normal 2 5 2 5 5 5 2" xfId="15516"/>
    <cellStyle name="Normal 2 5 2 5 5 5 3" xfId="25767"/>
    <cellStyle name="Normal 2 5 2 5 5 6" xfId="8135"/>
    <cellStyle name="Normal 2 5 2 5 5 6 2" xfId="20525"/>
    <cellStyle name="Normal 2 5 2 5 5 7" xfId="16215"/>
    <cellStyle name="Normal 2 5 2 5 6" xfId="2742"/>
    <cellStyle name="Normal 2 5 2 5 6 2" xfId="12061"/>
    <cellStyle name="Normal 2 5 2 5 6 2 2" xfId="22105"/>
    <cellStyle name="Normal 2 5 2 5 6 3" xfId="8436"/>
    <cellStyle name="Normal 2 5 2 5 6 4" xfId="17098"/>
    <cellStyle name="Normal 2 5 2 5 7" xfId="4188"/>
    <cellStyle name="Normal 2 5 2 5 7 2" xfId="13028"/>
    <cellStyle name="Normal 2 5 2 5 7 2 2" xfId="23279"/>
    <cellStyle name="Normal 2 5 2 5 7 3" xfId="9449"/>
    <cellStyle name="Normal 2 5 2 5 7 4" xfId="18272"/>
    <cellStyle name="Normal 2 5 2 5 8" xfId="1460"/>
    <cellStyle name="Normal 2 5 2 5 8 2" xfId="10839"/>
    <cellStyle name="Normal 2 5 2 5 8 3" xfId="20843"/>
    <cellStyle name="Normal 2 5 2 5 9" xfId="5646"/>
    <cellStyle name="Normal 2 5 2 5 9 2" xfId="14473"/>
    <cellStyle name="Normal 2 5 2 5 9 3" xfId="24724"/>
    <cellStyle name="Normal 2 5 2 5_Degree data" xfId="3915"/>
    <cellStyle name="Normal 2 5 2 6" xfId="467"/>
    <cellStyle name="Normal 2 5 2 6 2" xfId="754"/>
    <cellStyle name="Normal 2 5 2 6 2 2" xfId="3241"/>
    <cellStyle name="Normal 2 5 2 6 2 2 2" xfId="12385"/>
    <cellStyle name="Normal 2 5 2 6 2 2 2 2" xfId="22604"/>
    <cellStyle name="Normal 2 5 2 6 2 2 3" xfId="8807"/>
    <cellStyle name="Normal 2 5 2 6 2 2 4" xfId="17597"/>
    <cellStyle name="Normal 2 5 2 6 2 3" xfId="4570"/>
    <cellStyle name="Normal 2 5 2 6 2 3 2" xfId="13410"/>
    <cellStyle name="Normal 2 5 2 6 2 3 2 2" xfId="23661"/>
    <cellStyle name="Normal 2 5 2 6 2 3 3" xfId="9831"/>
    <cellStyle name="Normal 2 5 2 6 2 3 4" xfId="18654"/>
    <cellStyle name="Normal 2 5 2 6 2 4" xfId="2350"/>
    <cellStyle name="Normal 2 5 2 6 2 4 2" xfId="11717"/>
    <cellStyle name="Normal 2 5 2 6 2 4 3" xfId="21721"/>
    <cellStyle name="Normal 2 5 2 6 2 5" xfId="6028"/>
    <cellStyle name="Normal 2 5 2 6 2 5 2" xfId="14855"/>
    <cellStyle name="Normal 2 5 2 6 2 5 3" xfId="25106"/>
    <cellStyle name="Normal 2 5 2 6 2 6" xfId="7472"/>
    <cellStyle name="Normal 2 5 2 6 2 6 2" xfId="20203"/>
    <cellStyle name="Normal 2 5 2 6 2 7" xfId="16714"/>
    <cellStyle name="Normal 2 5 2 6 3" xfId="1239"/>
    <cellStyle name="Normal 2 5 2 6 3 2" xfId="3669"/>
    <cellStyle name="Normal 2 5 2 6 3 2 2" xfId="12807"/>
    <cellStyle name="Normal 2 5 2 6 3 2 2 2" xfId="23026"/>
    <cellStyle name="Normal 2 5 2 6 3 2 3" xfId="9228"/>
    <cellStyle name="Normal 2 5 2 6 3 2 4" xfId="18019"/>
    <cellStyle name="Normal 2 5 2 6 3 3" xfId="4919"/>
    <cellStyle name="Normal 2 5 2 6 3 3 2" xfId="13758"/>
    <cellStyle name="Normal 2 5 2 6 3 3 2 2" xfId="24009"/>
    <cellStyle name="Normal 2 5 2 6 3 3 3" xfId="10179"/>
    <cellStyle name="Normal 2 5 2 6 3 3 4" xfId="19002"/>
    <cellStyle name="Normal 2 5 2 6 3 4" xfId="2063"/>
    <cellStyle name="Normal 2 5 2 6 3 4 2" xfId="11430"/>
    <cellStyle name="Normal 2 5 2 6 3 4 3" xfId="21434"/>
    <cellStyle name="Normal 2 5 2 6 3 5" xfId="6376"/>
    <cellStyle name="Normal 2 5 2 6 3 5 2" xfId="15203"/>
    <cellStyle name="Normal 2 5 2 6 3 5 3" xfId="25454"/>
    <cellStyle name="Normal 2 5 2 6 3 6" xfId="7822"/>
    <cellStyle name="Normal 2 5 2 6 3 6 2" xfId="20625"/>
    <cellStyle name="Normal 2 5 2 6 3 7" xfId="16427"/>
    <cellStyle name="Normal 2 5 2 6 4" xfId="2954"/>
    <cellStyle name="Normal 2 5 2 6 4 2" xfId="5332"/>
    <cellStyle name="Normal 2 5 2 6 4 2 2" xfId="14171"/>
    <cellStyle name="Normal 2 5 2 6 4 2 2 2" xfId="24422"/>
    <cellStyle name="Normal 2 5 2 6 4 2 3" xfId="10592"/>
    <cellStyle name="Normal 2 5 2 6 4 2 4" xfId="19415"/>
    <cellStyle name="Normal 2 5 2 6 4 3" xfId="6789"/>
    <cellStyle name="Normal 2 5 2 6 4 3 2" xfId="15616"/>
    <cellStyle name="Normal 2 5 2 6 4 3 3" xfId="25867"/>
    <cellStyle name="Normal 2 5 2 6 4 4" xfId="8235"/>
    <cellStyle name="Normal 2 5 2 6 4 4 2" xfId="22317"/>
    <cellStyle name="Normal 2 5 2 6 4 5" xfId="17310"/>
    <cellStyle name="Normal 2 5 2 6 5" xfId="4288"/>
    <cellStyle name="Normal 2 5 2 6 5 2" xfId="13128"/>
    <cellStyle name="Normal 2 5 2 6 5 2 2" xfId="23379"/>
    <cellStyle name="Normal 2 5 2 6 5 3" xfId="9549"/>
    <cellStyle name="Normal 2 5 2 6 5 4" xfId="18372"/>
    <cellStyle name="Normal 2 5 2 6 6" xfId="1560"/>
    <cellStyle name="Normal 2 5 2 6 6 2" xfId="10939"/>
    <cellStyle name="Normal 2 5 2 6 6 3" xfId="20943"/>
    <cellStyle name="Normal 2 5 2 6 7" xfId="5746"/>
    <cellStyle name="Normal 2 5 2 6 7 2" xfId="14573"/>
    <cellStyle name="Normal 2 5 2 6 7 3" xfId="24824"/>
    <cellStyle name="Normal 2 5 2 6 8" xfId="7190"/>
    <cellStyle name="Normal 2 5 2 6 8 2" xfId="19916"/>
    <cellStyle name="Normal 2 5 2 6 9" xfId="15936"/>
    <cellStyle name="Normal 2 5 2 6_Degree data" xfId="3893"/>
    <cellStyle name="Normal 2 5 2 7" xfId="315"/>
    <cellStyle name="Normal 2 5 2 7 2" xfId="755"/>
    <cellStyle name="Normal 2 5 2 7 2 2" xfId="3242"/>
    <cellStyle name="Normal 2 5 2 7 2 2 2" xfId="12386"/>
    <cellStyle name="Normal 2 5 2 7 2 2 2 2" xfId="22605"/>
    <cellStyle name="Normal 2 5 2 7 2 2 3" xfId="8808"/>
    <cellStyle name="Normal 2 5 2 7 2 2 4" xfId="17598"/>
    <cellStyle name="Normal 2 5 2 7 2 3" xfId="4571"/>
    <cellStyle name="Normal 2 5 2 7 2 3 2" xfId="13411"/>
    <cellStyle name="Normal 2 5 2 7 2 3 2 2" xfId="23662"/>
    <cellStyle name="Normal 2 5 2 7 2 3 3" xfId="9832"/>
    <cellStyle name="Normal 2 5 2 7 2 3 4" xfId="18655"/>
    <cellStyle name="Normal 2 5 2 7 2 4" xfId="2351"/>
    <cellStyle name="Normal 2 5 2 7 2 4 2" xfId="11718"/>
    <cellStyle name="Normal 2 5 2 7 2 4 3" xfId="21722"/>
    <cellStyle name="Normal 2 5 2 7 2 5" xfId="6029"/>
    <cellStyle name="Normal 2 5 2 7 2 5 2" xfId="14856"/>
    <cellStyle name="Normal 2 5 2 7 2 5 3" xfId="25107"/>
    <cellStyle name="Normal 2 5 2 7 2 6" xfId="7473"/>
    <cellStyle name="Normal 2 5 2 7 2 6 2" xfId="20204"/>
    <cellStyle name="Normal 2 5 2 7 2 7" xfId="16715"/>
    <cellStyle name="Normal 2 5 2 7 3" xfId="1087"/>
    <cellStyle name="Normal 2 5 2 7 3 2" xfId="3517"/>
    <cellStyle name="Normal 2 5 2 7 3 2 2" xfId="12655"/>
    <cellStyle name="Normal 2 5 2 7 3 2 2 2" xfId="22874"/>
    <cellStyle name="Normal 2 5 2 7 3 2 3" xfId="9077"/>
    <cellStyle name="Normal 2 5 2 7 3 2 4" xfId="17867"/>
    <cellStyle name="Normal 2 5 2 7 3 3" xfId="4920"/>
    <cellStyle name="Normal 2 5 2 7 3 3 2" xfId="13759"/>
    <cellStyle name="Normal 2 5 2 7 3 3 2 2" xfId="24010"/>
    <cellStyle name="Normal 2 5 2 7 3 3 3" xfId="10180"/>
    <cellStyle name="Normal 2 5 2 7 3 3 4" xfId="19003"/>
    <cellStyle name="Normal 2 5 2 7 3 4" xfId="1763"/>
    <cellStyle name="Normal 2 5 2 7 3 4 2" xfId="11136"/>
    <cellStyle name="Normal 2 5 2 7 3 4 3" xfId="21140"/>
    <cellStyle name="Normal 2 5 2 7 3 5" xfId="6377"/>
    <cellStyle name="Normal 2 5 2 7 3 5 2" xfId="15204"/>
    <cellStyle name="Normal 2 5 2 7 3 5 3" xfId="25455"/>
    <cellStyle name="Normal 2 5 2 7 3 6" xfId="7823"/>
    <cellStyle name="Normal 2 5 2 7 3 6 2" xfId="20473"/>
    <cellStyle name="Normal 2 5 2 7 3 7" xfId="16133"/>
    <cellStyle name="Normal 2 5 2 7 4" xfId="2802"/>
    <cellStyle name="Normal 2 5 2 7 4 2" xfId="5180"/>
    <cellStyle name="Normal 2 5 2 7 4 2 2" xfId="14019"/>
    <cellStyle name="Normal 2 5 2 7 4 2 2 2" xfId="24270"/>
    <cellStyle name="Normal 2 5 2 7 4 2 3" xfId="10440"/>
    <cellStyle name="Normal 2 5 2 7 4 2 4" xfId="19263"/>
    <cellStyle name="Normal 2 5 2 7 4 3" xfId="6637"/>
    <cellStyle name="Normal 2 5 2 7 4 3 2" xfId="15464"/>
    <cellStyle name="Normal 2 5 2 7 4 3 3" xfId="25715"/>
    <cellStyle name="Normal 2 5 2 7 4 4" xfId="8083"/>
    <cellStyle name="Normal 2 5 2 7 4 4 2" xfId="22165"/>
    <cellStyle name="Normal 2 5 2 7 4 5" xfId="17158"/>
    <cellStyle name="Normal 2 5 2 7 5" xfId="4134"/>
    <cellStyle name="Normal 2 5 2 7 5 2" xfId="12974"/>
    <cellStyle name="Normal 2 5 2 7 5 2 2" xfId="23225"/>
    <cellStyle name="Normal 2 5 2 7 5 3" xfId="9395"/>
    <cellStyle name="Normal 2 5 2 7 5 4" xfId="18218"/>
    <cellStyle name="Normal 2 5 2 7 6" xfId="1911"/>
    <cellStyle name="Normal 2 5 2 7 6 2" xfId="11278"/>
    <cellStyle name="Normal 2 5 2 7 6 3" xfId="21282"/>
    <cellStyle name="Normal 2 5 2 7 7" xfId="5594"/>
    <cellStyle name="Normal 2 5 2 7 7 2" xfId="14421"/>
    <cellStyle name="Normal 2 5 2 7 7 3" xfId="24672"/>
    <cellStyle name="Normal 2 5 2 7 8" xfId="7038"/>
    <cellStyle name="Normal 2 5 2 7 8 2" xfId="19764"/>
    <cellStyle name="Normal 2 5 2 7 9" xfId="16275"/>
    <cellStyle name="Normal 2 5 2 7_Degree data" xfId="3933"/>
    <cellStyle name="Normal 2 5 2 8" xfId="736"/>
    <cellStyle name="Normal 2 5 2 8 2" xfId="3223"/>
    <cellStyle name="Normal 2 5 2 8 2 2" xfId="12367"/>
    <cellStyle name="Normal 2 5 2 8 2 2 2" xfId="22586"/>
    <cellStyle name="Normal 2 5 2 8 2 3" xfId="8789"/>
    <cellStyle name="Normal 2 5 2 8 2 4" xfId="17579"/>
    <cellStyle name="Normal 2 5 2 8 3" xfId="4552"/>
    <cellStyle name="Normal 2 5 2 8 3 2" xfId="13392"/>
    <cellStyle name="Normal 2 5 2 8 3 2 2" xfId="23643"/>
    <cellStyle name="Normal 2 5 2 8 3 3" xfId="9813"/>
    <cellStyle name="Normal 2 5 2 8 3 4" xfId="18636"/>
    <cellStyle name="Normal 2 5 2 8 4" xfId="2332"/>
    <cellStyle name="Normal 2 5 2 8 4 2" xfId="11699"/>
    <cellStyle name="Normal 2 5 2 8 4 3" xfId="21703"/>
    <cellStyle name="Normal 2 5 2 8 5" xfId="6010"/>
    <cellStyle name="Normal 2 5 2 8 5 2" xfId="14837"/>
    <cellStyle name="Normal 2 5 2 8 5 3" xfId="25088"/>
    <cellStyle name="Normal 2 5 2 8 6" xfId="7454"/>
    <cellStyle name="Normal 2 5 2 8 6 2" xfId="20185"/>
    <cellStyle name="Normal 2 5 2 8 7" xfId="16696"/>
    <cellStyle name="Normal 2 5 2 9" xfId="1055"/>
    <cellStyle name="Normal 2 5 2 9 2" xfId="3485"/>
    <cellStyle name="Normal 2 5 2 9 2 2" xfId="12623"/>
    <cellStyle name="Normal 2 5 2 9 2 2 2" xfId="22842"/>
    <cellStyle name="Normal 2 5 2 9 2 3" xfId="9045"/>
    <cellStyle name="Normal 2 5 2 9 2 4" xfId="17835"/>
    <cellStyle name="Normal 2 5 2 9 3" xfId="4901"/>
    <cellStyle name="Normal 2 5 2 9 3 2" xfId="13740"/>
    <cellStyle name="Normal 2 5 2 9 3 2 2" xfId="23991"/>
    <cellStyle name="Normal 2 5 2 9 3 3" xfId="10161"/>
    <cellStyle name="Normal 2 5 2 9 3 4" xfId="18984"/>
    <cellStyle name="Normal 2 5 2 9 4" xfId="1736"/>
    <cellStyle name="Normal 2 5 2 9 4 2" xfId="11112"/>
    <cellStyle name="Normal 2 5 2 9 4 3" xfId="21116"/>
    <cellStyle name="Normal 2 5 2 9 5" xfId="6358"/>
    <cellStyle name="Normal 2 5 2 9 5 2" xfId="15185"/>
    <cellStyle name="Normal 2 5 2 9 5 3" xfId="25436"/>
    <cellStyle name="Normal 2 5 2 9 6" xfId="7804"/>
    <cellStyle name="Normal 2 5 2 9 6 2" xfId="20441"/>
    <cellStyle name="Normal 2 5 2 9 7" xfId="16109"/>
    <cellStyle name="Normal 2 5 2_Degree data" xfId="3929"/>
    <cellStyle name="Normal 2 5 3" xfId="113"/>
    <cellStyle name="Normal 2 5 3 10" xfId="4106"/>
    <cellStyle name="Normal 2 5 3 10 2" xfId="5566"/>
    <cellStyle name="Normal 2 5 3 10 2 2" xfId="14393"/>
    <cellStyle name="Normal 2 5 3 10 2 3" xfId="24644"/>
    <cellStyle name="Normal 2 5 3 10 3" xfId="7010"/>
    <cellStyle name="Normal 2 5 3 10 3 2" xfId="23197"/>
    <cellStyle name="Normal 2 5 3 10 4" xfId="18190"/>
    <cellStyle name="Normal 2 5 3 11" xfId="1423"/>
    <cellStyle name="Normal 2 5 3 11 2" xfId="10802"/>
    <cellStyle name="Normal 2 5 3 11 3" xfId="20806"/>
    <cellStyle name="Normal 2 5 3 12" xfId="5534"/>
    <cellStyle name="Normal 2 5 3 12 2" xfId="14363"/>
    <cellStyle name="Normal 2 5 3 12 3" xfId="24614"/>
    <cellStyle name="Normal 2 5 3 13" xfId="6977"/>
    <cellStyle name="Normal 2 5 3 13 2" xfId="19591"/>
    <cellStyle name="Normal 2 5 3 14" xfId="15799"/>
    <cellStyle name="Normal 2 5 3 2" xfId="154"/>
    <cellStyle name="Normal 2 5 3 2 10" xfId="5668"/>
    <cellStyle name="Normal 2 5 3 2 10 2" xfId="14495"/>
    <cellStyle name="Normal 2 5 3 2 10 3" xfId="24746"/>
    <cellStyle name="Normal 2 5 3 2 11" xfId="7112"/>
    <cellStyle name="Normal 2 5 3 2 11 2" xfId="19621"/>
    <cellStyle name="Normal 2 5 3 2 12" xfId="15858"/>
    <cellStyle name="Normal 2 5 3 2 2" xfId="270"/>
    <cellStyle name="Normal 2 5 3 2 2 10" xfId="16062"/>
    <cellStyle name="Normal 2 5 3 2 2 2" xfId="593"/>
    <cellStyle name="Normal 2 5 3 2 2 2 2" xfId="3080"/>
    <cellStyle name="Normal 2 5 3 2 2 2 2 2" xfId="12233"/>
    <cellStyle name="Normal 2 5 3 2 2 2 2 2 2" xfId="22443"/>
    <cellStyle name="Normal 2 5 3 2 2 2 2 3" xfId="8655"/>
    <cellStyle name="Normal 2 5 3 2 2 2 2 4" xfId="17436"/>
    <cellStyle name="Normal 2 5 3 2 2 2 3" xfId="4574"/>
    <cellStyle name="Normal 2 5 3 2 2 2 3 2" xfId="13414"/>
    <cellStyle name="Normal 2 5 3 2 2 2 3 2 2" xfId="23665"/>
    <cellStyle name="Normal 2 5 3 2 2 2 3 3" xfId="9835"/>
    <cellStyle name="Normal 2 5 3 2 2 2 3 4" xfId="18658"/>
    <cellStyle name="Normal 2 5 3 2 2 2 4" xfId="2189"/>
    <cellStyle name="Normal 2 5 3 2 2 2 4 2" xfId="11556"/>
    <cellStyle name="Normal 2 5 3 2 2 2 4 3" xfId="21560"/>
    <cellStyle name="Normal 2 5 3 2 2 2 5" xfId="6032"/>
    <cellStyle name="Normal 2 5 3 2 2 2 5 2" xfId="14859"/>
    <cellStyle name="Normal 2 5 3 2 2 2 5 3" xfId="25110"/>
    <cellStyle name="Normal 2 5 3 2 2 2 6" xfId="7476"/>
    <cellStyle name="Normal 2 5 3 2 2 2 6 2" xfId="20042"/>
    <cellStyle name="Normal 2 5 3 2 2 2 7" xfId="16553"/>
    <cellStyle name="Normal 2 5 3 2 2 3" xfId="758"/>
    <cellStyle name="Normal 2 5 3 2 2 3 2" xfId="3245"/>
    <cellStyle name="Normal 2 5 3 2 2 3 2 2" xfId="12389"/>
    <cellStyle name="Normal 2 5 3 2 2 3 2 2 2" xfId="22608"/>
    <cellStyle name="Normal 2 5 3 2 2 3 2 3" xfId="8811"/>
    <cellStyle name="Normal 2 5 3 2 2 3 2 4" xfId="17601"/>
    <cellStyle name="Normal 2 5 3 2 2 3 3" xfId="4923"/>
    <cellStyle name="Normal 2 5 3 2 2 3 3 2" xfId="13762"/>
    <cellStyle name="Normal 2 5 3 2 2 3 3 2 2" xfId="24013"/>
    <cellStyle name="Normal 2 5 3 2 2 3 3 3" xfId="10183"/>
    <cellStyle name="Normal 2 5 3 2 2 3 3 4" xfId="19006"/>
    <cellStyle name="Normal 2 5 3 2 2 3 4" xfId="2354"/>
    <cellStyle name="Normal 2 5 3 2 2 3 4 2" xfId="11721"/>
    <cellStyle name="Normal 2 5 3 2 2 3 4 3" xfId="21725"/>
    <cellStyle name="Normal 2 5 3 2 2 3 5" xfId="6380"/>
    <cellStyle name="Normal 2 5 3 2 2 3 5 2" xfId="15207"/>
    <cellStyle name="Normal 2 5 3 2 2 3 5 3" xfId="25458"/>
    <cellStyle name="Normal 2 5 3 2 2 3 6" xfId="7826"/>
    <cellStyle name="Normal 2 5 3 2 2 3 6 2" xfId="20207"/>
    <cellStyle name="Normal 2 5 3 2 2 3 7" xfId="16718"/>
    <cellStyle name="Normal 2 5 3 2 2 4" xfId="1365"/>
    <cellStyle name="Normal 2 5 3 2 2 4 2" xfId="3795"/>
    <cellStyle name="Normal 2 5 3 2 2 4 2 2" xfId="12933"/>
    <cellStyle name="Normal 2 5 3 2 2 4 2 2 2" xfId="23152"/>
    <cellStyle name="Normal 2 5 3 2 2 4 2 3" xfId="9354"/>
    <cellStyle name="Normal 2 5 3 2 2 4 2 4" xfId="18145"/>
    <cellStyle name="Normal 2 5 3 2 2 4 3" xfId="5458"/>
    <cellStyle name="Normal 2 5 3 2 2 4 3 2" xfId="14297"/>
    <cellStyle name="Normal 2 5 3 2 2 4 3 2 2" xfId="24548"/>
    <cellStyle name="Normal 2 5 3 2 2 4 3 3" xfId="10718"/>
    <cellStyle name="Normal 2 5 3 2 2 4 3 4" xfId="19541"/>
    <cellStyle name="Normal 2 5 3 2 2 4 4" xfId="1869"/>
    <cellStyle name="Normal 2 5 3 2 2 4 4 2" xfId="11239"/>
    <cellStyle name="Normal 2 5 3 2 2 4 4 3" xfId="21243"/>
    <cellStyle name="Normal 2 5 3 2 2 4 5" xfId="6915"/>
    <cellStyle name="Normal 2 5 3 2 2 4 5 2" xfId="15742"/>
    <cellStyle name="Normal 2 5 3 2 2 4 5 3" xfId="25993"/>
    <cellStyle name="Normal 2 5 3 2 2 4 6" xfId="8361"/>
    <cellStyle name="Normal 2 5 3 2 2 4 6 2" xfId="20751"/>
    <cellStyle name="Normal 2 5 3 2 2 4 7" xfId="16236"/>
    <cellStyle name="Normal 2 5 3 2 2 5" xfId="2763"/>
    <cellStyle name="Normal 2 5 3 2 2 5 2" xfId="12082"/>
    <cellStyle name="Normal 2 5 3 2 2 5 2 2" xfId="22126"/>
    <cellStyle name="Normal 2 5 3 2 2 5 3" xfId="8399"/>
    <cellStyle name="Normal 2 5 3 2 2 5 4" xfId="17119"/>
    <cellStyle name="Normal 2 5 3 2 2 6" xfId="4414"/>
    <cellStyle name="Normal 2 5 3 2 2 6 2" xfId="13254"/>
    <cellStyle name="Normal 2 5 3 2 2 6 2 2" xfId="23505"/>
    <cellStyle name="Normal 2 5 3 2 2 6 3" xfId="9675"/>
    <cellStyle name="Normal 2 5 3 2 2 6 4" xfId="18498"/>
    <cellStyle name="Normal 2 5 3 2 2 7" xfId="1686"/>
    <cellStyle name="Normal 2 5 3 2 2 7 2" xfId="11065"/>
    <cellStyle name="Normal 2 5 3 2 2 7 3" xfId="21069"/>
    <cellStyle name="Normal 2 5 3 2 2 8" xfId="5872"/>
    <cellStyle name="Normal 2 5 3 2 2 8 2" xfId="14699"/>
    <cellStyle name="Normal 2 5 3 2 2 8 3" xfId="24950"/>
    <cellStyle name="Normal 2 5 3 2 2 9" xfId="7316"/>
    <cellStyle name="Normal 2 5 3 2 2 9 2" xfId="19725"/>
    <cellStyle name="Normal 2 5 3 2 2_Degree data" xfId="3921"/>
    <cellStyle name="Normal 2 5 3 2 3" xfId="489"/>
    <cellStyle name="Normal 2 5 3 2 3 2" xfId="759"/>
    <cellStyle name="Normal 2 5 3 2 3 2 2" xfId="3246"/>
    <cellStyle name="Normal 2 5 3 2 3 2 2 2" xfId="12390"/>
    <cellStyle name="Normal 2 5 3 2 3 2 2 2 2" xfId="22609"/>
    <cellStyle name="Normal 2 5 3 2 3 2 2 3" xfId="8812"/>
    <cellStyle name="Normal 2 5 3 2 3 2 2 4" xfId="17602"/>
    <cellStyle name="Normal 2 5 3 2 3 2 3" xfId="4575"/>
    <cellStyle name="Normal 2 5 3 2 3 2 3 2" xfId="13415"/>
    <cellStyle name="Normal 2 5 3 2 3 2 3 2 2" xfId="23666"/>
    <cellStyle name="Normal 2 5 3 2 3 2 3 3" xfId="9836"/>
    <cellStyle name="Normal 2 5 3 2 3 2 3 4" xfId="18659"/>
    <cellStyle name="Normal 2 5 3 2 3 2 4" xfId="2355"/>
    <cellStyle name="Normal 2 5 3 2 3 2 4 2" xfId="11722"/>
    <cellStyle name="Normal 2 5 3 2 3 2 4 3" xfId="21726"/>
    <cellStyle name="Normal 2 5 3 2 3 2 5" xfId="6033"/>
    <cellStyle name="Normal 2 5 3 2 3 2 5 2" xfId="14860"/>
    <cellStyle name="Normal 2 5 3 2 3 2 5 3" xfId="25111"/>
    <cellStyle name="Normal 2 5 3 2 3 2 6" xfId="7477"/>
    <cellStyle name="Normal 2 5 3 2 3 2 6 2" xfId="20208"/>
    <cellStyle name="Normal 2 5 3 2 3 2 7" xfId="16719"/>
    <cellStyle name="Normal 2 5 3 2 3 3" xfId="1261"/>
    <cellStyle name="Normal 2 5 3 2 3 3 2" xfId="3691"/>
    <cellStyle name="Normal 2 5 3 2 3 3 2 2" xfId="12829"/>
    <cellStyle name="Normal 2 5 3 2 3 3 2 2 2" xfId="23048"/>
    <cellStyle name="Normal 2 5 3 2 3 3 2 3" xfId="9250"/>
    <cellStyle name="Normal 2 5 3 2 3 3 2 4" xfId="18041"/>
    <cellStyle name="Normal 2 5 3 2 3 3 3" xfId="4924"/>
    <cellStyle name="Normal 2 5 3 2 3 3 3 2" xfId="13763"/>
    <cellStyle name="Normal 2 5 3 2 3 3 3 2 2" xfId="24014"/>
    <cellStyle name="Normal 2 5 3 2 3 3 3 3" xfId="10184"/>
    <cellStyle name="Normal 2 5 3 2 3 3 3 4" xfId="19007"/>
    <cellStyle name="Normal 2 5 3 2 3 3 4" xfId="2085"/>
    <cellStyle name="Normal 2 5 3 2 3 3 4 2" xfId="11452"/>
    <cellStyle name="Normal 2 5 3 2 3 3 4 3" xfId="21456"/>
    <cellStyle name="Normal 2 5 3 2 3 3 5" xfId="6381"/>
    <cellStyle name="Normal 2 5 3 2 3 3 5 2" xfId="15208"/>
    <cellStyle name="Normal 2 5 3 2 3 3 5 3" xfId="25459"/>
    <cellStyle name="Normal 2 5 3 2 3 3 6" xfId="7827"/>
    <cellStyle name="Normal 2 5 3 2 3 3 6 2" xfId="20647"/>
    <cellStyle name="Normal 2 5 3 2 3 3 7" xfId="16449"/>
    <cellStyle name="Normal 2 5 3 2 3 4" xfId="2976"/>
    <cellStyle name="Normal 2 5 3 2 3 4 2" xfId="5354"/>
    <cellStyle name="Normal 2 5 3 2 3 4 2 2" xfId="14193"/>
    <cellStyle name="Normal 2 5 3 2 3 4 2 2 2" xfId="24444"/>
    <cellStyle name="Normal 2 5 3 2 3 4 2 3" xfId="10614"/>
    <cellStyle name="Normal 2 5 3 2 3 4 2 4" xfId="19437"/>
    <cellStyle name="Normal 2 5 3 2 3 4 3" xfId="6811"/>
    <cellStyle name="Normal 2 5 3 2 3 4 3 2" xfId="15638"/>
    <cellStyle name="Normal 2 5 3 2 3 4 3 3" xfId="25889"/>
    <cellStyle name="Normal 2 5 3 2 3 4 4" xfId="8257"/>
    <cellStyle name="Normal 2 5 3 2 3 4 4 2" xfId="22339"/>
    <cellStyle name="Normal 2 5 3 2 3 4 5" xfId="17332"/>
    <cellStyle name="Normal 2 5 3 2 3 5" xfId="4310"/>
    <cellStyle name="Normal 2 5 3 2 3 5 2" xfId="13150"/>
    <cellStyle name="Normal 2 5 3 2 3 5 2 2" xfId="23401"/>
    <cellStyle name="Normal 2 5 3 2 3 5 3" xfId="9571"/>
    <cellStyle name="Normal 2 5 3 2 3 5 4" xfId="18394"/>
    <cellStyle name="Normal 2 5 3 2 3 6" xfId="1582"/>
    <cellStyle name="Normal 2 5 3 2 3 6 2" xfId="10961"/>
    <cellStyle name="Normal 2 5 3 2 3 6 3" xfId="20965"/>
    <cellStyle name="Normal 2 5 3 2 3 7" xfId="5768"/>
    <cellStyle name="Normal 2 5 3 2 3 7 2" xfId="14595"/>
    <cellStyle name="Normal 2 5 3 2 3 7 3" xfId="24846"/>
    <cellStyle name="Normal 2 5 3 2 3 8" xfId="7212"/>
    <cellStyle name="Normal 2 5 3 2 3 8 2" xfId="19938"/>
    <cellStyle name="Normal 2 5 3 2 3 9" xfId="15958"/>
    <cellStyle name="Normal 2 5 3 2 3_Degree data" xfId="3862"/>
    <cellStyle name="Normal 2 5 3 2 4" xfId="389"/>
    <cellStyle name="Normal 2 5 3 2 4 2" xfId="2876"/>
    <cellStyle name="Normal 2 5 3 2 4 2 2" xfId="12166"/>
    <cellStyle name="Normal 2 5 3 2 4 2 2 2" xfId="22239"/>
    <cellStyle name="Normal 2 5 3 2 4 2 3" xfId="8532"/>
    <cellStyle name="Normal 2 5 3 2 4 2 4" xfId="17232"/>
    <cellStyle name="Normal 2 5 3 2 4 3" xfId="4573"/>
    <cellStyle name="Normal 2 5 3 2 4 3 2" xfId="13413"/>
    <cellStyle name="Normal 2 5 3 2 4 3 2 2" xfId="23664"/>
    <cellStyle name="Normal 2 5 3 2 4 3 3" xfId="9834"/>
    <cellStyle name="Normal 2 5 3 2 4 3 4" xfId="18657"/>
    <cellStyle name="Normal 2 5 3 2 4 4" xfId="1985"/>
    <cellStyle name="Normal 2 5 3 2 4 4 2" xfId="11352"/>
    <cellStyle name="Normal 2 5 3 2 4 4 3" xfId="21356"/>
    <cellStyle name="Normal 2 5 3 2 4 5" xfId="6031"/>
    <cellStyle name="Normal 2 5 3 2 4 5 2" xfId="14858"/>
    <cellStyle name="Normal 2 5 3 2 4 5 3" xfId="25109"/>
    <cellStyle name="Normal 2 5 3 2 4 6" xfId="7475"/>
    <cellStyle name="Normal 2 5 3 2 4 6 2" xfId="19838"/>
    <cellStyle name="Normal 2 5 3 2 4 7" xfId="16349"/>
    <cellStyle name="Normal 2 5 3 2 5" xfId="757"/>
    <cellStyle name="Normal 2 5 3 2 5 2" xfId="3244"/>
    <cellStyle name="Normal 2 5 3 2 5 2 2" xfId="12388"/>
    <cellStyle name="Normal 2 5 3 2 5 2 2 2" xfId="22607"/>
    <cellStyle name="Normal 2 5 3 2 5 2 3" xfId="8810"/>
    <cellStyle name="Normal 2 5 3 2 5 2 4" xfId="17600"/>
    <cellStyle name="Normal 2 5 3 2 5 3" xfId="4922"/>
    <cellStyle name="Normal 2 5 3 2 5 3 2" xfId="13761"/>
    <cellStyle name="Normal 2 5 3 2 5 3 2 2" xfId="24012"/>
    <cellStyle name="Normal 2 5 3 2 5 3 3" xfId="10182"/>
    <cellStyle name="Normal 2 5 3 2 5 3 4" xfId="19005"/>
    <cellStyle name="Normal 2 5 3 2 5 4" xfId="2353"/>
    <cellStyle name="Normal 2 5 3 2 5 4 2" xfId="11720"/>
    <cellStyle name="Normal 2 5 3 2 5 4 3" xfId="21724"/>
    <cellStyle name="Normal 2 5 3 2 5 5" xfId="6379"/>
    <cellStyle name="Normal 2 5 3 2 5 5 2" xfId="15206"/>
    <cellStyle name="Normal 2 5 3 2 5 5 3" xfId="25457"/>
    <cellStyle name="Normal 2 5 3 2 5 6" xfId="7825"/>
    <cellStyle name="Normal 2 5 3 2 5 6 2" xfId="20206"/>
    <cellStyle name="Normal 2 5 3 2 5 7" xfId="16717"/>
    <cellStyle name="Normal 2 5 3 2 6" xfId="1161"/>
    <cellStyle name="Normal 2 5 3 2 6 2" xfId="3591"/>
    <cellStyle name="Normal 2 5 3 2 6 2 2" xfId="12729"/>
    <cellStyle name="Normal 2 5 3 2 6 2 2 2" xfId="22948"/>
    <cellStyle name="Normal 2 5 3 2 6 2 3" xfId="9150"/>
    <cellStyle name="Normal 2 5 3 2 6 2 4" xfId="17941"/>
    <cellStyle name="Normal 2 5 3 2 6 3" xfId="5254"/>
    <cellStyle name="Normal 2 5 3 2 6 3 2" xfId="14093"/>
    <cellStyle name="Normal 2 5 3 2 6 3 2 2" xfId="24344"/>
    <cellStyle name="Normal 2 5 3 2 6 3 3" xfId="10514"/>
    <cellStyle name="Normal 2 5 3 2 6 3 4" xfId="19337"/>
    <cellStyle name="Normal 2 5 3 2 6 4" xfId="1761"/>
    <cellStyle name="Normal 2 5 3 2 6 4 2" xfId="11134"/>
    <cellStyle name="Normal 2 5 3 2 6 4 3" xfId="21138"/>
    <cellStyle name="Normal 2 5 3 2 6 5" xfId="6711"/>
    <cellStyle name="Normal 2 5 3 2 6 5 2" xfId="15538"/>
    <cellStyle name="Normal 2 5 3 2 6 5 3" xfId="25789"/>
    <cellStyle name="Normal 2 5 3 2 6 6" xfId="8157"/>
    <cellStyle name="Normal 2 5 3 2 6 6 2" xfId="20547"/>
    <cellStyle name="Normal 2 5 3 2 6 7" xfId="16131"/>
    <cellStyle name="Normal 2 5 3 2 7" xfId="2659"/>
    <cellStyle name="Normal 2 5 3 2 7 2" xfId="11983"/>
    <cellStyle name="Normal 2 5 3 2 7 2 2" xfId="22022"/>
    <cellStyle name="Normal 2 5 3 2 7 3" xfId="8573"/>
    <cellStyle name="Normal 2 5 3 2 7 4" xfId="17015"/>
    <cellStyle name="Normal 2 5 3 2 8" xfId="4210"/>
    <cellStyle name="Normal 2 5 3 2 8 2" xfId="13050"/>
    <cellStyle name="Normal 2 5 3 2 8 2 2" xfId="23301"/>
    <cellStyle name="Normal 2 5 3 2 8 3" xfId="9471"/>
    <cellStyle name="Normal 2 5 3 2 8 4" xfId="18294"/>
    <cellStyle name="Normal 2 5 3 2 9" xfId="1482"/>
    <cellStyle name="Normal 2 5 3 2 9 2" xfId="10861"/>
    <cellStyle name="Normal 2 5 3 2 9 3" xfId="20865"/>
    <cellStyle name="Normal 2 5 3 2_Degree data" xfId="3897"/>
    <cellStyle name="Normal 2 5 3 3" xfId="204"/>
    <cellStyle name="Normal 2 5 3 3 10" xfId="7155"/>
    <cellStyle name="Normal 2 5 3 3 10 2" xfId="19664"/>
    <cellStyle name="Normal 2 5 3 3 11" xfId="15901"/>
    <cellStyle name="Normal 2 5 3 3 2" xfId="532"/>
    <cellStyle name="Normal 2 5 3 3 2 2" xfId="761"/>
    <cellStyle name="Normal 2 5 3 3 2 2 2" xfId="3248"/>
    <cellStyle name="Normal 2 5 3 3 2 2 2 2" xfId="12392"/>
    <cellStyle name="Normal 2 5 3 3 2 2 2 2 2" xfId="22611"/>
    <cellStyle name="Normal 2 5 3 3 2 2 2 3" xfId="8814"/>
    <cellStyle name="Normal 2 5 3 3 2 2 2 4" xfId="17604"/>
    <cellStyle name="Normal 2 5 3 3 2 2 3" xfId="4577"/>
    <cellStyle name="Normal 2 5 3 3 2 2 3 2" xfId="13417"/>
    <cellStyle name="Normal 2 5 3 3 2 2 3 2 2" xfId="23668"/>
    <cellStyle name="Normal 2 5 3 3 2 2 3 3" xfId="9838"/>
    <cellStyle name="Normal 2 5 3 3 2 2 3 4" xfId="18661"/>
    <cellStyle name="Normal 2 5 3 3 2 2 4" xfId="2357"/>
    <cellStyle name="Normal 2 5 3 3 2 2 4 2" xfId="11724"/>
    <cellStyle name="Normal 2 5 3 3 2 2 4 3" xfId="21728"/>
    <cellStyle name="Normal 2 5 3 3 2 2 5" xfId="6035"/>
    <cellStyle name="Normal 2 5 3 3 2 2 5 2" xfId="14862"/>
    <cellStyle name="Normal 2 5 3 3 2 2 5 3" xfId="25113"/>
    <cellStyle name="Normal 2 5 3 3 2 2 6" xfId="7479"/>
    <cellStyle name="Normal 2 5 3 3 2 2 6 2" xfId="20210"/>
    <cellStyle name="Normal 2 5 3 3 2 2 7" xfId="16721"/>
    <cellStyle name="Normal 2 5 3 3 2 3" xfId="1304"/>
    <cellStyle name="Normal 2 5 3 3 2 3 2" xfId="3734"/>
    <cellStyle name="Normal 2 5 3 3 2 3 2 2" xfId="12872"/>
    <cellStyle name="Normal 2 5 3 3 2 3 2 2 2" xfId="23091"/>
    <cellStyle name="Normal 2 5 3 3 2 3 2 3" xfId="9293"/>
    <cellStyle name="Normal 2 5 3 3 2 3 2 4" xfId="18084"/>
    <cellStyle name="Normal 2 5 3 3 2 3 3" xfId="4926"/>
    <cellStyle name="Normal 2 5 3 3 2 3 3 2" xfId="13765"/>
    <cellStyle name="Normal 2 5 3 3 2 3 3 2 2" xfId="24016"/>
    <cellStyle name="Normal 2 5 3 3 2 3 3 3" xfId="10186"/>
    <cellStyle name="Normal 2 5 3 3 2 3 3 4" xfId="19009"/>
    <cellStyle name="Normal 2 5 3 3 2 3 4" xfId="2128"/>
    <cellStyle name="Normal 2 5 3 3 2 3 4 2" xfId="11495"/>
    <cellStyle name="Normal 2 5 3 3 2 3 4 3" xfId="21499"/>
    <cellStyle name="Normal 2 5 3 3 2 3 5" xfId="6383"/>
    <cellStyle name="Normal 2 5 3 3 2 3 5 2" xfId="15210"/>
    <cellStyle name="Normal 2 5 3 3 2 3 5 3" xfId="25461"/>
    <cellStyle name="Normal 2 5 3 3 2 3 6" xfId="7829"/>
    <cellStyle name="Normal 2 5 3 3 2 3 6 2" xfId="20690"/>
    <cellStyle name="Normal 2 5 3 3 2 3 7" xfId="16492"/>
    <cellStyle name="Normal 2 5 3 3 2 4" xfId="3019"/>
    <cellStyle name="Normal 2 5 3 3 2 4 2" xfId="5397"/>
    <cellStyle name="Normal 2 5 3 3 2 4 2 2" xfId="14236"/>
    <cellStyle name="Normal 2 5 3 3 2 4 2 2 2" xfId="24487"/>
    <cellStyle name="Normal 2 5 3 3 2 4 2 3" xfId="10657"/>
    <cellStyle name="Normal 2 5 3 3 2 4 2 4" xfId="19480"/>
    <cellStyle name="Normal 2 5 3 3 2 4 3" xfId="6854"/>
    <cellStyle name="Normal 2 5 3 3 2 4 3 2" xfId="15681"/>
    <cellStyle name="Normal 2 5 3 3 2 4 3 3" xfId="25932"/>
    <cellStyle name="Normal 2 5 3 3 2 4 4" xfId="8300"/>
    <cellStyle name="Normal 2 5 3 3 2 4 4 2" xfId="22382"/>
    <cellStyle name="Normal 2 5 3 3 2 4 5" xfId="17375"/>
    <cellStyle name="Normal 2 5 3 3 2 5" xfId="4353"/>
    <cellStyle name="Normal 2 5 3 3 2 5 2" xfId="13193"/>
    <cellStyle name="Normal 2 5 3 3 2 5 2 2" xfId="23444"/>
    <cellStyle name="Normal 2 5 3 3 2 5 3" xfId="9614"/>
    <cellStyle name="Normal 2 5 3 3 2 5 4" xfId="18437"/>
    <cellStyle name="Normal 2 5 3 3 2 6" xfId="1625"/>
    <cellStyle name="Normal 2 5 3 3 2 6 2" xfId="11004"/>
    <cellStyle name="Normal 2 5 3 3 2 6 3" xfId="21008"/>
    <cellStyle name="Normal 2 5 3 3 2 7" xfId="5811"/>
    <cellStyle name="Normal 2 5 3 3 2 7 2" xfId="14638"/>
    <cellStyle name="Normal 2 5 3 3 2 7 3" xfId="24889"/>
    <cellStyle name="Normal 2 5 3 3 2 8" xfId="7255"/>
    <cellStyle name="Normal 2 5 3 3 2 8 2" xfId="19981"/>
    <cellStyle name="Normal 2 5 3 3 2 9" xfId="16001"/>
    <cellStyle name="Normal 2 5 3 3 2_Degree data" xfId="3903"/>
    <cellStyle name="Normal 2 5 3 3 3" xfId="432"/>
    <cellStyle name="Normal 2 5 3 3 3 2" xfId="2919"/>
    <cellStyle name="Normal 2 5 3 3 3 2 2" xfId="12209"/>
    <cellStyle name="Normal 2 5 3 3 3 2 2 2" xfId="22282"/>
    <cellStyle name="Normal 2 5 3 3 3 2 3" xfId="8459"/>
    <cellStyle name="Normal 2 5 3 3 3 2 4" xfId="17275"/>
    <cellStyle name="Normal 2 5 3 3 3 3" xfId="4576"/>
    <cellStyle name="Normal 2 5 3 3 3 3 2" xfId="13416"/>
    <cellStyle name="Normal 2 5 3 3 3 3 2 2" xfId="23667"/>
    <cellStyle name="Normal 2 5 3 3 3 3 3" xfId="9837"/>
    <cellStyle name="Normal 2 5 3 3 3 3 4" xfId="18660"/>
    <cellStyle name="Normal 2 5 3 3 3 4" xfId="2028"/>
    <cellStyle name="Normal 2 5 3 3 3 4 2" xfId="11395"/>
    <cellStyle name="Normal 2 5 3 3 3 4 3" xfId="21399"/>
    <cellStyle name="Normal 2 5 3 3 3 5" xfId="6034"/>
    <cellStyle name="Normal 2 5 3 3 3 5 2" xfId="14861"/>
    <cellStyle name="Normal 2 5 3 3 3 5 3" xfId="25112"/>
    <cellStyle name="Normal 2 5 3 3 3 6" xfId="7478"/>
    <cellStyle name="Normal 2 5 3 3 3 6 2" xfId="19881"/>
    <cellStyle name="Normal 2 5 3 3 3 7" xfId="16392"/>
    <cellStyle name="Normal 2 5 3 3 4" xfId="760"/>
    <cellStyle name="Normal 2 5 3 3 4 2" xfId="3247"/>
    <cellStyle name="Normal 2 5 3 3 4 2 2" xfId="12391"/>
    <cellStyle name="Normal 2 5 3 3 4 2 2 2" xfId="22610"/>
    <cellStyle name="Normal 2 5 3 3 4 2 3" xfId="8813"/>
    <cellStyle name="Normal 2 5 3 3 4 2 4" xfId="17603"/>
    <cellStyle name="Normal 2 5 3 3 4 3" xfId="4925"/>
    <cellStyle name="Normal 2 5 3 3 4 3 2" xfId="13764"/>
    <cellStyle name="Normal 2 5 3 3 4 3 2 2" xfId="24015"/>
    <cellStyle name="Normal 2 5 3 3 4 3 3" xfId="10185"/>
    <cellStyle name="Normal 2 5 3 3 4 3 4" xfId="19008"/>
    <cellStyle name="Normal 2 5 3 3 4 4" xfId="2356"/>
    <cellStyle name="Normal 2 5 3 3 4 4 2" xfId="11723"/>
    <cellStyle name="Normal 2 5 3 3 4 4 3" xfId="21727"/>
    <cellStyle name="Normal 2 5 3 3 4 5" xfId="6382"/>
    <cellStyle name="Normal 2 5 3 3 4 5 2" xfId="15209"/>
    <cellStyle name="Normal 2 5 3 3 4 5 3" xfId="25460"/>
    <cellStyle name="Normal 2 5 3 3 4 6" xfId="7828"/>
    <cellStyle name="Normal 2 5 3 3 4 6 2" xfId="20209"/>
    <cellStyle name="Normal 2 5 3 3 4 7" xfId="16720"/>
    <cellStyle name="Normal 2 5 3 3 5" xfId="1204"/>
    <cellStyle name="Normal 2 5 3 3 5 2" xfId="3634"/>
    <cellStyle name="Normal 2 5 3 3 5 2 2" xfId="12772"/>
    <cellStyle name="Normal 2 5 3 3 5 2 2 2" xfId="22991"/>
    <cellStyle name="Normal 2 5 3 3 5 2 3" xfId="9193"/>
    <cellStyle name="Normal 2 5 3 3 5 2 4" xfId="17984"/>
    <cellStyle name="Normal 2 5 3 3 5 3" xfId="5297"/>
    <cellStyle name="Normal 2 5 3 3 5 3 2" xfId="14136"/>
    <cellStyle name="Normal 2 5 3 3 5 3 2 2" xfId="24387"/>
    <cellStyle name="Normal 2 5 3 3 5 3 3" xfId="10557"/>
    <cellStyle name="Normal 2 5 3 3 5 3 4" xfId="19380"/>
    <cellStyle name="Normal 2 5 3 3 5 4" xfId="1807"/>
    <cellStyle name="Normal 2 5 3 3 5 4 2" xfId="11178"/>
    <cellStyle name="Normal 2 5 3 3 5 4 3" xfId="21182"/>
    <cellStyle name="Normal 2 5 3 3 5 5" xfId="6754"/>
    <cellStyle name="Normal 2 5 3 3 5 5 2" xfId="15581"/>
    <cellStyle name="Normal 2 5 3 3 5 5 3" xfId="25832"/>
    <cellStyle name="Normal 2 5 3 3 5 6" xfId="8200"/>
    <cellStyle name="Normal 2 5 3 3 5 6 2" xfId="20590"/>
    <cellStyle name="Normal 2 5 3 3 5 7" xfId="16175"/>
    <cellStyle name="Normal 2 5 3 3 6" xfId="2702"/>
    <cellStyle name="Normal 2 5 3 3 6 2" xfId="12021"/>
    <cellStyle name="Normal 2 5 3 3 6 2 2" xfId="22065"/>
    <cellStyle name="Normal 2 5 3 3 6 3" xfId="8584"/>
    <cellStyle name="Normal 2 5 3 3 6 4" xfId="17058"/>
    <cellStyle name="Normal 2 5 3 3 7" xfId="4253"/>
    <cellStyle name="Normal 2 5 3 3 7 2" xfId="13093"/>
    <cellStyle name="Normal 2 5 3 3 7 2 2" xfId="23344"/>
    <cellStyle name="Normal 2 5 3 3 7 3" xfId="9514"/>
    <cellStyle name="Normal 2 5 3 3 7 4" xfId="18337"/>
    <cellStyle name="Normal 2 5 3 3 8" xfId="1525"/>
    <cellStyle name="Normal 2 5 3 3 8 2" xfId="10904"/>
    <cellStyle name="Normal 2 5 3 3 8 3" xfId="20908"/>
    <cellStyle name="Normal 2 5 3 3 9" xfId="5711"/>
    <cellStyle name="Normal 2 5 3 3 9 2" xfId="14538"/>
    <cellStyle name="Normal 2 5 3 3 9 3" xfId="24789"/>
    <cellStyle name="Normal 2 5 3 3_Degree data" xfId="3866"/>
    <cellStyle name="Normal 2 5 3 4" xfId="241"/>
    <cellStyle name="Normal 2 5 3 4 10" xfId="7082"/>
    <cellStyle name="Normal 2 5 3 4 10 2" xfId="19696"/>
    <cellStyle name="Normal 2 5 3 4 11" xfId="15828"/>
    <cellStyle name="Normal 2 5 3 4 2" xfId="564"/>
    <cellStyle name="Normal 2 5 3 4 2 2" xfId="763"/>
    <cellStyle name="Normal 2 5 3 4 2 2 2" xfId="3250"/>
    <cellStyle name="Normal 2 5 3 4 2 2 2 2" xfId="12394"/>
    <cellStyle name="Normal 2 5 3 4 2 2 2 2 2" xfId="22613"/>
    <cellStyle name="Normal 2 5 3 4 2 2 2 3" xfId="8816"/>
    <cellStyle name="Normal 2 5 3 4 2 2 2 4" xfId="17606"/>
    <cellStyle name="Normal 2 5 3 4 2 2 3" xfId="4579"/>
    <cellStyle name="Normal 2 5 3 4 2 2 3 2" xfId="13419"/>
    <cellStyle name="Normal 2 5 3 4 2 2 3 2 2" xfId="23670"/>
    <cellStyle name="Normal 2 5 3 4 2 2 3 3" xfId="9840"/>
    <cellStyle name="Normal 2 5 3 4 2 2 3 4" xfId="18663"/>
    <cellStyle name="Normal 2 5 3 4 2 2 4" xfId="2359"/>
    <cellStyle name="Normal 2 5 3 4 2 2 4 2" xfId="11726"/>
    <cellStyle name="Normal 2 5 3 4 2 2 4 3" xfId="21730"/>
    <cellStyle name="Normal 2 5 3 4 2 2 5" xfId="6037"/>
    <cellStyle name="Normal 2 5 3 4 2 2 5 2" xfId="14864"/>
    <cellStyle name="Normal 2 5 3 4 2 2 5 3" xfId="25115"/>
    <cellStyle name="Normal 2 5 3 4 2 2 6" xfId="7481"/>
    <cellStyle name="Normal 2 5 3 4 2 2 6 2" xfId="20212"/>
    <cellStyle name="Normal 2 5 3 4 2 2 7" xfId="16723"/>
    <cellStyle name="Normal 2 5 3 4 2 3" xfId="1336"/>
    <cellStyle name="Normal 2 5 3 4 2 3 2" xfId="3766"/>
    <cellStyle name="Normal 2 5 3 4 2 3 2 2" xfId="12904"/>
    <cellStyle name="Normal 2 5 3 4 2 3 2 2 2" xfId="23123"/>
    <cellStyle name="Normal 2 5 3 4 2 3 2 3" xfId="9325"/>
    <cellStyle name="Normal 2 5 3 4 2 3 2 4" xfId="18116"/>
    <cellStyle name="Normal 2 5 3 4 2 3 3" xfId="4928"/>
    <cellStyle name="Normal 2 5 3 4 2 3 3 2" xfId="13767"/>
    <cellStyle name="Normal 2 5 3 4 2 3 3 2 2" xfId="24018"/>
    <cellStyle name="Normal 2 5 3 4 2 3 3 3" xfId="10188"/>
    <cellStyle name="Normal 2 5 3 4 2 3 3 4" xfId="19011"/>
    <cellStyle name="Normal 2 5 3 4 2 3 4" xfId="2160"/>
    <cellStyle name="Normal 2 5 3 4 2 3 4 2" xfId="11527"/>
    <cellStyle name="Normal 2 5 3 4 2 3 4 3" xfId="21531"/>
    <cellStyle name="Normal 2 5 3 4 2 3 5" xfId="6385"/>
    <cellStyle name="Normal 2 5 3 4 2 3 5 2" xfId="15212"/>
    <cellStyle name="Normal 2 5 3 4 2 3 5 3" xfId="25463"/>
    <cellStyle name="Normal 2 5 3 4 2 3 6" xfId="7831"/>
    <cellStyle name="Normal 2 5 3 4 2 3 6 2" xfId="20722"/>
    <cellStyle name="Normal 2 5 3 4 2 3 7" xfId="16524"/>
    <cellStyle name="Normal 2 5 3 4 2 4" xfId="3051"/>
    <cellStyle name="Normal 2 5 3 4 2 4 2" xfId="5429"/>
    <cellStyle name="Normal 2 5 3 4 2 4 2 2" xfId="14268"/>
    <cellStyle name="Normal 2 5 3 4 2 4 2 2 2" xfId="24519"/>
    <cellStyle name="Normal 2 5 3 4 2 4 2 3" xfId="10689"/>
    <cellStyle name="Normal 2 5 3 4 2 4 2 4" xfId="19512"/>
    <cellStyle name="Normal 2 5 3 4 2 4 3" xfId="6886"/>
    <cellStyle name="Normal 2 5 3 4 2 4 3 2" xfId="15713"/>
    <cellStyle name="Normal 2 5 3 4 2 4 3 3" xfId="25964"/>
    <cellStyle name="Normal 2 5 3 4 2 4 4" xfId="8332"/>
    <cellStyle name="Normal 2 5 3 4 2 4 4 2" xfId="22414"/>
    <cellStyle name="Normal 2 5 3 4 2 4 5" xfId="17407"/>
    <cellStyle name="Normal 2 5 3 4 2 5" xfId="4385"/>
    <cellStyle name="Normal 2 5 3 4 2 5 2" xfId="13225"/>
    <cellStyle name="Normal 2 5 3 4 2 5 2 2" xfId="23476"/>
    <cellStyle name="Normal 2 5 3 4 2 5 3" xfId="9646"/>
    <cellStyle name="Normal 2 5 3 4 2 5 4" xfId="18469"/>
    <cellStyle name="Normal 2 5 3 4 2 6" xfId="1657"/>
    <cellStyle name="Normal 2 5 3 4 2 6 2" xfId="11036"/>
    <cellStyle name="Normal 2 5 3 4 2 6 3" xfId="21040"/>
    <cellStyle name="Normal 2 5 3 4 2 7" xfId="5843"/>
    <cellStyle name="Normal 2 5 3 4 2 7 2" xfId="14670"/>
    <cellStyle name="Normal 2 5 3 4 2 7 3" xfId="24921"/>
    <cellStyle name="Normal 2 5 3 4 2 8" xfId="7287"/>
    <cellStyle name="Normal 2 5 3 4 2 8 2" xfId="20013"/>
    <cellStyle name="Normal 2 5 3 4 2 9" xfId="16033"/>
    <cellStyle name="Normal 2 5 3 4 2_Degree data" xfId="3920"/>
    <cellStyle name="Normal 2 5 3 4 3" xfId="359"/>
    <cellStyle name="Normal 2 5 3 4 3 2" xfId="2846"/>
    <cellStyle name="Normal 2 5 3 4 3 2 2" xfId="12136"/>
    <cellStyle name="Normal 2 5 3 4 3 2 2 2" xfId="22209"/>
    <cellStyle name="Normal 2 5 3 4 3 2 3" xfId="8540"/>
    <cellStyle name="Normal 2 5 3 4 3 2 4" xfId="17202"/>
    <cellStyle name="Normal 2 5 3 4 3 3" xfId="4578"/>
    <cellStyle name="Normal 2 5 3 4 3 3 2" xfId="13418"/>
    <cellStyle name="Normal 2 5 3 4 3 3 2 2" xfId="23669"/>
    <cellStyle name="Normal 2 5 3 4 3 3 3" xfId="9839"/>
    <cellStyle name="Normal 2 5 3 4 3 3 4" xfId="18662"/>
    <cellStyle name="Normal 2 5 3 4 3 4" xfId="1955"/>
    <cellStyle name="Normal 2 5 3 4 3 4 2" xfId="11322"/>
    <cellStyle name="Normal 2 5 3 4 3 4 3" xfId="21326"/>
    <cellStyle name="Normal 2 5 3 4 3 5" xfId="6036"/>
    <cellStyle name="Normal 2 5 3 4 3 5 2" xfId="14863"/>
    <cellStyle name="Normal 2 5 3 4 3 5 3" xfId="25114"/>
    <cellStyle name="Normal 2 5 3 4 3 6" xfId="7480"/>
    <cellStyle name="Normal 2 5 3 4 3 6 2" xfId="19808"/>
    <cellStyle name="Normal 2 5 3 4 3 7" xfId="16319"/>
    <cellStyle name="Normal 2 5 3 4 4" xfId="762"/>
    <cellStyle name="Normal 2 5 3 4 4 2" xfId="3249"/>
    <cellStyle name="Normal 2 5 3 4 4 2 2" xfId="12393"/>
    <cellStyle name="Normal 2 5 3 4 4 2 2 2" xfId="22612"/>
    <cellStyle name="Normal 2 5 3 4 4 2 3" xfId="8815"/>
    <cellStyle name="Normal 2 5 3 4 4 2 4" xfId="17605"/>
    <cellStyle name="Normal 2 5 3 4 4 3" xfId="4927"/>
    <cellStyle name="Normal 2 5 3 4 4 3 2" xfId="13766"/>
    <cellStyle name="Normal 2 5 3 4 4 3 2 2" xfId="24017"/>
    <cellStyle name="Normal 2 5 3 4 4 3 3" xfId="10187"/>
    <cellStyle name="Normal 2 5 3 4 4 3 4" xfId="19010"/>
    <cellStyle name="Normal 2 5 3 4 4 4" xfId="2358"/>
    <cellStyle name="Normal 2 5 3 4 4 4 2" xfId="11725"/>
    <cellStyle name="Normal 2 5 3 4 4 4 3" xfId="21729"/>
    <cellStyle name="Normal 2 5 3 4 4 5" xfId="6384"/>
    <cellStyle name="Normal 2 5 3 4 4 5 2" xfId="15211"/>
    <cellStyle name="Normal 2 5 3 4 4 5 3" xfId="25462"/>
    <cellStyle name="Normal 2 5 3 4 4 6" xfId="7830"/>
    <cellStyle name="Normal 2 5 3 4 4 6 2" xfId="20211"/>
    <cellStyle name="Normal 2 5 3 4 4 7" xfId="16722"/>
    <cellStyle name="Normal 2 5 3 4 5" xfId="1131"/>
    <cellStyle name="Normal 2 5 3 4 5 2" xfId="3561"/>
    <cellStyle name="Normal 2 5 3 4 5 2 2" xfId="12699"/>
    <cellStyle name="Normal 2 5 3 4 5 2 2 2" xfId="22918"/>
    <cellStyle name="Normal 2 5 3 4 5 2 3" xfId="9120"/>
    <cellStyle name="Normal 2 5 3 4 5 2 4" xfId="17911"/>
    <cellStyle name="Normal 2 5 3 4 5 3" xfId="5224"/>
    <cellStyle name="Normal 2 5 3 4 5 3 2" xfId="14063"/>
    <cellStyle name="Normal 2 5 3 4 5 3 2 2" xfId="24314"/>
    <cellStyle name="Normal 2 5 3 4 5 3 3" xfId="10484"/>
    <cellStyle name="Normal 2 5 3 4 5 3 4" xfId="19307"/>
    <cellStyle name="Normal 2 5 3 4 5 4" xfId="1840"/>
    <cellStyle name="Normal 2 5 3 4 5 4 2" xfId="11210"/>
    <cellStyle name="Normal 2 5 3 4 5 4 3" xfId="21214"/>
    <cellStyle name="Normal 2 5 3 4 5 5" xfId="6681"/>
    <cellStyle name="Normal 2 5 3 4 5 5 2" xfId="15508"/>
    <cellStyle name="Normal 2 5 3 4 5 5 3" xfId="25759"/>
    <cellStyle name="Normal 2 5 3 4 5 6" xfId="8127"/>
    <cellStyle name="Normal 2 5 3 4 5 6 2" xfId="20517"/>
    <cellStyle name="Normal 2 5 3 4 5 7" xfId="16207"/>
    <cellStyle name="Normal 2 5 3 4 6" xfId="2734"/>
    <cellStyle name="Normal 2 5 3 4 6 2" xfId="12053"/>
    <cellStyle name="Normal 2 5 3 4 6 2 2" xfId="22097"/>
    <cellStyle name="Normal 2 5 3 4 6 3" xfId="8445"/>
    <cellStyle name="Normal 2 5 3 4 6 4" xfId="17090"/>
    <cellStyle name="Normal 2 5 3 4 7" xfId="4180"/>
    <cellStyle name="Normal 2 5 3 4 7 2" xfId="13020"/>
    <cellStyle name="Normal 2 5 3 4 7 2 2" xfId="23271"/>
    <cellStyle name="Normal 2 5 3 4 7 3" xfId="9441"/>
    <cellStyle name="Normal 2 5 3 4 7 4" xfId="18264"/>
    <cellStyle name="Normal 2 5 3 4 8" xfId="1452"/>
    <cellStyle name="Normal 2 5 3 4 8 2" xfId="10831"/>
    <cellStyle name="Normal 2 5 3 4 8 3" xfId="20835"/>
    <cellStyle name="Normal 2 5 3 4 9" xfId="5638"/>
    <cellStyle name="Normal 2 5 3 4 9 2" xfId="14465"/>
    <cellStyle name="Normal 2 5 3 4 9 3" xfId="24716"/>
    <cellStyle name="Normal 2 5 3 4_Degree data" xfId="2621"/>
    <cellStyle name="Normal 2 5 3 5" xfId="459"/>
    <cellStyle name="Normal 2 5 3 5 2" xfId="764"/>
    <cellStyle name="Normal 2 5 3 5 2 2" xfId="3251"/>
    <cellStyle name="Normal 2 5 3 5 2 2 2" xfId="12395"/>
    <cellStyle name="Normal 2 5 3 5 2 2 2 2" xfId="22614"/>
    <cellStyle name="Normal 2 5 3 5 2 2 3" xfId="8817"/>
    <cellStyle name="Normal 2 5 3 5 2 2 4" xfId="17607"/>
    <cellStyle name="Normal 2 5 3 5 2 3" xfId="4580"/>
    <cellStyle name="Normal 2 5 3 5 2 3 2" xfId="13420"/>
    <cellStyle name="Normal 2 5 3 5 2 3 2 2" xfId="23671"/>
    <cellStyle name="Normal 2 5 3 5 2 3 3" xfId="9841"/>
    <cellStyle name="Normal 2 5 3 5 2 3 4" xfId="18664"/>
    <cellStyle name="Normal 2 5 3 5 2 4" xfId="2360"/>
    <cellStyle name="Normal 2 5 3 5 2 4 2" xfId="11727"/>
    <cellStyle name="Normal 2 5 3 5 2 4 3" xfId="21731"/>
    <cellStyle name="Normal 2 5 3 5 2 5" xfId="6038"/>
    <cellStyle name="Normal 2 5 3 5 2 5 2" xfId="14865"/>
    <cellStyle name="Normal 2 5 3 5 2 5 3" xfId="25116"/>
    <cellStyle name="Normal 2 5 3 5 2 6" xfId="7482"/>
    <cellStyle name="Normal 2 5 3 5 2 6 2" xfId="20213"/>
    <cellStyle name="Normal 2 5 3 5 2 7" xfId="16724"/>
    <cellStyle name="Normal 2 5 3 5 3" xfId="1231"/>
    <cellStyle name="Normal 2 5 3 5 3 2" xfId="3661"/>
    <cellStyle name="Normal 2 5 3 5 3 2 2" xfId="12799"/>
    <cellStyle name="Normal 2 5 3 5 3 2 2 2" xfId="23018"/>
    <cellStyle name="Normal 2 5 3 5 3 2 3" xfId="9220"/>
    <cellStyle name="Normal 2 5 3 5 3 2 4" xfId="18011"/>
    <cellStyle name="Normal 2 5 3 5 3 3" xfId="4929"/>
    <cellStyle name="Normal 2 5 3 5 3 3 2" xfId="13768"/>
    <cellStyle name="Normal 2 5 3 5 3 3 2 2" xfId="24019"/>
    <cellStyle name="Normal 2 5 3 5 3 3 3" xfId="10189"/>
    <cellStyle name="Normal 2 5 3 5 3 3 4" xfId="19012"/>
    <cellStyle name="Normal 2 5 3 5 3 4" xfId="2055"/>
    <cellStyle name="Normal 2 5 3 5 3 4 2" xfId="11422"/>
    <cellStyle name="Normal 2 5 3 5 3 4 3" xfId="21426"/>
    <cellStyle name="Normal 2 5 3 5 3 5" xfId="6386"/>
    <cellStyle name="Normal 2 5 3 5 3 5 2" xfId="15213"/>
    <cellStyle name="Normal 2 5 3 5 3 5 3" xfId="25464"/>
    <cellStyle name="Normal 2 5 3 5 3 6" xfId="7832"/>
    <cellStyle name="Normal 2 5 3 5 3 6 2" xfId="20617"/>
    <cellStyle name="Normal 2 5 3 5 3 7" xfId="16419"/>
    <cellStyle name="Normal 2 5 3 5 4" xfId="2946"/>
    <cellStyle name="Normal 2 5 3 5 4 2" xfId="5324"/>
    <cellStyle name="Normal 2 5 3 5 4 2 2" xfId="14163"/>
    <cellStyle name="Normal 2 5 3 5 4 2 2 2" xfId="24414"/>
    <cellStyle name="Normal 2 5 3 5 4 2 3" xfId="10584"/>
    <cellStyle name="Normal 2 5 3 5 4 2 4" xfId="19407"/>
    <cellStyle name="Normal 2 5 3 5 4 3" xfId="6781"/>
    <cellStyle name="Normal 2 5 3 5 4 3 2" xfId="15608"/>
    <cellStyle name="Normal 2 5 3 5 4 3 3" xfId="25859"/>
    <cellStyle name="Normal 2 5 3 5 4 4" xfId="8227"/>
    <cellStyle name="Normal 2 5 3 5 4 4 2" xfId="22309"/>
    <cellStyle name="Normal 2 5 3 5 4 5" xfId="17302"/>
    <cellStyle name="Normal 2 5 3 5 5" xfId="4280"/>
    <cellStyle name="Normal 2 5 3 5 5 2" xfId="13120"/>
    <cellStyle name="Normal 2 5 3 5 5 2 2" xfId="23371"/>
    <cellStyle name="Normal 2 5 3 5 5 3" xfId="9541"/>
    <cellStyle name="Normal 2 5 3 5 5 4" xfId="18364"/>
    <cellStyle name="Normal 2 5 3 5 6" xfId="1552"/>
    <cellStyle name="Normal 2 5 3 5 6 2" xfId="10931"/>
    <cellStyle name="Normal 2 5 3 5 6 3" xfId="20935"/>
    <cellStyle name="Normal 2 5 3 5 7" xfId="5738"/>
    <cellStyle name="Normal 2 5 3 5 7 2" xfId="14565"/>
    <cellStyle name="Normal 2 5 3 5 7 3" xfId="24816"/>
    <cellStyle name="Normal 2 5 3 5 8" xfId="7182"/>
    <cellStyle name="Normal 2 5 3 5 8 2" xfId="19908"/>
    <cellStyle name="Normal 2 5 3 5 9" xfId="15928"/>
    <cellStyle name="Normal 2 5 3 5_Degree data" xfId="3851"/>
    <cellStyle name="Normal 2 5 3 6" xfId="330"/>
    <cellStyle name="Normal 2 5 3 6 2" xfId="765"/>
    <cellStyle name="Normal 2 5 3 6 2 2" xfId="3252"/>
    <cellStyle name="Normal 2 5 3 6 2 2 2" xfId="12396"/>
    <cellStyle name="Normal 2 5 3 6 2 2 2 2" xfId="22615"/>
    <cellStyle name="Normal 2 5 3 6 2 2 3" xfId="8818"/>
    <cellStyle name="Normal 2 5 3 6 2 2 4" xfId="17608"/>
    <cellStyle name="Normal 2 5 3 6 2 3" xfId="4581"/>
    <cellStyle name="Normal 2 5 3 6 2 3 2" xfId="13421"/>
    <cellStyle name="Normal 2 5 3 6 2 3 2 2" xfId="23672"/>
    <cellStyle name="Normal 2 5 3 6 2 3 3" xfId="9842"/>
    <cellStyle name="Normal 2 5 3 6 2 3 4" xfId="18665"/>
    <cellStyle name="Normal 2 5 3 6 2 4" xfId="2361"/>
    <cellStyle name="Normal 2 5 3 6 2 4 2" xfId="11728"/>
    <cellStyle name="Normal 2 5 3 6 2 4 3" xfId="21732"/>
    <cellStyle name="Normal 2 5 3 6 2 5" xfId="6039"/>
    <cellStyle name="Normal 2 5 3 6 2 5 2" xfId="14866"/>
    <cellStyle name="Normal 2 5 3 6 2 5 3" xfId="25117"/>
    <cellStyle name="Normal 2 5 3 6 2 6" xfId="7483"/>
    <cellStyle name="Normal 2 5 3 6 2 6 2" xfId="20214"/>
    <cellStyle name="Normal 2 5 3 6 2 7" xfId="16725"/>
    <cellStyle name="Normal 2 5 3 6 3" xfId="1102"/>
    <cellStyle name="Normal 2 5 3 6 3 2" xfId="3532"/>
    <cellStyle name="Normal 2 5 3 6 3 2 2" xfId="12670"/>
    <cellStyle name="Normal 2 5 3 6 3 2 2 2" xfId="22889"/>
    <cellStyle name="Normal 2 5 3 6 3 2 3" xfId="9092"/>
    <cellStyle name="Normal 2 5 3 6 3 2 4" xfId="17882"/>
    <cellStyle name="Normal 2 5 3 6 3 3" xfId="4930"/>
    <cellStyle name="Normal 2 5 3 6 3 3 2" xfId="13769"/>
    <cellStyle name="Normal 2 5 3 6 3 3 2 2" xfId="24020"/>
    <cellStyle name="Normal 2 5 3 6 3 3 3" xfId="10190"/>
    <cellStyle name="Normal 2 5 3 6 3 3 4" xfId="19013"/>
    <cellStyle name="Normal 2 5 3 6 3 4" xfId="2596"/>
    <cellStyle name="Normal 2 5 3 6 3 4 2" xfId="11962"/>
    <cellStyle name="Normal 2 5 3 6 3 4 3" xfId="21966"/>
    <cellStyle name="Normal 2 5 3 6 3 5" xfId="6387"/>
    <cellStyle name="Normal 2 5 3 6 3 5 2" xfId="15214"/>
    <cellStyle name="Normal 2 5 3 6 3 5 3" xfId="25465"/>
    <cellStyle name="Normal 2 5 3 6 3 6" xfId="7833"/>
    <cellStyle name="Normal 2 5 3 6 3 6 2" xfId="20488"/>
    <cellStyle name="Normal 2 5 3 6 3 7" xfId="16959"/>
    <cellStyle name="Normal 2 5 3 6 4" xfId="2817"/>
    <cellStyle name="Normal 2 5 3 6 4 2" xfId="5195"/>
    <cellStyle name="Normal 2 5 3 6 4 2 2" xfId="14034"/>
    <cellStyle name="Normal 2 5 3 6 4 2 2 2" xfId="24285"/>
    <cellStyle name="Normal 2 5 3 6 4 2 3" xfId="10455"/>
    <cellStyle name="Normal 2 5 3 6 4 2 4" xfId="19278"/>
    <cellStyle name="Normal 2 5 3 6 4 3" xfId="6652"/>
    <cellStyle name="Normal 2 5 3 6 4 3 2" xfId="15479"/>
    <cellStyle name="Normal 2 5 3 6 4 3 3" xfId="25730"/>
    <cellStyle name="Normal 2 5 3 6 4 4" xfId="8098"/>
    <cellStyle name="Normal 2 5 3 6 4 4 2" xfId="22180"/>
    <cellStyle name="Normal 2 5 3 6 4 5" xfId="17173"/>
    <cellStyle name="Normal 2 5 3 6 5" xfId="4149"/>
    <cellStyle name="Normal 2 5 3 6 5 2" xfId="12989"/>
    <cellStyle name="Normal 2 5 3 6 5 2 2" xfId="23240"/>
    <cellStyle name="Normal 2 5 3 6 5 3" xfId="9410"/>
    <cellStyle name="Normal 2 5 3 6 5 4" xfId="18233"/>
    <cellStyle name="Normal 2 5 3 6 6" xfId="1926"/>
    <cellStyle name="Normal 2 5 3 6 6 2" xfId="11293"/>
    <cellStyle name="Normal 2 5 3 6 6 3" xfId="21297"/>
    <cellStyle name="Normal 2 5 3 6 7" xfId="5609"/>
    <cellStyle name="Normal 2 5 3 6 7 2" xfId="14436"/>
    <cellStyle name="Normal 2 5 3 6 7 3" xfId="24687"/>
    <cellStyle name="Normal 2 5 3 6 8" xfId="7053"/>
    <cellStyle name="Normal 2 5 3 6 8 2" xfId="19779"/>
    <cellStyle name="Normal 2 5 3 6 9" xfId="16290"/>
    <cellStyle name="Normal 2 5 3 6_Degree data" xfId="3878"/>
    <cellStyle name="Normal 2 5 3 7" xfId="756"/>
    <cellStyle name="Normal 2 5 3 7 2" xfId="3243"/>
    <cellStyle name="Normal 2 5 3 7 2 2" xfId="12387"/>
    <cellStyle name="Normal 2 5 3 7 2 2 2" xfId="22606"/>
    <cellStyle name="Normal 2 5 3 7 2 3" xfId="8809"/>
    <cellStyle name="Normal 2 5 3 7 2 4" xfId="17599"/>
    <cellStyle name="Normal 2 5 3 7 3" xfId="4572"/>
    <cellStyle name="Normal 2 5 3 7 3 2" xfId="13412"/>
    <cellStyle name="Normal 2 5 3 7 3 2 2" xfId="23663"/>
    <cellStyle name="Normal 2 5 3 7 3 3" xfId="9833"/>
    <cellStyle name="Normal 2 5 3 7 3 4" xfId="18656"/>
    <cellStyle name="Normal 2 5 3 7 4" xfId="2352"/>
    <cellStyle name="Normal 2 5 3 7 4 2" xfId="11719"/>
    <cellStyle name="Normal 2 5 3 7 4 3" xfId="21723"/>
    <cellStyle name="Normal 2 5 3 7 5" xfId="6030"/>
    <cellStyle name="Normal 2 5 3 7 5 2" xfId="14857"/>
    <cellStyle name="Normal 2 5 3 7 5 3" xfId="25108"/>
    <cellStyle name="Normal 2 5 3 7 6" xfId="7474"/>
    <cellStyle name="Normal 2 5 3 7 6 2" xfId="20205"/>
    <cellStyle name="Normal 2 5 3 7 7" xfId="16716"/>
    <cellStyle name="Normal 2 5 3 8" xfId="1059"/>
    <cellStyle name="Normal 2 5 3 8 2" xfId="3489"/>
    <cellStyle name="Normal 2 5 3 8 2 2" xfId="12627"/>
    <cellStyle name="Normal 2 5 3 8 2 2 2" xfId="22846"/>
    <cellStyle name="Normal 2 5 3 8 2 3" xfId="9049"/>
    <cellStyle name="Normal 2 5 3 8 2 4" xfId="17839"/>
    <cellStyle name="Normal 2 5 3 8 3" xfId="4921"/>
    <cellStyle name="Normal 2 5 3 8 3 2" xfId="13760"/>
    <cellStyle name="Normal 2 5 3 8 3 2 2" xfId="24011"/>
    <cellStyle name="Normal 2 5 3 8 3 3" xfId="10181"/>
    <cellStyle name="Normal 2 5 3 8 3 4" xfId="19004"/>
    <cellStyle name="Normal 2 5 3 8 4" xfId="1728"/>
    <cellStyle name="Normal 2 5 3 8 4 2" xfId="11104"/>
    <cellStyle name="Normal 2 5 3 8 4 3" xfId="21108"/>
    <cellStyle name="Normal 2 5 3 8 5" xfId="6378"/>
    <cellStyle name="Normal 2 5 3 8 5 2" xfId="15205"/>
    <cellStyle name="Normal 2 5 3 8 5 3" xfId="25456"/>
    <cellStyle name="Normal 2 5 3 8 6" xfId="7824"/>
    <cellStyle name="Normal 2 5 3 8 6 2" xfId="20445"/>
    <cellStyle name="Normal 2 5 3 8 7" xfId="16101"/>
    <cellStyle name="Normal 2 5 3 9" xfId="2626"/>
    <cellStyle name="Normal 2 5 3 9 2" xfId="5152"/>
    <cellStyle name="Normal 2 5 3 9 2 2" xfId="13991"/>
    <cellStyle name="Normal 2 5 3 9 2 2 2" xfId="24242"/>
    <cellStyle name="Normal 2 5 3 9 2 3" xfId="10412"/>
    <cellStyle name="Normal 2 5 3 9 2 4" xfId="19235"/>
    <cellStyle name="Normal 2 5 3 9 3" xfId="6609"/>
    <cellStyle name="Normal 2 5 3 9 3 2" xfId="15436"/>
    <cellStyle name="Normal 2 5 3 9 3 3" xfId="25687"/>
    <cellStyle name="Normal 2 5 3 9 4" xfId="8055"/>
    <cellStyle name="Normal 2 5 3 9 4 2" xfId="21991"/>
    <cellStyle name="Normal 2 5 3 9 5" xfId="16984"/>
    <cellStyle name="Normal 2 5 3_Degree data" xfId="3936"/>
    <cellStyle name="Normal 2 5 4" xfId="134"/>
    <cellStyle name="Normal 2 5 4 10" xfId="4122"/>
    <cellStyle name="Normal 2 5 4 10 2" xfId="5582"/>
    <cellStyle name="Normal 2 5 4 10 2 2" xfId="14409"/>
    <cellStyle name="Normal 2 5 4 10 2 3" xfId="24660"/>
    <cellStyle name="Normal 2 5 4 10 3" xfId="7026"/>
    <cellStyle name="Normal 2 5 4 10 3 2" xfId="23213"/>
    <cellStyle name="Normal 2 5 4 10 4" xfId="18206"/>
    <cellStyle name="Normal 2 5 4 11" xfId="1441"/>
    <cellStyle name="Normal 2 5 4 11 2" xfId="10820"/>
    <cellStyle name="Normal 2 5 4 11 3" xfId="20824"/>
    <cellStyle name="Normal 2 5 4 12" xfId="5550"/>
    <cellStyle name="Normal 2 5 4 12 2" xfId="14379"/>
    <cellStyle name="Normal 2 5 4 12 3" xfId="24630"/>
    <cellStyle name="Normal 2 5 4 13" xfId="6996"/>
    <cellStyle name="Normal 2 5 4 13 2" xfId="19604"/>
    <cellStyle name="Normal 2 5 4 14" xfId="15817"/>
    <cellStyle name="Normal 2 5 4 2" xfId="175"/>
    <cellStyle name="Normal 2 5 4 2 10" xfId="5684"/>
    <cellStyle name="Normal 2 5 4 2 10 2" xfId="14511"/>
    <cellStyle name="Normal 2 5 4 2 10 3" xfId="24762"/>
    <cellStyle name="Normal 2 5 4 2 11" xfId="7128"/>
    <cellStyle name="Normal 2 5 4 2 11 2" xfId="19637"/>
    <cellStyle name="Normal 2 5 4 2 12" xfId="15874"/>
    <cellStyle name="Normal 2 5 4 2 2" xfId="287"/>
    <cellStyle name="Normal 2 5 4 2 2 10" xfId="16078"/>
    <cellStyle name="Normal 2 5 4 2 2 2" xfId="609"/>
    <cellStyle name="Normal 2 5 4 2 2 2 2" xfId="3096"/>
    <cellStyle name="Normal 2 5 4 2 2 2 2 2" xfId="12241"/>
    <cellStyle name="Normal 2 5 4 2 2 2 2 2 2" xfId="22459"/>
    <cellStyle name="Normal 2 5 4 2 2 2 2 3" xfId="8663"/>
    <cellStyle name="Normal 2 5 4 2 2 2 2 4" xfId="17452"/>
    <cellStyle name="Normal 2 5 4 2 2 2 3" xfId="4584"/>
    <cellStyle name="Normal 2 5 4 2 2 2 3 2" xfId="13424"/>
    <cellStyle name="Normal 2 5 4 2 2 2 3 2 2" xfId="23675"/>
    <cellStyle name="Normal 2 5 4 2 2 2 3 3" xfId="9845"/>
    <cellStyle name="Normal 2 5 4 2 2 2 3 4" xfId="18668"/>
    <cellStyle name="Normal 2 5 4 2 2 2 4" xfId="2205"/>
    <cellStyle name="Normal 2 5 4 2 2 2 4 2" xfId="11572"/>
    <cellStyle name="Normal 2 5 4 2 2 2 4 3" xfId="21576"/>
    <cellStyle name="Normal 2 5 4 2 2 2 5" xfId="6042"/>
    <cellStyle name="Normal 2 5 4 2 2 2 5 2" xfId="14869"/>
    <cellStyle name="Normal 2 5 4 2 2 2 5 3" xfId="25120"/>
    <cellStyle name="Normal 2 5 4 2 2 2 6" xfId="7486"/>
    <cellStyle name="Normal 2 5 4 2 2 2 6 2" xfId="20058"/>
    <cellStyle name="Normal 2 5 4 2 2 2 7" xfId="16569"/>
    <cellStyle name="Normal 2 5 4 2 2 3" xfId="768"/>
    <cellStyle name="Normal 2 5 4 2 2 3 2" xfId="3255"/>
    <cellStyle name="Normal 2 5 4 2 2 3 2 2" xfId="12399"/>
    <cellStyle name="Normal 2 5 4 2 2 3 2 2 2" xfId="22618"/>
    <cellStyle name="Normal 2 5 4 2 2 3 2 3" xfId="8821"/>
    <cellStyle name="Normal 2 5 4 2 2 3 2 4" xfId="17611"/>
    <cellStyle name="Normal 2 5 4 2 2 3 3" xfId="4933"/>
    <cellStyle name="Normal 2 5 4 2 2 3 3 2" xfId="13772"/>
    <cellStyle name="Normal 2 5 4 2 2 3 3 2 2" xfId="24023"/>
    <cellStyle name="Normal 2 5 4 2 2 3 3 3" xfId="10193"/>
    <cellStyle name="Normal 2 5 4 2 2 3 3 4" xfId="19016"/>
    <cellStyle name="Normal 2 5 4 2 2 3 4" xfId="2364"/>
    <cellStyle name="Normal 2 5 4 2 2 3 4 2" xfId="11731"/>
    <cellStyle name="Normal 2 5 4 2 2 3 4 3" xfId="21735"/>
    <cellStyle name="Normal 2 5 4 2 2 3 5" xfId="6390"/>
    <cellStyle name="Normal 2 5 4 2 2 3 5 2" xfId="15217"/>
    <cellStyle name="Normal 2 5 4 2 2 3 5 3" xfId="25468"/>
    <cellStyle name="Normal 2 5 4 2 2 3 6" xfId="7836"/>
    <cellStyle name="Normal 2 5 4 2 2 3 6 2" xfId="20217"/>
    <cellStyle name="Normal 2 5 4 2 2 3 7" xfId="16728"/>
    <cellStyle name="Normal 2 5 4 2 2 4" xfId="1381"/>
    <cellStyle name="Normal 2 5 4 2 2 4 2" xfId="3811"/>
    <cellStyle name="Normal 2 5 4 2 2 4 2 2" xfId="12949"/>
    <cellStyle name="Normal 2 5 4 2 2 4 2 2 2" xfId="23168"/>
    <cellStyle name="Normal 2 5 4 2 2 4 2 3" xfId="9370"/>
    <cellStyle name="Normal 2 5 4 2 2 4 2 4" xfId="18161"/>
    <cellStyle name="Normal 2 5 4 2 2 4 3" xfId="5474"/>
    <cellStyle name="Normal 2 5 4 2 2 4 3 2" xfId="14313"/>
    <cellStyle name="Normal 2 5 4 2 2 4 3 2 2" xfId="24564"/>
    <cellStyle name="Normal 2 5 4 2 2 4 3 3" xfId="10734"/>
    <cellStyle name="Normal 2 5 4 2 2 4 3 4" xfId="19557"/>
    <cellStyle name="Normal 2 5 4 2 2 4 4" xfId="1885"/>
    <cellStyle name="Normal 2 5 4 2 2 4 4 2" xfId="11255"/>
    <cellStyle name="Normal 2 5 4 2 2 4 4 3" xfId="21259"/>
    <cellStyle name="Normal 2 5 4 2 2 4 5" xfId="6931"/>
    <cellStyle name="Normal 2 5 4 2 2 4 5 2" xfId="15758"/>
    <cellStyle name="Normal 2 5 4 2 2 4 5 3" xfId="26009"/>
    <cellStyle name="Normal 2 5 4 2 2 4 6" xfId="8377"/>
    <cellStyle name="Normal 2 5 4 2 2 4 6 2" xfId="20767"/>
    <cellStyle name="Normal 2 5 4 2 2 4 7" xfId="16252"/>
    <cellStyle name="Normal 2 5 4 2 2 5" xfId="2779"/>
    <cellStyle name="Normal 2 5 4 2 2 5 2" xfId="12098"/>
    <cellStyle name="Normal 2 5 4 2 2 5 2 2" xfId="22142"/>
    <cellStyle name="Normal 2 5 4 2 2 5 3" xfId="8488"/>
    <cellStyle name="Normal 2 5 4 2 2 5 4" xfId="17135"/>
    <cellStyle name="Normal 2 5 4 2 2 6" xfId="4430"/>
    <cellStyle name="Normal 2 5 4 2 2 6 2" xfId="13270"/>
    <cellStyle name="Normal 2 5 4 2 2 6 2 2" xfId="23521"/>
    <cellStyle name="Normal 2 5 4 2 2 6 3" xfId="9691"/>
    <cellStyle name="Normal 2 5 4 2 2 6 4" xfId="18514"/>
    <cellStyle name="Normal 2 5 4 2 2 7" xfId="1702"/>
    <cellStyle name="Normal 2 5 4 2 2 7 2" xfId="11081"/>
    <cellStyle name="Normal 2 5 4 2 2 7 3" xfId="21085"/>
    <cellStyle name="Normal 2 5 4 2 2 8" xfId="5888"/>
    <cellStyle name="Normal 2 5 4 2 2 8 2" xfId="14715"/>
    <cellStyle name="Normal 2 5 4 2 2 8 3" xfId="24966"/>
    <cellStyle name="Normal 2 5 4 2 2 9" xfId="7332"/>
    <cellStyle name="Normal 2 5 4 2 2 9 2" xfId="19741"/>
    <cellStyle name="Normal 2 5 4 2 2_Degree data" xfId="3844"/>
    <cellStyle name="Normal 2 5 4 2 3" xfId="505"/>
    <cellStyle name="Normal 2 5 4 2 3 2" xfId="769"/>
    <cellStyle name="Normal 2 5 4 2 3 2 2" xfId="3256"/>
    <cellStyle name="Normal 2 5 4 2 3 2 2 2" xfId="12400"/>
    <cellStyle name="Normal 2 5 4 2 3 2 2 2 2" xfId="22619"/>
    <cellStyle name="Normal 2 5 4 2 3 2 2 3" xfId="8822"/>
    <cellStyle name="Normal 2 5 4 2 3 2 2 4" xfId="17612"/>
    <cellStyle name="Normal 2 5 4 2 3 2 3" xfId="4585"/>
    <cellStyle name="Normal 2 5 4 2 3 2 3 2" xfId="13425"/>
    <cellStyle name="Normal 2 5 4 2 3 2 3 2 2" xfId="23676"/>
    <cellStyle name="Normal 2 5 4 2 3 2 3 3" xfId="9846"/>
    <cellStyle name="Normal 2 5 4 2 3 2 3 4" xfId="18669"/>
    <cellStyle name="Normal 2 5 4 2 3 2 4" xfId="2365"/>
    <cellStyle name="Normal 2 5 4 2 3 2 4 2" xfId="11732"/>
    <cellStyle name="Normal 2 5 4 2 3 2 4 3" xfId="21736"/>
    <cellStyle name="Normal 2 5 4 2 3 2 5" xfId="6043"/>
    <cellStyle name="Normal 2 5 4 2 3 2 5 2" xfId="14870"/>
    <cellStyle name="Normal 2 5 4 2 3 2 5 3" xfId="25121"/>
    <cellStyle name="Normal 2 5 4 2 3 2 6" xfId="7487"/>
    <cellStyle name="Normal 2 5 4 2 3 2 6 2" xfId="20218"/>
    <cellStyle name="Normal 2 5 4 2 3 2 7" xfId="16729"/>
    <cellStyle name="Normal 2 5 4 2 3 3" xfId="1277"/>
    <cellStyle name="Normal 2 5 4 2 3 3 2" xfId="3707"/>
    <cellStyle name="Normal 2 5 4 2 3 3 2 2" xfId="12845"/>
    <cellStyle name="Normal 2 5 4 2 3 3 2 2 2" xfId="23064"/>
    <cellStyle name="Normal 2 5 4 2 3 3 2 3" xfId="9266"/>
    <cellStyle name="Normal 2 5 4 2 3 3 2 4" xfId="18057"/>
    <cellStyle name="Normal 2 5 4 2 3 3 3" xfId="4934"/>
    <cellStyle name="Normal 2 5 4 2 3 3 3 2" xfId="13773"/>
    <cellStyle name="Normal 2 5 4 2 3 3 3 2 2" xfId="24024"/>
    <cellStyle name="Normal 2 5 4 2 3 3 3 3" xfId="10194"/>
    <cellStyle name="Normal 2 5 4 2 3 3 3 4" xfId="19017"/>
    <cellStyle name="Normal 2 5 4 2 3 3 4" xfId="2101"/>
    <cellStyle name="Normal 2 5 4 2 3 3 4 2" xfId="11468"/>
    <cellStyle name="Normal 2 5 4 2 3 3 4 3" xfId="21472"/>
    <cellStyle name="Normal 2 5 4 2 3 3 5" xfId="6391"/>
    <cellStyle name="Normal 2 5 4 2 3 3 5 2" xfId="15218"/>
    <cellStyle name="Normal 2 5 4 2 3 3 5 3" xfId="25469"/>
    <cellStyle name="Normal 2 5 4 2 3 3 6" xfId="7837"/>
    <cellStyle name="Normal 2 5 4 2 3 3 6 2" xfId="20663"/>
    <cellStyle name="Normal 2 5 4 2 3 3 7" xfId="16465"/>
    <cellStyle name="Normal 2 5 4 2 3 4" xfId="2992"/>
    <cellStyle name="Normal 2 5 4 2 3 4 2" xfId="5370"/>
    <cellStyle name="Normal 2 5 4 2 3 4 2 2" xfId="14209"/>
    <cellStyle name="Normal 2 5 4 2 3 4 2 2 2" xfId="24460"/>
    <cellStyle name="Normal 2 5 4 2 3 4 2 3" xfId="10630"/>
    <cellStyle name="Normal 2 5 4 2 3 4 2 4" xfId="19453"/>
    <cellStyle name="Normal 2 5 4 2 3 4 3" xfId="6827"/>
    <cellStyle name="Normal 2 5 4 2 3 4 3 2" xfId="15654"/>
    <cellStyle name="Normal 2 5 4 2 3 4 3 3" xfId="25905"/>
    <cellStyle name="Normal 2 5 4 2 3 4 4" xfId="8273"/>
    <cellStyle name="Normal 2 5 4 2 3 4 4 2" xfId="22355"/>
    <cellStyle name="Normal 2 5 4 2 3 4 5" xfId="17348"/>
    <cellStyle name="Normal 2 5 4 2 3 5" xfId="4326"/>
    <cellStyle name="Normal 2 5 4 2 3 5 2" xfId="13166"/>
    <cellStyle name="Normal 2 5 4 2 3 5 2 2" xfId="23417"/>
    <cellStyle name="Normal 2 5 4 2 3 5 3" xfId="9587"/>
    <cellStyle name="Normal 2 5 4 2 3 5 4" xfId="18410"/>
    <cellStyle name="Normal 2 5 4 2 3 6" xfId="1598"/>
    <cellStyle name="Normal 2 5 4 2 3 6 2" xfId="10977"/>
    <cellStyle name="Normal 2 5 4 2 3 6 3" xfId="20981"/>
    <cellStyle name="Normal 2 5 4 2 3 7" xfId="5784"/>
    <cellStyle name="Normal 2 5 4 2 3 7 2" xfId="14611"/>
    <cellStyle name="Normal 2 5 4 2 3 7 3" xfId="24862"/>
    <cellStyle name="Normal 2 5 4 2 3 8" xfId="7228"/>
    <cellStyle name="Normal 2 5 4 2 3 8 2" xfId="19954"/>
    <cellStyle name="Normal 2 5 4 2 3 9" xfId="15974"/>
    <cellStyle name="Normal 2 5 4 2 3_Degree data" xfId="2613"/>
    <cellStyle name="Normal 2 5 4 2 4" xfId="405"/>
    <cellStyle name="Normal 2 5 4 2 4 2" xfId="2892"/>
    <cellStyle name="Normal 2 5 4 2 4 2 2" xfId="12182"/>
    <cellStyle name="Normal 2 5 4 2 4 2 2 2" xfId="22255"/>
    <cellStyle name="Normal 2 5 4 2 4 2 3" xfId="8468"/>
    <cellStyle name="Normal 2 5 4 2 4 2 4" xfId="17248"/>
    <cellStyle name="Normal 2 5 4 2 4 3" xfId="4583"/>
    <cellStyle name="Normal 2 5 4 2 4 3 2" xfId="13423"/>
    <cellStyle name="Normal 2 5 4 2 4 3 2 2" xfId="23674"/>
    <cellStyle name="Normal 2 5 4 2 4 3 3" xfId="9844"/>
    <cellStyle name="Normal 2 5 4 2 4 3 4" xfId="18667"/>
    <cellStyle name="Normal 2 5 4 2 4 4" xfId="2001"/>
    <cellStyle name="Normal 2 5 4 2 4 4 2" xfId="11368"/>
    <cellStyle name="Normal 2 5 4 2 4 4 3" xfId="21372"/>
    <cellStyle name="Normal 2 5 4 2 4 5" xfId="6041"/>
    <cellStyle name="Normal 2 5 4 2 4 5 2" xfId="14868"/>
    <cellStyle name="Normal 2 5 4 2 4 5 3" xfId="25119"/>
    <cellStyle name="Normal 2 5 4 2 4 6" xfId="7485"/>
    <cellStyle name="Normal 2 5 4 2 4 6 2" xfId="19854"/>
    <cellStyle name="Normal 2 5 4 2 4 7" xfId="16365"/>
    <cellStyle name="Normal 2 5 4 2 5" xfId="767"/>
    <cellStyle name="Normal 2 5 4 2 5 2" xfId="3254"/>
    <cellStyle name="Normal 2 5 4 2 5 2 2" xfId="12398"/>
    <cellStyle name="Normal 2 5 4 2 5 2 2 2" xfId="22617"/>
    <cellStyle name="Normal 2 5 4 2 5 2 3" xfId="8820"/>
    <cellStyle name="Normal 2 5 4 2 5 2 4" xfId="17610"/>
    <cellStyle name="Normal 2 5 4 2 5 3" xfId="4932"/>
    <cellStyle name="Normal 2 5 4 2 5 3 2" xfId="13771"/>
    <cellStyle name="Normal 2 5 4 2 5 3 2 2" xfId="24022"/>
    <cellStyle name="Normal 2 5 4 2 5 3 3" xfId="10192"/>
    <cellStyle name="Normal 2 5 4 2 5 3 4" xfId="19015"/>
    <cellStyle name="Normal 2 5 4 2 5 4" xfId="2363"/>
    <cellStyle name="Normal 2 5 4 2 5 4 2" xfId="11730"/>
    <cellStyle name="Normal 2 5 4 2 5 4 3" xfId="21734"/>
    <cellStyle name="Normal 2 5 4 2 5 5" xfId="6389"/>
    <cellStyle name="Normal 2 5 4 2 5 5 2" xfId="15216"/>
    <cellStyle name="Normal 2 5 4 2 5 5 3" xfId="25467"/>
    <cellStyle name="Normal 2 5 4 2 5 6" xfId="7835"/>
    <cellStyle name="Normal 2 5 4 2 5 6 2" xfId="20216"/>
    <cellStyle name="Normal 2 5 4 2 5 7" xfId="16727"/>
    <cellStyle name="Normal 2 5 4 2 6" xfId="1177"/>
    <cellStyle name="Normal 2 5 4 2 6 2" xfId="3607"/>
    <cellStyle name="Normal 2 5 4 2 6 2 2" xfId="12745"/>
    <cellStyle name="Normal 2 5 4 2 6 2 2 2" xfId="22964"/>
    <cellStyle name="Normal 2 5 4 2 6 2 3" xfId="9166"/>
    <cellStyle name="Normal 2 5 4 2 6 2 4" xfId="17957"/>
    <cellStyle name="Normal 2 5 4 2 6 3" xfId="5270"/>
    <cellStyle name="Normal 2 5 4 2 6 3 2" xfId="14109"/>
    <cellStyle name="Normal 2 5 4 2 6 3 2 2" xfId="24360"/>
    <cellStyle name="Normal 2 5 4 2 6 3 3" xfId="10530"/>
    <cellStyle name="Normal 2 5 4 2 6 3 4" xfId="19353"/>
    <cellStyle name="Normal 2 5 4 2 6 4" xfId="1778"/>
    <cellStyle name="Normal 2 5 4 2 6 4 2" xfId="11151"/>
    <cellStyle name="Normal 2 5 4 2 6 4 3" xfId="21155"/>
    <cellStyle name="Normal 2 5 4 2 6 5" xfId="6727"/>
    <cellStyle name="Normal 2 5 4 2 6 5 2" xfId="15554"/>
    <cellStyle name="Normal 2 5 4 2 6 5 3" xfId="25805"/>
    <cellStyle name="Normal 2 5 4 2 6 6" xfId="8173"/>
    <cellStyle name="Normal 2 5 4 2 6 6 2" xfId="20563"/>
    <cellStyle name="Normal 2 5 4 2 6 7" xfId="16148"/>
    <cellStyle name="Normal 2 5 4 2 7" xfId="2675"/>
    <cellStyle name="Normal 2 5 4 2 7 2" xfId="11994"/>
    <cellStyle name="Normal 2 5 4 2 7 2 2" xfId="22038"/>
    <cellStyle name="Normal 2 5 4 2 7 3" xfId="8509"/>
    <cellStyle name="Normal 2 5 4 2 7 4" xfId="17031"/>
    <cellStyle name="Normal 2 5 4 2 8" xfId="4226"/>
    <cellStyle name="Normal 2 5 4 2 8 2" xfId="13066"/>
    <cellStyle name="Normal 2 5 4 2 8 2 2" xfId="23317"/>
    <cellStyle name="Normal 2 5 4 2 8 3" xfId="9487"/>
    <cellStyle name="Normal 2 5 4 2 8 4" xfId="18310"/>
    <cellStyle name="Normal 2 5 4 2 9" xfId="1498"/>
    <cellStyle name="Normal 2 5 4 2 9 2" xfId="10877"/>
    <cellStyle name="Normal 2 5 4 2 9 3" xfId="20881"/>
    <cellStyle name="Normal 2 5 4 2_Degree data" xfId="3838"/>
    <cellStyle name="Normal 2 5 4 3" xfId="222"/>
    <cellStyle name="Normal 2 5 4 3 10" xfId="7171"/>
    <cellStyle name="Normal 2 5 4 3 10 2" xfId="19680"/>
    <cellStyle name="Normal 2 5 4 3 11" xfId="15917"/>
    <cellStyle name="Normal 2 5 4 3 2" xfId="548"/>
    <cellStyle name="Normal 2 5 4 3 2 2" xfId="771"/>
    <cellStyle name="Normal 2 5 4 3 2 2 2" xfId="3258"/>
    <cellStyle name="Normal 2 5 4 3 2 2 2 2" xfId="12402"/>
    <cellStyle name="Normal 2 5 4 3 2 2 2 2 2" xfId="22621"/>
    <cellStyle name="Normal 2 5 4 3 2 2 2 3" xfId="8824"/>
    <cellStyle name="Normal 2 5 4 3 2 2 2 4" xfId="17614"/>
    <cellStyle name="Normal 2 5 4 3 2 2 3" xfId="4587"/>
    <cellStyle name="Normal 2 5 4 3 2 2 3 2" xfId="13427"/>
    <cellStyle name="Normal 2 5 4 3 2 2 3 2 2" xfId="23678"/>
    <cellStyle name="Normal 2 5 4 3 2 2 3 3" xfId="9848"/>
    <cellStyle name="Normal 2 5 4 3 2 2 3 4" xfId="18671"/>
    <cellStyle name="Normal 2 5 4 3 2 2 4" xfId="2367"/>
    <cellStyle name="Normal 2 5 4 3 2 2 4 2" xfId="11734"/>
    <cellStyle name="Normal 2 5 4 3 2 2 4 3" xfId="21738"/>
    <cellStyle name="Normal 2 5 4 3 2 2 5" xfId="6045"/>
    <cellStyle name="Normal 2 5 4 3 2 2 5 2" xfId="14872"/>
    <cellStyle name="Normal 2 5 4 3 2 2 5 3" xfId="25123"/>
    <cellStyle name="Normal 2 5 4 3 2 2 6" xfId="7489"/>
    <cellStyle name="Normal 2 5 4 3 2 2 6 2" xfId="20220"/>
    <cellStyle name="Normal 2 5 4 3 2 2 7" xfId="16731"/>
    <cellStyle name="Normal 2 5 4 3 2 3" xfId="1320"/>
    <cellStyle name="Normal 2 5 4 3 2 3 2" xfId="3750"/>
    <cellStyle name="Normal 2 5 4 3 2 3 2 2" xfId="12888"/>
    <cellStyle name="Normal 2 5 4 3 2 3 2 2 2" xfId="23107"/>
    <cellStyle name="Normal 2 5 4 3 2 3 2 3" xfId="9309"/>
    <cellStyle name="Normal 2 5 4 3 2 3 2 4" xfId="18100"/>
    <cellStyle name="Normal 2 5 4 3 2 3 3" xfId="4936"/>
    <cellStyle name="Normal 2 5 4 3 2 3 3 2" xfId="13775"/>
    <cellStyle name="Normal 2 5 4 3 2 3 3 2 2" xfId="24026"/>
    <cellStyle name="Normal 2 5 4 3 2 3 3 3" xfId="10196"/>
    <cellStyle name="Normal 2 5 4 3 2 3 3 4" xfId="19019"/>
    <cellStyle name="Normal 2 5 4 3 2 3 4" xfId="2144"/>
    <cellStyle name="Normal 2 5 4 3 2 3 4 2" xfId="11511"/>
    <cellStyle name="Normal 2 5 4 3 2 3 4 3" xfId="21515"/>
    <cellStyle name="Normal 2 5 4 3 2 3 5" xfId="6393"/>
    <cellStyle name="Normal 2 5 4 3 2 3 5 2" xfId="15220"/>
    <cellStyle name="Normal 2 5 4 3 2 3 5 3" xfId="25471"/>
    <cellStyle name="Normal 2 5 4 3 2 3 6" xfId="7839"/>
    <cellStyle name="Normal 2 5 4 3 2 3 6 2" xfId="20706"/>
    <cellStyle name="Normal 2 5 4 3 2 3 7" xfId="16508"/>
    <cellStyle name="Normal 2 5 4 3 2 4" xfId="3035"/>
    <cellStyle name="Normal 2 5 4 3 2 4 2" xfId="5413"/>
    <cellStyle name="Normal 2 5 4 3 2 4 2 2" xfId="14252"/>
    <cellStyle name="Normal 2 5 4 3 2 4 2 2 2" xfId="24503"/>
    <cellStyle name="Normal 2 5 4 3 2 4 2 3" xfId="10673"/>
    <cellStyle name="Normal 2 5 4 3 2 4 2 4" xfId="19496"/>
    <cellStyle name="Normal 2 5 4 3 2 4 3" xfId="6870"/>
    <cellStyle name="Normal 2 5 4 3 2 4 3 2" xfId="15697"/>
    <cellStyle name="Normal 2 5 4 3 2 4 3 3" xfId="25948"/>
    <cellStyle name="Normal 2 5 4 3 2 4 4" xfId="8316"/>
    <cellStyle name="Normal 2 5 4 3 2 4 4 2" xfId="22398"/>
    <cellStyle name="Normal 2 5 4 3 2 4 5" xfId="17391"/>
    <cellStyle name="Normal 2 5 4 3 2 5" xfId="4369"/>
    <cellStyle name="Normal 2 5 4 3 2 5 2" xfId="13209"/>
    <cellStyle name="Normal 2 5 4 3 2 5 2 2" xfId="23460"/>
    <cellStyle name="Normal 2 5 4 3 2 5 3" xfId="9630"/>
    <cellStyle name="Normal 2 5 4 3 2 5 4" xfId="18453"/>
    <cellStyle name="Normal 2 5 4 3 2 6" xfId="1641"/>
    <cellStyle name="Normal 2 5 4 3 2 6 2" xfId="11020"/>
    <cellStyle name="Normal 2 5 4 3 2 6 3" xfId="21024"/>
    <cellStyle name="Normal 2 5 4 3 2 7" xfId="5827"/>
    <cellStyle name="Normal 2 5 4 3 2 7 2" xfId="14654"/>
    <cellStyle name="Normal 2 5 4 3 2 7 3" xfId="24905"/>
    <cellStyle name="Normal 2 5 4 3 2 8" xfId="7271"/>
    <cellStyle name="Normal 2 5 4 3 2 8 2" xfId="19997"/>
    <cellStyle name="Normal 2 5 4 3 2 9" xfId="16017"/>
    <cellStyle name="Normal 2 5 4 3 2_Degree data" xfId="3856"/>
    <cellStyle name="Normal 2 5 4 3 3" xfId="448"/>
    <cellStyle name="Normal 2 5 4 3 3 2" xfId="2935"/>
    <cellStyle name="Normal 2 5 4 3 3 2 2" xfId="12225"/>
    <cellStyle name="Normal 2 5 4 3 3 2 2 2" xfId="22298"/>
    <cellStyle name="Normal 2 5 4 3 3 2 3" xfId="8457"/>
    <cellStyle name="Normal 2 5 4 3 3 2 4" xfId="17291"/>
    <cellStyle name="Normal 2 5 4 3 3 3" xfId="4586"/>
    <cellStyle name="Normal 2 5 4 3 3 3 2" xfId="13426"/>
    <cellStyle name="Normal 2 5 4 3 3 3 2 2" xfId="23677"/>
    <cellStyle name="Normal 2 5 4 3 3 3 3" xfId="9847"/>
    <cellStyle name="Normal 2 5 4 3 3 3 4" xfId="18670"/>
    <cellStyle name="Normal 2 5 4 3 3 4" xfId="2044"/>
    <cellStyle name="Normal 2 5 4 3 3 4 2" xfId="11411"/>
    <cellStyle name="Normal 2 5 4 3 3 4 3" xfId="21415"/>
    <cellStyle name="Normal 2 5 4 3 3 5" xfId="6044"/>
    <cellStyle name="Normal 2 5 4 3 3 5 2" xfId="14871"/>
    <cellStyle name="Normal 2 5 4 3 3 5 3" xfId="25122"/>
    <cellStyle name="Normal 2 5 4 3 3 6" xfId="7488"/>
    <cellStyle name="Normal 2 5 4 3 3 6 2" xfId="19897"/>
    <cellStyle name="Normal 2 5 4 3 3 7" xfId="16408"/>
    <cellStyle name="Normal 2 5 4 3 4" xfId="770"/>
    <cellStyle name="Normal 2 5 4 3 4 2" xfId="3257"/>
    <cellStyle name="Normal 2 5 4 3 4 2 2" xfId="12401"/>
    <cellStyle name="Normal 2 5 4 3 4 2 2 2" xfId="22620"/>
    <cellStyle name="Normal 2 5 4 3 4 2 3" xfId="8823"/>
    <cellStyle name="Normal 2 5 4 3 4 2 4" xfId="17613"/>
    <cellStyle name="Normal 2 5 4 3 4 3" xfId="4935"/>
    <cellStyle name="Normal 2 5 4 3 4 3 2" xfId="13774"/>
    <cellStyle name="Normal 2 5 4 3 4 3 2 2" xfId="24025"/>
    <cellStyle name="Normal 2 5 4 3 4 3 3" xfId="10195"/>
    <cellStyle name="Normal 2 5 4 3 4 3 4" xfId="19018"/>
    <cellStyle name="Normal 2 5 4 3 4 4" xfId="2366"/>
    <cellStyle name="Normal 2 5 4 3 4 4 2" xfId="11733"/>
    <cellStyle name="Normal 2 5 4 3 4 4 3" xfId="21737"/>
    <cellStyle name="Normal 2 5 4 3 4 5" xfId="6392"/>
    <cellStyle name="Normal 2 5 4 3 4 5 2" xfId="15219"/>
    <cellStyle name="Normal 2 5 4 3 4 5 3" xfId="25470"/>
    <cellStyle name="Normal 2 5 4 3 4 6" xfId="7838"/>
    <cellStyle name="Normal 2 5 4 3 4 6 2" xfId="20219"/>
    <cellStyle name="Normal 2 5 4 3 4 7" xfId="16730"/>
    <cellStyle name="Normal 2 5 4 3 5" xfId="1220"/>
    <cellStyle name="Normal 2 5 4 3 5 2" xfId="3650"/>
    <cellStyle name="Normal 2 5 4 3 5 2 2" xfId="12788"/>
    <cellStyle name="Normal 2 5 4 3 5 2 2 2" xfId="23007"/>
    <cellStyle name="Normal 2 5 4 3 5 2 3" xfId="9209"/>
    <cellStyle name="Normal 2 5 4 3 5 2 4" xfId="18000"/>
    <cellStyle name="Normal 2 5 4 3 5 3" xfId="5313"/>
    <cellStyle name="Normal 2 5 4 3 5 3 2" xfId="14152"/>
    <cellStyle name="Normal 2 5 4 3 5 3 2 2" xfId="24403"/>
    <cellStyle name="Normal 2 5 4 3 5 3 3" xfId="10573"/>
    <cellStyle name="Normal 2 5 4 3 5 3 4" xfId="19396"/>
    <cellStyle name="Normal 2 5 4 3 5 4" xfId="1824"/>
    <cellStyle name="Normal 2 5 4 3 5 4 2" xfId="11194"/>
    <cellStyle name="Normal 2 5 4 3 5 4 3" xfId="21198"/>
    <cellStyle name="Normal 2 5 4 3 5 5" xfId="6770"/>
    <cellStyle name="Normal 2 5 4 3 5 5 2" xfId="15597"/>
    <cellStyle name="Normal 2 5 4 3 5 5 3" xfId="25848"/>
    <cellStyle name="Normal 2 5 4 3 5 6" xfId="8216"/>
    <cellStyle name="Normal 2 5 4 3 5 6 2" xfId="20606"/>
    <cellStyle name="Normal 2 5 4 3 5 7" xfId="16191"/>
    <cellStyle name="Normal 2 5 4 3 6" xfId="2718"/>
    <cellStyle name="Normal 2 5 4 3 6 2" xfId="12037"/>
    <cellStyle name="Normal 2 5 4 3 6 2 2" xfId="22081"/>
    <cellStyle name="Normal 2 5 4 3 6 3" xfId="8552"/>
    <cellStyle name="Normal 2 5 4 3 6 4" xfId="17074"/>
    <cellStyle name="Normal 2 5 4 3 7" xfId="4269"/>
    <cellStyle name="Normal 2 5 4 3 7 2" xfId="13109"/>
    <cellStyle name="Normal 2 5 4 3 7 2 2" xfId="23360"/>
    <cellStyle name="Normal 2 5 4 3 7 3" xfId="9530"/>
    <cellStyle name="Normal 2 5 4 3 7 4" xfId="18353"/>
    <cellStyle name="Normal 2 5 4 3 8" xfId="1541"/>
    <cellStyle name="Normal 2 5 4 3 8 2" xfId="10920"/>
    <cellStyle name="Normal 2 5 4 3 8 3" xfId="20924"/>
    <cellStyle name="Normal 2 5 4 3 9" xfId="5727"/>
    <cellStyle name="Normal 2 5 4 3 9 2" xfId="14554"/>
    <cellStyle name="Normal 2 5 4 3 9 3" xfId="24805"/>
    <cellStyle name="Normal 2 5 4 3_Degree data" xfId="3939"/>
    <cellStyle name="Normal 2 5 4 4" xfId="254"/>
    <cellStyle name="Normal 2 5 4 4 10" xfId="7095"/>
    <cellStyle name="Normal 2 5 4 4 10 2" xfId="19709"/>
    <cellStyle name="Normal 2 5 4 4 11" xfId="15841"/>
    <cellStyle name="Normal 2 5 4 4 2" xfId="577"/>
    <cellStyle name="Normal 2 5 4 4 2 2" xfId="773"/>
    <cellStyle name="Normal 2 5 4 4 2 2 2" xfId="3260"/>
    <cellStyle name="Normal 2 5 4 4 2 2 2 2" xfId="12404"/>
    <cellStyle name="Normal 2 5 4 4 2 2 2 2 2" xfId="22623"/>
    <cellStyle name="Normal 2 5 4 4 2 2 2 3" xfId="8826"/>
    <cellStyle name="Normal 2 5 4 4 2 2 2 4" xfId="17616"/>
    <cellStyle name="Normal 2 5 4 4 2 2 3" xfId="4589"/>
    <cellStyle name="Normal 2 5 4 4 2 2 3 2" xfId="13429"/>
    <cellStyle name="Normal 2 5 4 4 2 2 3 2 2" xfId="23680"/>
    <cellStyle name="Normal 2 5 4 4 2 2 3 3" xfId="9850"/>
    <cellStyle name="Normal 2 5 4 4 2 2 3 4" xfId="18673"/>
    <cellStyle name="Normal 2 5 4 4 2 2 4" xfId="2369"/>
    <cellStyle name="Normal 2 5 4 4 2 2 4 2" xfId="11736"/>
    <cellStyle name="Normal 2 5 4 4 2 2 4 3" xfId="21740"/>
    <cellStyle name="Normal 2 5 4 4 2 2 5" xfId="6047"/>
    <cellStyle name="Normal 2 5 4 4 2 2 5 2" xfId="14874"/>
    <cellStyle name="Normal 2 5 4 4 2 2 5 3" xfId="25125"/>
    <cellStyle name="Normal 2 5 4 4 2 2 6" xfId="7491"/>
    <cellStyle name="Normal 2 5 4 4 2 2 6 2" xfId="20222"/>
    <cellStyle name="Normal 2 5 4 4 2 2 7" xfId="16733"/>
    <cellStyle name="Normal 2 5 4 4 2 3" xfId="1349"/>
    <cellStyle name="Normal 2 5 4 4 2 3 2" xfId="3779"/>
    <cellStyle name="Normal 2 5 4 4 2 3 2 2" xfId="12917"/>
    <cellStyle name="Normal 2 5 4 4 2 3 2 2 2" xfId="23136"/>
    <cellStyle name="Normal 2 5 4 4 2 3 2 3" xfId="9338"/>
    <cellStyle name="Normal 2 5 4 4 2 3 2 4" xfId="18129"/>
    <cellStyle name="Normal 2 5 4 4 2 3 3" xfId="4938"/>
    <cellStyle name="Normal 2 5 4 4 2 3 3 2" xfId="13777"/>
    <cellStyle name="Normal 2 5 4 4 2 3 3 2 2" xfId="24028"/>
    <cellStyle name="Normal 2 5 4 4 2 3 3 3" xfId="10198"/>
    <cellStyle name="Normal 2 5 4 4 2 3 3 4" xfId="19021"/>
    <cellStyle name="Normal 2 5 4 4 2 3 4" xfId="2173"/>
    <cellStyle name="Normal 2 5 4 4 2 3 4 2" xfId="11540"/>
    <cellStyle name="Normal 2 5 4 4 2 3 4 3" xfId="21544"/>
    <cellStyle name="Normal 2 5 4 4 2 3 5" xfId="6395"/>
    <cellStyle name="Normal 2 5 4 4 2 3 5 2" xfId="15222"/>
    <cellStyle name="Normal 2 5 4 4 2 3 5 3" xfId="25473"/>
    <cellStyle name="Normal 2 5 4 4 2 3 6" xfId="7841"/>
    <cellStyle name="Normal 2 5 4 4 2 3 6 2" xfId="20735"/>
    <cellStyle name="Normal 2 5 4 4 2 3 7" xfId="16537"/>
    <cellStyle name="Normal 2 5 4 4 2 4" xfId="3064"/>
    <cellStyle name="Normal 2 5 4 4 2 4 2" xfId="5442"/>
    <cellStyle name="Normal 2 5 4 4 2 4 2 2" xfId="14281"/>
    <cellStyle name="Normal 2 5 4 4 2 4 2 2 2" xfId="24532"/>
    <cellStyle name="Normal 2 5 4 4 2 4 2 3" xfId="10702"/>
    <cellStyle name="Normal 2 5 4 4 2 4 2 4" xfId="19525"/>
    <cellStyle name="Normal 2 5 4 4 2 4 3" xfId="6899"/>
    <cellStyle name="Normal 2 5 4 4 2 4 3 2" xfId="15726"/>
    <cellStyle name="Normal 2 5 4 4 2 4 3 3" xfId="25977"/>
    <cellStyle name="Normal 2 5 4 4 2 4 4" xfId="8345"/>
    <cellStyle name="Normal 2 5 4 4 2 4 4 2" xfId="22427"/>
    <cellStyle name="Normal 2 5 4 4 2 4 5" xfId="17420"/>
    <cellStyle name="Normal 2 5 4 4 2 5" xfId="4398"/>
    <cellStyle name="Normal 2 5 4 4 2 5 2" xfId="13238"/>
    <cellStyle name="Normal 2 5 4 4 2 5 2 2" xfId="23489"/>
    <cellStyle name="Normal 2 5 4 4 2 5 3" xfId="9659"/>
    <cellStyle name="Normal 2 5 4 4 2 5 4" xfId="18482"/>
    <cellStyle name="Normal 2 5 4 4 2 6" xfId="1670"/>
    <cellStyle name="Normal 2 5 4 4 2 6 2" xfId="11049"/>
    <cellStyle name="Normal 2 5 4 4 2 6 3" xfId="21053"/>
    <cellStyle name="Normal 2 5 4 4 2 7" xfId="5856"/>
    <cellStyle name="Normal 2 5 4 4 2 7 2" xfId="14683"/>
    <cellStyle name="Normal 2 5 4 4 2 7 3" xfId="24934"/>
    <cellStyle name="Normal 2 5 4 4 2 8" xfId="7300"/>
    <cellStyle name="Normal 2 5 4 4 2 8 2" xfId="20026"/>
    <cellStyle name="Normal 2 5 4 4 2 9" xfId="16046"/>
    <cellStyle name="Normal 2 5 4 4 2_Degree data" xfId="3836"/>
    <cellStyle name="Normal 2 5 4 4 3" xfId="372"/>
    <cellStyle name="Normal 2 5 4 4 3 2" xfId="2859"/>
    <cellStyle name="Normal 2 5 4 4 3 2 2" xfId="12149"/>
    <cellStyle name="Normal 2 5 4 4 3 2 2 2" xfId="22222"/>
    <cellStyle name="Normal 2 5 4 4 3 2 3" xfId="8596"/>
    <cellStyle name="Normal 2 5 4 4 3 2 4" xfId="17215"/>
    <cellStyle name="Normal 2 5 4 4 3 3" xfId="4588"/>
    <cellStyle name="Normal 2 5 4 4 3 3 2" xfId="13428"/>
    <cellStyle name="Normal 2 5 4 4 3 3 2 2" xfId="23679"/>
    <cellStyle name="Normal 2 5 4 4 3 3 3" xfId="9849"/>
    <cellStyle name="Normal 2 5 4 4 3 3 4" xfId="18672"/>
    <cellStyle name="Normal 2 5 4 4 3 4" xfId="1968"/>
    <cellStyle name="Normal 2 5 4 4 3 4 2" xfId="11335"/>
    <cellStyle name="Normal 2 5 4 4 3 4 3" xfId="21339"/>
    <cellStyle name="Normal 2 5 4 4 3 5" xfId="6046"/>
    <cellStyle name="Normal 2 5 4 4 3 5 2" xfId="14873"/>
    <cellStyle name="Normal 2 5 4 4 3 5 3" xfId="25124"/>
    <cellStyle name="Normal 2 5 4 4 3 6" xfId="7490"/>
    <cellStyle name="Normal 2 5 4 4 3 6 2" xfId="19821"/>
    <cellStyle name="Normal 2 5 4 4 3 7" xfId="16332"/>
    <cellStyle name="Normal 2 5 4 4 4" xfId="772"/>
    <cellStyle name="Normal 2 5 4 4 4 2" xfId="3259"/>
    <cellStyle name="Normal 2 5 4 4 4 2 2" xfId="12403"/>
    <cellStyle name="Normal 2 5 4 4 4 2 2 2" xfId="22622"/>
    <cellStyle name="Normal 2 5 4 4 4 2 3" xfId="8825"/>
    <cellStyle name="Normal 2 5 4 4 4 2 4" xfId="17615"/>
    <cellStyle name="Normal 2 5 4 4 4 3" xfId="4937"/>
    <cellStyle name="Normal 2 5 4 4 4 3 2" xfId="13776"/>
    <cellStyle name="Normal 2 5 4 4 4 3 2 2" xfId="24027"/>
    <cellStyle name="Normal 2 5 4 4 4 3 3" xfId="10197"/>
    <cellStyle name="Normal 2 5 4 4 4 3 4" xfId="19020"/>
    <cellStyle name="Normal 2 5 4 4 4 4" xfId="2368"/>
    <cellStyle name="Normal 2 5 4 4 4 4 2" xfId="11735"/>
    <cellStyle name="Normal 2 5 4 4 4 4 3" xfId="21739"/>
    <cellStyle name="Normal 2 5 4 4 4 5" xfId="6394"/>
    <cellStyle name="Normal 2 5 4 4 4 5 2" xfId="15221"/>
    <cellStyle name="Normal 2 5 4 4 4 5 3" xfId="25472"/>
    <cellStyle name="Normal 2 5 4 4 4 6" xfId="7840"/>
    <cellStyle name="Normal 2 5 4 4 4 6 2" xfId="20221"/>
    <cellStyle name="Normal 2 5 4 4 4 7" xfId="16732"/>
    <cellStyle name="Normal 2 5 4 4 5" xfId="1144"/>
    <cellStyle name="Normal 2 5 4 4 5 2" xfId="3574"/>
    <cellStyle name="Normal 2 5 4 4 5 2 2" xfId="12712"/>
    <cellStyle name="Normal 2 5 4 4 5 2 2 2" xfId="22931"/>
    <cellStyle name="Normal 2 5 4 4 5 2 3" xfId="9133"/>
    <cellStyle name="Normal 2 5 4 4 5 2 4" xfId="17924"/>
    <cellStyle name="Normal 2 5 4 4 5 3" xfId="5237"/>
    <cellStyle name="Normal 2 5 4 4 5 3 2" xfId="14076"/>
    <cellStyle name="Normal 2 5 4 4 5 3 2 2" xfId="24327"/>
    <cellStyle name="Normal 2 5 4 4 5 3 3" xfId="10497"/>
    <cellStyle name="Normal 2 5 4 4 5 3 4" xfId="19320"/>
    <cellStyle name="Normal 2 5 4 4 5 4" xfId="1853"/>
    <cellStyle name="Normal 2 5 4 4 5 4 2" xfId="11223"/>
    <cellStyle name="Normal 2 5 4 4 5 4 3" xfId="21227"/>
    <cellStyle name="Normal 2 5 4 4 5 5" xfId="6694"/>
    <cellStyle name="Normal 2 5 4 4 5 5 2" xfId="15521"/>
    <cellStyle name="Normal 2 5 4 4 5 5 3" xfId="25772"/>
    <cellStyle name="Normal 2 5 4 4 5 6" xfId="8140"/>
    <cellStyle name="Normal 2 5 4 4 5 6 2" xfId="20530"/>
    <cellStyle name="Normal 2 5 4 4 5 7" xfId="16220"/>
    <cellStyle name="Normal 2 5 4 4 6" xfId="2747"/>
    <cellStyle name="Normal 2 5 4 4 6 2" xfId="12066"/>
    <cellStyle name="Normal 2 5 4 4 6 2 2" xfId="22110"/>
    <cellStyle name="Normal 2 5 4 4 6 3" xfId="8627"/>
    <cellStyle name="Normal 2 5 4 4 6 4" xfId="17103"/>
    <cellStyle name="Normal 2 5 4 4 7" xfId="4193"/>
    <cellStyle name="Normal 2 5 4 4 7 2" xfId="13033"/>
    <cellStyle name="Normal 2 5 4 4 7 2 2" xfId="23284"/>
    <cellStyle name="Normal 2 5 4 4 7 3" xfId="9454"/>
    <cellStyle name="Normal 2 5 4 4 7 4" xfId="18277"/>
    <cellStyle name="Normal 2 5 4 4 8" xfId="1465"/>
    <cellStyle name="Normal 2 5 4 4 8 2" xfId="10844"/>
    <cellStyle name="Normal 2 5 4 4 8 3" xfId="20848"/>
    <cellStyle name="Normal 2 5 4 4 9" xfId="5651"/>
    <cellStyle name="Normal 2 5 4 4 9 2" xfId="14478"/>
    <cellStyle name="Normal 2 5 4 4 9 3" xfId="24729"/>
    <cellStyle name="Normal 2 5 4 4_Degree data" xfId="3909"/>
    <cellStyle name="Normal 2 5 4 5" xfId="472"/>
    <cellStyle name="Normal 2 5 4 5 2" xfId="774"/>
    <cellStyle name="Normal 2 5 4 5 2 2" xfId="3261"/>
    <cellStyle name="Normal 2 5 4 5 2 2 2" xfId="12405"/>
    <cellStyle name="Normal 2 5 4 5 2 2 2 2" xfId="22624"/>
    <cellStyle name="Normal 2 5 4 5 2 2 3" xfId="8827"/>
    <cellStyle name="Normal 2 5 4 5 2 2 4" xfId="17617"/>
    <cellStyle name="Normal 2 5 4 5 2 3" xfId="4590"/>
    <cellStyle name="Normal 2 5 4 5 2 3 2" xfId="13430"/>
    <cellStyle name="Normal 2 5 4 5 2 3 2 2" xfId="23681"/>
    <cellStyle name="Normal 2 5 4 5 2 3 3" xfId="9851"/>
    <cellStyle name="Normal 2 5 4 5 2 3 4" xfId="18674"/>
    <cellStyle name="Normal 2 5 4 5 2 4" xfId="2370"/>
    <cellStyle name="Normal 2 5 4 5 2 4 2" xfId="11737"/>
    <cellStyle name="Normal 2 5 4 5 2 4 3" xfId="21741"/>
    <cellStyle name="Normal 2 5 4 5 2 5" xfId="6048"/>
    <cellStyle name="Normal 2 5 4 5 2 5 2" xfId="14875"/>
    <cellStyle name="Normal 2 5 4 5 2 5 3" xfId="25126"/>
    <cellStyle name="Normal 2 5 4 5 2 6" xfId="7492"/>
    <cellStyle name="Normal 2 5 4 5 2 6 2" xfId="20223"/>
    <cellStyle name="Normal 2 5 4 5 2 7" xfId="16734"/>
    <cellStyle name="Normal 2 5 4 5 3" xfId="1244"/>
    <cellStyle name="Normal 2 5 4 5 3 2" xfId="3674"/>
    <cellStyle name="Normal 2 5 4 5 3 2 2" xfId="12812"/>
    <cellStyle name="Normal 2 5 4 5 3 2 2 2" xfId="23031"/>
    <cellStyle name="Normal 2 5 4 5 3 2 3" xfId="9233"/>
    <cellStyle name="Normal 2 5 4 5 3 2 4" xfId="18024"/>
    <cellStyle name="Normal 2 5 4 5 3 3" xfId="4939"/>
    <cellStyle name="Normal 2 5 4 5 3 3 2" xfId="13778"/>
    <cellStyle name="Normal 2 5 4 5 3 3 2 2" xfId="24029"/>
    <cellStyle name="Normal 2 5 4 5 3 3 3" xfId="10199"/>
    <cellStyle name="Normal 2 5 4 5 3 3 4" xfId="19022"/>
    <cellStyle name="Normal 2 5 4 5 3 4" xfId="2068"/>
    <cellStyle name="Normal 2 5 4 5 3 4 2" xfId="11435"/>
    <cellStyle name="Normal 2 5 4 5 3 4 3" xfId="21439"/>
    <cellStyle name="Normal 2 5 4 5 3 5" xfId="6396"/>
    <cellStyle name="Normal 2 5 4 5 3 5 2" xfId="15223"/>
    <cellStyle name="Normal 2 5 4 5 3 5 3" xfId="25474"/>
    <cellStyle name="Normal 2 5 4 5 3 6" xfId="7842"/>
    <cellStyle name="Normal 2 5 4 5 3 6 2" xfId="20630"/>
    <cellStyle name="Normal 2 5 4 5 3 7" xfId="16432"/>
    <cellStyle name="Normal 2 5 4 5 4" xfId="2959"/>
    <cellStyle name="Normal 2 5 4 5 4 2" xfId="5337"/>
    <cellStyle name="Normal 2 5 4 5 4 2 2" xfId="14176"/>
    <cellStyle name="Normal 2 5 4 5 4 2 2 2" xfId="24427"/>
    <cellStyle name="Normal 2 5 4 5 4 2 3" xfId="10597"/>
    <cellStyle name="Normal 2 5 4 5 4 2 4" xfId="19420"/>
    <cellStyle name="Normal 2 5 4 5 4 3" xfId="6794"/>
    <cellStyle name="Normal 2 5 4 5 4 3 2" xfId="15621"/>
    <cellStyle name="Normal 2 5 4 5 4 3 3" xfId="25872"/>
    <cellStyle name="Normal 2 5 4 5 4 4" xfId="8240"/>
    <cellStyle name="Normal 2 5 4 5 4 4 2" xfId="22322"/>
    <cellStyle name="Normal 2 5 4 5 4 5" xfId="17315"/>
    <cellStyle name="Normal 2 5 4 5 5" xfId="4293"/>
    <cellStyle name="Normal 2 5 4 5 5 2" xfId="13133"/>
    <cellStyle name="Normal 2 5 4 5 5 2 2" xfId="23384"/>
    <cellStyle name="Normal 2 5 4 5 5 3" xfId="9554"/>
    <cellStyle name="Normal 2 5 4 5 5 4" xfId="18377"/>
    <cellStyle name="Normal 2 5 4 5 6" xfId="1565"/>
    <cellStyle name="Normal 2 5 4 5 6 2" xfId="10944"/>
    <cellStyle name="Normal 2 5 4 5 6 3" xfId="20948"/>
    <cellStyle name="Normal 2 5 4 5 7" xfId="5751"/>
    <cellStyle name="Normal 2 5 4 5 7 2" xfId="14578"/>
    <cellStyle name="Normal 2 5 4 5 7 3" xfId="24829"/>
    <cellStyle name="Normal 2 5 4 5 8" xfId="7195"/>
    <cellStyle name="Normal 2 5 4 5 8 2" xfId="19921"/>
    <cellStyle name="Normal 2 5 4 5 9" xfId="15941"/>
    <cellStyle name="Normal 2 5 4 5_Degree data" xfId="3911"/>
    <cellStyle name="Normal 2 5 4 6" xfId="348"/>
    <cellStyle name="Normal 2 5 4 6 2" xfId="775"/>
    <cellStyle name="Normal 2 5 4 6 2 2" xfId="3262"/>
    <cellStyle name="Normal 2 5 4 6 2 2 2" xfId="12406"/>
    <cellStyle name="Normal 2 5 4 6 2 2 2 2" xfId="22625"/>
    <cellStyle name="Normal 2 5 4 6 2 2 3" xfId="8828"/>
    <cellStyle name="Normal 2 5 4 6 2 2 4" xfId="17618"/>
    <cellStyle name="Normal 2 5 4 6 2 3" xfId="4591"/>
    <cellStyle name="Normal 2 5 4 6 2 3 2" xfId="13431"/>
    <cellStyle name="Normal 2 5 4 6 2 3 2 2" xfId="23682"/>
    <cellStyle name="Normal 2 5 4 6 2 3 3" xfId="9852"/>
    <cellStyle name="Normal 2 5 4 6 2 3 4" xfId="18675"/>
    <cellStyle name="Normal 2 5 4 6 2 4" xfId="2371"/>
    <cellStyle name="Normal 2 5 4 6 2 4 2" xfId="11738"/>
    <cellStyle name="Normal 2 5 4 6 2 4 3" xfId="21742"/>
    <cellStyle name="Normal 2 5 4 6 2 5" xfId="6049"/>
    <cellStyle name="Normal 2 5 4 6 2 5 2" xfId="14876"/>
    <cellStyle name="Normal 2 5 4 6 2 5 3" xfId="25127"/>
    <cellStyle name="Normal 2 5 4 6 2 6" xfId="7493"/>
    <cellStyle name="Normal 2 5 4 6 2 6 2" xfId="20224"/>
    <cellStyle name="Normal 2 5 4 6 2 7" xfId="16735"/>
    <cellStyle name="Normal 2 5 4 6 3" xfId="1120"/>
    <cellStyle name="Normal 2 5 4 6 3 2" xfId="3550"/>
    <cellStyle name="Normal 2 5 4 6 3 2 2" xfId="12688"/>
    <cellStyle name="Normal 2 5 4 6 3 2 2 2" xfId="22907"/>
    <cellStyle name="Normal 2 5 4 6 3 2 3" xfId="9109"/>
    <cellStyle name="Normal 2 5 4 6 3 2 4" xfId="17900"/>
    <cellStyle name="Normal 2 5 4 6 3 3" xfId="4940"/>
    <cellStyle name="Normal 2 5 4 6 3 3 2" xfId="13779"/>
    <cellStyle name="Normal 2 5 4 6 3 3 2 2" xfId="24030"/>
    <cellStyle name="Normal 2 5 4 6 3 3 3" xfId="10200"/>
    <cellStyle name="Normal 2 5 4 6 3 3 4" xfId="19023"/>
    <cellStyle name="Normal 2 5 4 6 3 4" xfId="2598"/>
    <cellStyle name="Normal 2 5 4 6 3 4 2" xfId="11964"/>
    <cellStyle name="Normal 2 5 4 6 3 4 3" xfId="21968"/>
    <cellStyle name="Normal 2 5 4 6 3 5" xfId="6397"/>
    <cellStyle name="Normal 2 5 4 6 3 5 2" xfId="15224"/>
    <cellStyle name="Normal 2 5 4 6 3 5 3" xfId="25475"/>
    <cellStyle name="Normal 2 5 4 6 3 6" xfId="7843"/>
    <cellStyle name="Normal 2 5 4 6 3 6 2" xfId="20506"/>
    <cellStyle name="Normal 2 5 4 6 3 7" xfId="16961"/>
    <cellStyle name="Normal 2 5 4 6 4" xfId="2835"/>
    <cellStyle name="Normal 2 5 4 6 4 2" xfId="5213"/>
    <cellStyle name="Normal 2 5 4 6 4 2 2" xfId="14052"/>
    <cellStyle name="Normal 2 5 4 6 4 2 2 2" xfId="24303"/>
    <cellStyle name="Normal 2 5 4 6 4 2 3" xfId="10473"/>
    <cellStyle name="Normal 2 5 4 6 4 2 4" xfId="19296"/>
    <cellStyle name="Normal 2 5 4 6 4 3" xfId="6670"/>
    <cellStyle name="Normal 2 5 4 6 4 3 2" xfId="15497"/>
    <cellStyle name="Normal 2 5 4 6 4 3 3" xfId="25748"/>
    <cellStyle name="Normal 2 5 4 6 4 4" xfId="8116"/>
    <cellStyle name="Normal 2 5 4 6 4 4 2" xfId="22198"/>
    <cellStyle name="Normal 2 5 4 6 4 5" xfId="17191"/>
    <cellStyle name="Normal 2 5 4 6 5" xfId="4167"/>
    <cellStyle name="Normal 2 5 4 6 5 2" xfId="13007"/>
    <cellStyle name="Normal 2 5 4 6 5 2 2" xfId="23258"/>
    <cellStyle name="Normal 2 5 4 6 5 3" xfId="9428"/>
    <cellStyle name="Normal 2 5 4 6 5 4" xfId="18251"/>
    <cellStyle name="Normal 2 5 4 6 6" xfId="1944"/>
    <cellStyle name="Normal 2 5 4 6 6 2" xfId="11311"/>
    <cellStyle name="Normal 2 5 4 6 6 3" xfId="21315"/>
    <cellStyle name="Normal 2 5 4 6 7" xfId="5627"/>
    <cellStyle name="Normal 2 5 4 6 7 2" xfId="14454"/>
    <cellStyle name="Normal 2 5 4 6 7 3" xfId="24705"/>
    <cellStyle name="Normal 2 5 4 6 8" xfId="7071"/>
    <cellStyle name="Normal 2 5 4 6 8 2" xfId="19797"/>
    <cellStyle name="Normal 2 5 4 6 9" xfId="16308"/>
    <cellStyle name="Normal 2 5 4 6_Degree data" xfId="3840"/>
    <cellStyle name="Normal 2 5 4 7" xfId="766"/>
    <cellStyle name="Normal 2 5 4 7 2" xfId="3253"/>
    <cellStyle name="Normal 2 5 4 7 2 2" xfId="12397"/>
    <cellStyle name="Normal 2 5 4 7 2 2 2" xfId="22616"/>
    <cellStyle name="Normal 2 5 4 7 2 3" xfId="8819"/>
    <cellStyle name="Normal 2 5 4 7 2 4" xfId="17609"/>
    <cellStyle name="Normal 2 5 4 7 3" xfId="4582"/>
    <cellStyle name="Normal 2 5 4 7 3 2" xfId="13422"/>
    <cellStyle name="Normal 2 5 4 7 3 2 2" xfId="23673"/>
    <cellStyle name="Normal 2 5 4 7 3 3" xfId="9843"/>
    <cellStyle name="Normal 2 5 4 7 3 4" xfId="18666"/>
    <cellStyle name="Normal 2 5 4 7 4" xfId="2362"/>
    <cellStyle name="Normal 2 5 4 7 4 2" xfId="11729"/>
    <cellStyle name="Normal 2 5 4 7 4 3" xfId="21733"/>
    <cellStyle name="Normal 2 5 4 7 5" xfId="6040"/>
    <cellStyle name="Normal 2 5 4 7 5 2" xfId="14867"/>
    <cellStyle name="Normal 2 5 4 7 5 3" xfId="25118"/>
    <cellStyle name="Normal 2 5 4 7 6" xfId="7484"/>
    <cellStyle name="Normal 2 5 4 7 6 2" xfId="20215"/>
    <cellStyle name="Normal 2 5 4 7 7" xfId="16726"/>
    <cellStyle name="Normal 2 5 4 8" xfId="1075"/>
    <cellStyle name="Normal 2 5 4 8 2" xfId="3505"/>
    <cellStyle name="Normal 2 5 4 8 2 2" xfId="12643"/>
    <cellStyle name="Normal 2 5 4 8 2 2 2" xfId="22862"/>
    <cellStyle name="Normal 2 5 4 8 2 3" xfId="9065"/>
    <cellStyle name="Normal 2 5 4 8 2 4" xfId="17855"/>
    <cellStyle name="Normal 2 5 4 8 3" xfId="4931"/>
    <cellStyle name="Normal 2 5 4 8 3 2" xfId="13770"/>
    <cellStyle name="Normal 2 5 4 8 3 2 2" xfId="24021"/>
    <cellStyle name="Normal 2 5 4 8 3 3" xfId="10191"/>
    <cellStyle name="Normal 2 5 4 8 3 4" xfId="19014"/>
    <cellStyle name="Normal 2 5 4 8 4" xfId="1741"/>
    <cellStyle name="Normal 2 5 4 8 4 2" xfId="11117"/>
    <cellStyle name="Normal 2 5 4 8 4 3" xfId="21121"/>
    <cellStyle name="Normal 2 5 4 8 5" xfId="6388"/>
    <cellStyle name="Normal 2 5 4 8 5 2" xfId="15215"/>
    <cellStyle name="Normal 2 5 4 8 5 3" xfId="25466"/>
    <cellStyle name="Normal 2 5 4 8 6" xfId="7834"/>
    <cellStyle name="Normal 2 5 4 8 6 2" xfId="20461"/>
    <cellStyle name="Normal 2 5 4 8 7" xfId="16114"/>
    <cellStyle name="Normal 2 5 4 9" xfId="2641"/>
    <cellStyle name="Normal 2 5 4 9 2" xfId="5168"/>
    <cellStyle name="Normal 2 5 4 9 2 2" xfId="14007"/>
    <cellStyle name="Normal 2 5 4 9 2 2 2" xfId="24258"/>
    <cellStyle name="Normal 2 5 4 9 2 3" xfId="10428"/>
    <cellStyle name="Normal 2 5 4 9 2 4" xfId="19251"/>
    <cellStyle name="Normal 2 5 4 9 3" xfId="6625"/>
    <cellStyle name="Normal 2 5 4 9 3 2" xfId="15452"/>
    <cellStyle name="Normal 2 5 4 9 3 3" xfId="25703"/>
    <cellStyle name="Normal 2 5 4 9 4" xfId="8071"/>
    <cellStyle name="Normal 2 5 4 9 4 2" xfId="22005"/>
    <cellStyle name="Normal 2 5 4 9 5" xfId="16998"/>
    <cellStyle name="Normal 2 5 4_Degree data" xfId="3900"/>
    <cellStyle name="Normal 2 5 5" xfId="142"/>
    <cellStyle name="Normal 2 5 5 10" xfId="1411"/>
    <cellStyle name="Normal 2 5 5 10 2" xfId="10790"/>
    <cellStyle name="Normal 2 5 5 10 3" xfId="20794"/>
    <cellStyle name="Normal 2 5 5 11" xfId="5522"/>
    <cellStyle name="Normal 2 5 5 11 2" xfId="14351"/>
    <cellStyle name="Normal 2 5 5 11 3" xfId="24602"/>
    <cellStyle name="Normal 2 5 5 12" xfId="6964"/>
    <cellStyle name="Normal 2 5 5 12 2" xfId="19609"/>
    <cellStyle name="Normal 2 5 5 13" xfId="15787"/>
    <cellStyle name="Normal 2 5 5 2" xfId="192"/>
    <cellStyle name="Normal 2 5 5 2 10" xfId="7143"/>
    <cellStyle name="Normal 2 5 5 2 10 2" xfId="19652"/>
    <cellStyle name="Normal 2 5 5 2 11" xfId="15889"/>
    <cellStyle name="Normal 2 5 5 2 2" xfId="520"/>
    <cellStyle name="Normal 2 5 5 2 2 2" xfId="778"/>
    <cellStyle name="Normal 2 5 5 2 2 2 2" xfId="3265"/>
    <cellStyle name="Normal 2 5 5 2 2 2 2 2" xfId="12409"/>
    <cellStyle name="Normal 2 5 5 2 2 2 2 2 2" xfId="22628"/>
    <cellStyle name="Normal 2 5 5 2 2 2 2 3" xfId="8831"/>
    <cellStyle name="Normal 2 5 5 2 2 2 2 4" xfId="17621"/>
    <cellStyle name="Normal 2 5 5 2 2 2 3" xfId="4594"/>
    <cellStyle name="Normal 2 5 5 2 2 2 3 2" xfId="13434"/>
    <cellStyle name="Normal 2 5 5 2 2 2 3 2 2" xfId="23685"/>
    <cellStyle name="Normal 2 5 5 2 2 2 3 3" xfId="9855"/>
    <cellStyle name="Normal 2 5 5 2 2 2 3 4" xfId="18678"/>
    <cellStyle name="Normal 2 5 5 2 2 2 4" xfId="2374"/>
    <cellStyle name="Normal 2 5 5 2 2 2 4 2" xfId="11741"/>
    <cellStyle name="Normal 2 5 5 2 2 2 4 3" xfId="21745"/>
    <cellStyle name="Normal 2 5 5 2 2 2 5" xfId="6052"/>
    <cellStyle name="Normal 2 5 5 2 2 2 5 2" xfId="14879"/>
    <cellStyle name="Normal 2 5 5 2 2 2 5 3" xfId="25130"/>
    <cellStyle name="Normal 2 5 5 2 2 2 6" xfId="7496"/>
    <cellStyle name="Normal 2 5 5 2 2 2 6 2" xfId="20227"/>
    <cellStyle name="Normal 2 5 5 2 2 2 7" xfId="16738"/>
    <cellStyle name="Normal 2 5 5 2 2 3" xfId="1292"/>
    <cellStyle name="Normal 2 5 5 2 2 3 2" xfId="3722"/>
    <cellStyle name="Normal 2 5 5 2 2 3 2 2" xfId="12860"/>
    <cellStyle name="Normal 2 5 5 2 2 3 2 2 2" xfId="23079"/>
    <cellStyle name="Normal 2 5 5 2 2 3 2 3" xfId="9281"/>
    <cellStyle name="Normal 2 5 5 2 2 3 2 4" xfId="18072"/>
    <cellStyle name="Normal 2 5 5 2 2 3 3" xfId="4943"/>
    <cellStyle name="Normal 2 5 5 2 2 3 3 2" xfId="13782"/>
    <cellStyle name="Normal 2 5 5 2 2 3 3 2 2" xfId="24033"/>
    <cellStyle name="Normal 2 5 5 2 2 3 3 3" xfId="10203"/>
    <cellStyle name="Normal 2 5 5 2 2 3 3 4" xfId="19026"/>
    <cellStyle name="Normal 2 5 5 2 2 3 4" xfId="2116"/>
    <cellStyle name="Normal 2 5 5 2 2 3 4 2" xfId="11483"/>
    <cellStyle name="Normal 2 5 5 2 2 3 4 3" xfId="21487"/>
    <cellStyle name="Normal 2 5 5 2 2 3 5" xfId="6400"/>
    <cellStyle name="Normal 2 5 5 2 2 3 5 2" xfId="15227"/>
    <cellStyle name="Normal 2 5 5 2 2 3 5 3" xfId="25478"/>
    <cellStyle name="Normal 2 5 5 2 2 3 6" xfId="7846"/>
    <cellStyle name="Normal 2 5 5 2 2 3 6 2" xfId="20678"/>
    <cellStyle name="Normal 2 5 5 2 2 3 7" xfId="16480"/>
    <cellStyle name="Normal 2 5 5 2 2 4" xfId="3007"/>
    <cellStyle name="Normal 2 5 5 2 2 4 2" xfId="5385"/>
    <cellStyle name="Normal 2 5 5 2 2 4 2 2" xfId="14224"/>
    <cellStyle name="Normal 2 5 5 2 2 4 2 2 2" xfId="24475"/>
    <cellStyle name="Normal 2 5 5 2 2 4 2 3" xfId="10645"/>
    <cellStyle name="Normal 2 5 5 2 2 4 2 4" xfId="19468"/>
    <cellStyle name="Normal 2 5 5 2 2 4 3" xfId="6842"/>
    <cellStyle name="Normal 2 5 5 2 2 4 3 2" xfId="15669"/>
    <cellStyle name="Normal 2 5 5 2 2 4 3 3" xfId="25920"/>
    <cellStyle name="Normal 2 5 5 2 2 4 4" xfId="8288"/>
    <cellStyle name="Normal 2 5 5 2 2 4 4 2" xfId="22370"/>
    <cellStyle name="Normal 2 5 5 2 2 4 5" xfId="17363"/>
    <cellStyle name="Normal 2 5 5 2 2 5" xfId="4341"/>
    <cellStyle name="Normal 2 5 5 2 2 5 2" xfId="13181"/>
    <cellStyle name="Normal 2 5 5 2 2 5 2 2" xfId="23432"/>
    <cellStyle name="Normal 2 5 5 2 2 5 3" xfId="9602"/>
    <cellStyle name="Normal 2 5 5 2 2 5 4" xfId="18425"/>
    <cellStyle name="Normal 2 5 5 2 2 6" xfId="1613"/>
    <cellStyle name="Normal 2 5 5 2 2 6 2" xfId="10992"/>
    <cellStyle name="Normal 2 5 5 2 2 6 3" xfId="20996"/>
    <cellStyle name="Normal 2 5 5 2 2 7" xfId="5799"/>
    <cellStyle name="Normal 2 5 5 2 2 7 2" xfId="14626"/>
    <cellStyle name="Normal 2 5 5 2 2 7 3" xfId="24877"/>
    <cellStyle name="Normal 2 5 5 2 2 8" xfId="7243"/>
    <cellStyle name="Normal 2 5 5 2 2 8 2" xfId="19969"/>
    <cellStyle name="Normal 2 5 5 2 2 9" xfId="15989"/>
    <cellStyle name="Normal 2 5 5 2 2_Degree data" xfId="3472"/>
    <cellStyle name="Normal 2 5 5 2 3" xfId="420"/>
    <cellStyle name="Normal 2 5 5 2 3 2" xfId="2907"/>
    <cellStyle name="Normal 2 5 5 2 3 2 2" xfId="12197"/>
    <cellStyle name="Normal 2 5 5 2 3 2 2 2" xfId="22270"/>
    <cellStyle name="Normal 2 5 5 2 3 2 3" xfId="8463"/>
    <cellStyle name="Normal 2 5 5 2 3 2 4" xfId="17263"/>
    <cellStyle name="Normal 2 5 5 2 3 3" xfId="4593"/>
    <cellStyle name="Normal 2 5 5 2 3 3 2" xfId="13433"/>
    <cellStyle name="Normal 2 5 5 2 3 3 2 2" xfId="23684"/>
    <cellStyle name="Normal 2 5 5 2 3 3 3" xfId="9854"/>
    <cellStyle name="Normal 2 5 5 2 3 3 4" xfId="18677"/>
    <cellStyle name="Normal 2 5 5 2 3 4" xfId="2016"/>
    <cellStyle name="Normal 2 5 5 2 3 4 2" xfId="11383"/>
    <cellStyle name="Normal 2 5 5 2 3 4 3" xfId="21387"/>
    <cellStyle name="Normal 2 5 5 2 3 5" xfId="6051"/>
    <cellStyle name="Normal 2 5 5 2 3 5 2" xfId="14878"/>
    <cellStyle name="Normal 2 5 5 2 3 5 3" xfId="25129"/>
    <cellStyle name="Normal 2 5 5 2 3 6" xfId="7495"/>
    <cellStyle name="Normal 2 5 5 2 3 6 2" xfId="19869"/>
    <cellStyle name="Normal 2 5 5 2 3 7" xfId="16380"/>
    <cellStyle name="Normal 2 5 5 2 4" xfId="777"/>
    <cellStyle name="Normal 2 5 5 2 4 2" xfId="3264"/>
    <cellStyle name="Normal 2 5 5 2 4 2 2" xfId="12408"/>
    <cellStyle name="Normal 2 5 5 2 4 2 2 2" xfId="22627"/>
    <cellStyle name="Normal 2 5 5 2 4 2 3" xfId="8830"/>
    <cellStyle name="Normal 2 5 5 2 4 2 4" xfId="17620"/>
    <cellStyle name="Normal 2 5 5 2 4 3" xfId="4942"/>
    <cellStyle name="Normal 2 5 5 2 4 3 2" xfId="13781"/>
    <cellStyle name="Normal 2 5 5 2 4 3 2 2" xfId="24032"/>
    <cellStyle name="Normal 2 5 5 2 4 3 3" xfId="10202"/>
    <cellStyle name="Normal 2 5 5 2 4 3 4" xfId="19025"/>
    <cellStyle name="Normal 2 5 5 2 4 4" xfId="2373"/>
    <cellStyle name="Normal 2 5 5 2 4 4 2" xfId="11740"/>
    <cellStyle name="Normal 2 5 5 2 4 4 3" xfId="21744"/>
    <cellStyle name="Normal 2 5 5 2 4 5" xfId="6399"/>
    <cellStyle name="Normal 2 5 5 2 4 5 2" xfId="15226"/>
    <cellStyle name="Normal 2 5 5 2 4 5 3" xfId="25477"/>
    <cellStyle name="Normal 2 5 5 2 4 6" xfId="7845"/>
    <cellStyle name="Normal 2 5 5 2 4 6 2" xfId="20226"/>
    <cellStyle name="Normal 2 5 5 2 4 7" xfId="16737"/>
    <cellStyle name="Normal 2 5 5 2 5" xfId="1192"/>
    <cellStyle name="Normal 2 5 5 2 5 2" xfId="3622"/>
    <cellStyle name="Normal 2 5 5 2 5 2 2" xfId="12760"/>
    <cellStyle name="Normal 2 5 5 2 5 2 2 2" xfId="22979"/>
    <cellStyle name="Normal 2 5 5 2 5 2 3" xfId="9181"/>
    <cellStyle name="Normal 2 5 5 2 5 2 4" xfId="17972"/>
    <cellStyle name="Normal 2 5 5 2 5 3" xfId="5285"/>
    <cellStyle name="Normal 2 5 5 2 5 3 2" xfId="14124"/>
    <cellStyle name="Normal 2 5 5 2 5 3 2 2" xfId="24375"/>
    <cellStyle name="Normal 2 5 5 2 5 3 3" xfId="10545"/>
    <cellStyle name="Normal 2 5 5 2 5 3 4" xfId="19368"/>
    <cellStyle name="Normal 2 5 5 2 5 4" xfId="1795"/>
    <cellStyle name="Normal 2 5 5 2 5 4 2" xfId="11166"/>
    <cellStyle name="Normal 2 5 5 2 5 4 3" xfId="21170"/>
    <cellStyle name="Normal 2 5 5 2 5 5" xfId="6742"/>
    <cellStyle name="Normal 2 5 5 2 5 5 2" xfId="15569"/>
    <cellStyle name="Normal 2 5 5 2 5 5 3" xfId="25820"/>
    <cellStyle name="Normal 2 5 5 2 5 6" xfId="8188"/>
    <cellStyle name="Normal 2 5 5 2 5 6 2" xfId="20578"/>
    <cellStyle name="Normal 2 5 5 2 5 7" xfId="16163"/>
    <cellStyle name="Normal 2 5 5 2 6" xfId="2690"/>
    <cellStyle name="Normal 2 5 5 2 6 2" xfId="12009"/>
    <cellStyle name="Normal 2 5 5 2 6 2 2" xfId="22053"/>
    <cellStyle name="Normal 2 5 5 2 6 3" xfId="8508"/>
    <cellStyle name="Normal 2 5 5 2 6 4" xfId="17046"/>
    <cellStyle name="Normal 2 5 5 2 7" xfId="4241"/>
    <cellStyle name="Normal 2 5 5 2 7 2" xfId="13081"/>
    <cellStyle name="Normal 2 5 5 2 7 2 2" xfId="23332"/>
    <cellStyle name="Normal 2 5 5 2 7 3" xfId="9502"/>
    <cellStyle name="Normal 2 5 5 2 7 4" xfId="18325"/>
    <cellStyle name="Normal 2 5 5 2 8" xfId="1513"/>
    <cellStyle name="Normal 2 5 5 2 8 2" xfId="10892"/>
    <cellStyle name="Normal 2 5 5 2 8 3" xfId="20896"/>
    <cellStyle name="Normal 2 5 5 2 9" xfId="5699"/>
    <cellStyle name="Normal 2 5 5 2 9 2" xfId="14526"/>
    <cellStyle name="Normal 2 5 5 2 9 3" xfId="24777"/>
    <cellStyle name="Normal 2 5 5 2_Degree data" xfId="3894"/>
    <cellStyle name="Normal 2 5 5 3" xfId="259"/>
    <cellStyle name="Normal 2 5 5 3 10" xfId="7100"/>
    <cellStyle name="Normal 2 5 5 3 10 2" xfId="19714"/>
    <cellStyle name="Normal 2 5 5 3 11" xfId="15846"/>
    <cellStyle name="Normal 2 5 5 3 2" xfId="582"/>
    <cellStyle name="Normal 2 5 5 3 2 2" xfId="780"/>
    <cellStyle name="Normal 2 5 5 3 2 2 2" xfId="3267"/>
    <cellStyle name="Normal 2 5 5 3 2 2 2 2" xfId="12411"/>
    <cellStyle name="Normal 2 5 5 3 2 2 2 2 2" xfId="22630"/>
    <cellStyle name="Normal 2 5 5 3 2 2 2 3" xfId="8833"/>
    <cellStyle name="Normal 2 5 5 3 2 2 2 4" xfId="17623"/>
    <cellStyle name="Normal 2 5 5 3 2 2 3" xfId="4596"/>
    <cellStyle name="Normal 2 5 5 3 2 2 3 2" xfId="13436"/>
    <cellStyle name="Normal 2 5 5 3 2 2 3 2 2" xfId="23687"/>
    <cellStyle name="Normal 2 5 5 3 2 2 3 3" xfId="9857"/>
    <cellStyle name="Normal 2 5 5 3 2 2 3 4" xfId="18680"/>
    <cellStyle name="Normal 2 5 5 3 2 2 4" xfId="2376"/>
    <cellStyle name="Normal 2 5 5 3 2 2 4 2" xfId="11743"/>
    <cellStyle name="Normal 2 5 5 3 2 2 4 3" xfId="21747"/>
    <cellStyle name="Normal 2 5 5 3 2 2 5" xfId="6054"/>
    <cellStyle name="Normal 2 5 5 3 2 2 5 2" xfId="14881"/>
    <cellStyle name="Normal 2 5 5 3 2 2 5 3" xfId="25132"/>
    <cellStyle name="Normal 2 5 5 3 2 2 6" xfId="7498"/>
    <cellStyle name="Normal 2 5 5 3 2 2 6 2" xfId="20229"/>
    <cellStyle name="Normal 2 5 5 3 2 2 7" xfId="16740"/>
    <cellStyle name="Normal 2 5 5 3 2 3" xfId="1354"/>
    <cellStyle name="Normal 2 5 5 3 2 3 2" xfId="3784"/>
    <cellStyle name="Normal 2 5 5 3 2 3 2 2" xfId="12922"/>
    <cellStyle name="Normal 2 5 5 3 2 3 2 2 2" xfId="23141"/>
    <cellStyle name="Normal 2 5 5 3 2 3 2 3" xfId="9343"/>
    <cellStyle name="Normal 2 5 5 3 2 3 2 4" xfId="18134"/>
    <cellStyle name="Normal 2 5 5 3 2 3 3" xfId="4945"/>
    <cellStyle name="Normal 2 5 5 3 2 3 3 2" xfId="13784"/>
    <cellStyle name="Normal 2 5 5 3 2 3 3 2 2" xfId="24035"/>
    <cellStyle name="Normal 2 5 5 3 2 3 3 3" xfId="10205"/>
    <cellStyle name="Normal 2 5 5 3 2 3 3 4" xfId="19028"/>
    <cellStyle name="Normal 2 5 5 3 2 3 4" xfId="2178"/>
    <cellStyle name="Normal 2 5 5 3 2 3 4 2" xfId="11545"/>
    <cellStyle name="Normal 2 5 5 3 2 3 4 3" xfId="21549"/>
    <cellStyle name="Normal 2 5 5 3 2 3 5" xfId="6402"/>
    <cellStyle name="Normal 2 5 5 3 2 3 5 2" xfId="15229"/>
    <cellStyle name="Normal 2 5 5 3 2 3 5 3" xfId="25480"/>
    <cellStyle name="Normal 2 5 5 3 2 3 6" xfId="7848"/>
    <cellStyle name="Normal 2 5 5 3 2 3 6 2" xfId="20740"/>
    <cellStyle name="Normal 2 5 5 3 2 3 7" xfId="16542"/>
    <cellStyle name="Normal 2 5 5 3 2 4" xfId="3069"/>
    <cellStyle name="Normal 2 5 5 3 2 4 2" xfId="5447"/>
    <cellStyle name="Normal 2 5 5 3 2 4 2 2" xfId="14286"/>
    <cellStyle name="Normal 2 5 5 3 2 4 2 2 2" xfId="24537"/>
    <cellStyle name="Normal 2 5 5 3 2 4 2 3" xfId="10707"/>
    <cellStyle name="Normal 2 5 5 3 2 4 2 4" xfId="19530"/>
    <cellStyle name="Normal 2 5 5 3 2 4 3" xfId="6904"/>
    <cellStyle name="Normal 2 5 5 3 2 4 3 2" xfId="15731"/>
    <cellStyle name="Normal 2 5 5 3 2 4 3 3" xfId="25982"/>
    <cellStyle name="Normal 2 5 5 3 2 4 4" xfId="8350"/>
    <cellStyle name="Normal 2 5 5 3 2 4 4 2" xfId="22432"/>
    <cellStyle name="Normal 2 5 5 3 2 4 5" xfId="17425"/>
    <cellStyle name="Normal 2 5 5 3 2 5" xfId="4403"/>
    <cellStyle name="Normal 2 5 5 3 2 5 2" xfId="13243"/>
    <cellStyle name="Normal 2 5 5 3 2 5 2 2" xfId="23494"/>
    <cellStyle name="Normal 2 5 5 3 2 5 3" xfId="9664"/>
    <cellStyle name="Normal 2 5 5 3 2 5 4" xfId="18487"/>
    <cellStyle name="Normal 2 5 5 3 2 6" xfId="1675"/>
    <cellStyle name="Normal 2 5 5 3 2 6 2" xfId="11054"/>
    <cellStyle name="Normal 2 5 5 3 2 6 3" xfId="21058"/>
    <cellStyle name="Normal 2 5 5 3 2 7" xfId="5861"/>
    <cellStyle name="Normal 2 5 5 3 2 7 2" xfId="14688"/>
    <cellStyle name="Normal 2 5 5 3 2 7 3" xfId="24939"/>
    <cellStyle name="Normal 2 5 5 3 2 8" xfId="7305"/>
    <cellStyle name="Normal 2 5 5 3 2 8 2" xfId="20031"/>
    <cellStyle name="Normal 2 5 5 3 2 9" xfId="16051"/>
    <cellStyle name="Normal 2 5 5 3 2_Degree data" xfId="3886"/>
    <cellStyle name="Normal 2 5 5 3 3" xfId="377"/>
    <cellStyle name="Normal 2 5 5 3 3 2" xfId="2864"/>
    <cellStyle name="Normal 2 5 5 3 3 2 2" xfId="12154"/>
    <cellStyle name="Normal 2 5 5 3 3 2 2 2" xfId="22227"/>
    <cellStyle name="Normal 2 5 5 3 3 2 3" xfId="8536"/>
    <cellStyle name="Normal 2 5 5 3 3 2 4" xfId="17220"/>
    <cellStyle name="Normal 2 5 5 3 3 3" xfId="4595"/>
    <cellStyle name="Normal 2 5 5 3 3 3 2" xfId="13435"/>
    <cellStyle name="Normal 2 5 5 3 3 3 2 2" xfId="23686"/>
    <cellStyle name="Normal 2 5 5 3 3 3 3" xfId="9856"/>
    <cellStyle name="Normal 2 5 5 3 3 3 4" xfId="18679"/>
    <cellStyle name="Normal 2 5 5 3 3 4" xfId="1973"/>
    <cellStyle name="Normal 2 5 5 3 3 4 2" xfId="11340"/>
    <cellStyle name="Normal 2 5 5 3 3 4 3" xfId="21344"/>
    <cellStyle name="Normal 2 5 5 3 3 5" xfId="6053"/>
    <cellStyle name="Normal 2 5 5 3 3 5 2" xfId="14880"/>
    <cellStyle name="Normal 2 5 5 3 3 5 3" xfId="25131"/>
    <cellStyle name="Normal 2 5 5 3 3 6" xfId="7497"/>
    <cellStyle name="Normal 2 5 5 3 3 6 2" xfId="19826"/>
    <cellStyle name="Normal 2 5 5 3 3 7" xfId="16337"/>
    <cellStyle name="Normal 2 5 5 3 4" xfId="779"/>
    <cellStyle name="Normal 2 5 5 3 4 2" xfId="3266"/>
    <cellStyle name="Normal 2 5 5 3 4 2 2" xfId="12410"/>
    <cellStyle name="Normal 2 5 5 3 4 2 2 2" xfId="22629"/>
    <cellStyle name="Normal 2 5 5 3 4 2 3" xfId="8832"/>
    <cellStyle name="Normal 2 5 5 3 4 2 4" xfId="17622"/>
    <cellStyle name="Normal 2 5 5 3 4 3" xfId="4944"/>
    <cellStyle name="Normal 2 5 5 3 4 3 2" xfId="13783"/>
    <cellStyle name="Normal 2 5 5 3 4 3 2 2" xfId="24034"/>
    <cellStyle name="Normal 2 5 5 3 4 3 3" xfId="10204"/>
    <cellStyle name="Normal 2 5 5 3 4 3 4" xfId="19027"/>
    <cellStyle name="Normal 2 5 5 3 4 4" xfId="2375"/>
    <cellStyle name="Normal 2 5 5 3 4 4 2" xfId="11742"/>
    <cellStyle name="Normal 2 5 5 3 4 4 3" xfId="21746"/>
    <cellStyle name="Normal 2 5 5 3 4 5" xfId="6401"/>
    <cellStyle name="Normal 2 5 5 3 4 5 2" xfId="15228"/>
    <cellStyle name="Normal 2 5 5 3 4 5 3" xfId="25479"/>
    <cellStyle name="Normal 2 5 5 3 4 6" xfId="7847"/>
    <cellStyle name="Normal 2 5 5 3 4 6 2" xfId="20228"/>
    <cellStyle name="Normal 2 5 5 3 4 7" xfId="16739"/>
    <cellStyle name="Normal 2 5 5 3 5" xfId="1149"/>
    <cellStyle name="Normal 2 5 5 3 5 2" xfId="3579"/>
    <cellStyle name="Normal 2 5 5 3 5 2 2" xfId="12717"/>
    <cellStyle name="Normal 2 5 5 3 5 2 2 2" xfId="22936"/>
    <cellStyle name="Normal 2 5 5 3 5 2 3" xfId="9138"/>
    <cellStyle name="Normal 2 5 5 3 5 2 4" xfId="17929"/>
    <cellStyle name="Normal 2 5 5 3 5 3" xfId="5242"/>
    <cellStyle name="Normal 2 5 5 3 5 3 2" xfId="14081"/>
    <cellStyle name="Normal 2 5 5 3 5 3 2 2" xfId="24332"/>
    <cellStyle name="Normal 2 5 5 3 5 3 3" xfId="10502"/>
    <cellStyle name="Normal 2 5 5 3 5 3 4" xfId="19325"/>
    <cellStyle name="Normal 2 5 5 3 5 4" xfId="1858"/>
    <cellStyle name="Normal 2 5 5 3 5 4 2" xfId="11228"/>
    <cellStyle name="Normal 2 5 5 3 5 4 3" xfId="21232"/>
    <cellStyle name="Normal 2 5 5 3 5 5" xfId="6699"/>
    <cellStyle name="Normal 2 5 5 3 5 5 2" xfId="15526"/>
    <cellStyle name="Normal 2 5 5 3 5 5 3" xfId="25777"/>
    <cellStyle name="Normal 2 5 5 3 5 6" xfId="8145"/>
    <cellStyle name="Normal 2 5 5 3 5 6 2" xfId="20535"/>
    <cellStyle name="Normal 2 5 5 3 5 7" xfId="16225"/>
    <cellStyle name="Normal 2 5 5 3 6" xfId="2752"/>
    <cellStyle name="Normal 2 5 5 3 6 2" xfId="12071"/>
    <cellStyle name="Normal 2 5 5 3 6 2 2" xfId="22115"/>
    <cellStyle name="Normal 2 5 5 3 6 3" xfId="8556"/>
    <cellStyle name="Normal 2 5 5 3 6 4" xfId="17108"/>
    <cellStyle name="Normal 2 5 5 3 7" xfId="4198"/>
    <cellStyle name="Normal 2 5 5 3 7 2" xfId="13038"/>
    <cellStyle name="Normal 2 5 5 3 7 2 2" xfId="23289"/>
    <cellStyle name="Normal 2 5 5 3 7 3" xfId="9459"/>
    <cellStyle name="Normal 2 5 5 3 7 4" xfId="18282"/>
    <cellStyle name="Normal 2 5 5 3 8" xfId="1470"/>
    <cellStyle name="Normal 2 5 5 3 8 2" xfId="10849"/>
    <cellStyle name="Normal 2 5 5 3 8 3" xfId="20853"/>
    <cellStyle name="Normal 2 5 5 3 9" xfId="5656"/>
    <cellStyle name="Normal 2 5 5 3 9 2" xfId="14483"/>
    <cellStyle name="Normal 2 5 5 3 9 3" xfId="24734"/>
    <cellStyle name="Normal 2 5 5 3_Degree data" xfId="3916"/>
    <cellStyle name="Normal 2 5 5 4" xfId="477"/>
    <cellStyle name="Normal 2 5 5 4 2" xfId="781"/>
    <cellStyle name="Normal 2 5 5 4 2 2" xfId="3268"/>
    <cellStyle name="Normal 2 5 5 4 2 2 2" xfId="12412"/>
    <cellStyle name="Normal 2 5 5 4 2 2 2 2" xfId="22631"/>
    <cellStyle name="Normal 2 5 5 4 2 2 3" xfId="8834"/>
    <cellStyle name="Normal 2 5 5 4 2 2 4" xfId="17624"/>
    <cellStyle name="Normal 2 5 5 4 2 3" xfId="4597"/>
    <cellStyle name="Normal 2 5 5 4 2 3 2" xfId="13437"/>
    <cellStyle name="Normal 2 5 5 4 2 3 2 2" xfId="23688"/>
    <cellStyle name="Normal 2 5 5 4 2 3 3" xfId="9858"/>
    <cellStyle name="Normal 2 5 5 4 2 3 4" xfId="18681"/>
    <cellStyle name="Normal 2 5 5 4 2 4" xfId="2377"/>
    <cellStyle name="Normal 2 5 5 4 2 4 2" xfId="11744"/>
    <cellStyle name="Normal 2 5 5 4 2 4 3" xfId="21748"/>
    <cellStyle name="Normal 2 5 5 4 2 5" xfId="6055"/>
    <cellStyle name="Normal 2 5 5 4 2 5 2" xfId="14882"/>
    <cellStyle name="Normal 2 5 5 4 2 5 3" xfId="25133"/>
    <cellStyle name="Normal 2 5 5 4 2 6" xfId="7499"/>
    <cellStyle name="Normal 2 5 5 4 2 6 2" xfId="20230"/>
    <cellStyle name="Normal 2 5 5 4 2 7" xfId="16741"/>
    <cellStyle name="Normal 2 5 5 4 3" xfId="1249"/>
    <cellStyle name="Normal 2 5 5 4 3 2" xfId="3679"/>
    <cellStyle name="Normal 2 5 5 4 3 2 2" xfId="12817"/>
    <cellStyle name="Normal 2 5 5 4 3 2 2 2" xfId="23036"/>
    <cellStyle name="Normal 2 5 5 4 3 2 3" xfId="9238"/>
    <cellStyle name="Normal 2 5 5 4 3 2 4" xfId="18029"/>
    <cellStyle name="Normal 2 5 5 4 3 3" xfId="4946"/>
    <cellStyle name="Normal 2 5 5 4 3 3 2" xfId="13785"/>
    <cellStyle name="Normal 2 5 5 4 3 3 2 2" xfId="24036"/>
    <cellStyle name="Normal 2 5 5 4 3 3 3" xfId="10206"/>
    <cellStyle name="Normal 2 5 5 4 3 3 4" xfId="19029"/>
    <cellStyle name="Normal 2 5 5 4 3 4" xfId="2073"/>
    <cellStyle name="Normal 2 5 5 4 3 4 2" xfId="11440"/>
    <cellStyle name="Normal 2 5 5 4 3 4 3" xfId="21444"/>
    <cellStyle name="Normal 2 5 5 4 3 5" xfId="6403"/>
    <cellStyle name="Normal 2 5 5 4 3 5 2" xfId="15230"/>
    <cellStyle name="Normal 2 5 5 4 3 5 3" xfId="25481"/>
    <cellStyle name="Normal 2 5 5 4 3 6" xfId="7849"/>
    <cellStyle name="Normal 2 5 5 4 3 6 2" xfId="20635"/>
    <cellStyle name="Normal 2 5 5 4 3 7" xfId="16437"/>
    <cellStyle name="Normal 2 5 5 4 4" xfId="2964"/>
    <cellStyle name="Normal 2 5 5 4 4 2" xfId="5342"/>
    <cellStyle name="Normal 2 5 5 4 4 2 2" xfId="14181"/>
    <cellStyle name="Normal 2 5 5 4 4 2 2 2" xfId="24432"/>
    <cellStyle name="Normal 2 5 5 4 4 2 3" xfId="10602"/>
    <cellStyle name="Normal 2 5 5 4 4 2 4" xfId="19425"/>
    <cellStyle name="Normal 2 5 5 4 4 3" xfId="6799"/>
    <cellStyle name="Normal 2 5 5 4 4 3 2" xfId="15626"/>
    <cellStyle name="Normal 2 5 5 4 4 3 3" xfId="25877"/>
    <cellStyle name="Normal 2 5 5 4 4 4" xfId="8245"/>
    <cellStyle name="Normal 2 5 5 4 4 4 2" xfId="22327"/>
    <cellStyle name="Normal 2 5 5 4 4 5" xfId="17320"/>
    <cellStyle name="Normal 2 5 5 4 5" xfId="4298"/>
    <cellStyle name="Normal 2 5 5 4 5 2" xfId="13138"/>
    <cellStyle name="Normal 2 5 5 4 5 2 2" xfId="23389"/>
    <cellStyle name="Normal 2 5 5 4 5 3" xfId="9559"/>
    <cellStyle name="Normal 2 5 5 4 5 4" xfId="18382"/>
    <cellStyle name="Normal 2 5 5 4 6" xfId="1570"/>
    <cellStyle name="Normal 2 5 5 4 6 2" xfId="10949"/>
    <cellStyle name="Normal 2 5 5 4 6 3" xfId="20953"/>
    <cellStyle name="Normal 2 5 5 4 7" xfId="5756"/>
    <cellStyle name="Normal 2 5 5 4 7 2" xfId="14583"/>
    <cellStyle name="Normal 2 5 5 4 7 3" xfId="24834"/>
    <cellStyle name="Normal 2 5 5 4 8" xfId="7200"/>
    <cellStyle name="Normal 2 5 5 4 8 2" xfId="19926"/>
    <cellStyle name="Normal 2 5 5 4 9" xfId="15946"/>
    <cellStyle name="Normal 2 5 5 4_Degree data" xfId="3865"/>
    <cellStyle name="Normal 2 5 5 5" xfId="318"/>
    <cellStyle name="Normal 2 5 5 5 2" xfId="2805"/>
    <cellStyle name="Normal 2 5 5 5 2 2" xfId="12111"/>
    <cellStyle name="Normal 2 5 5 5 2 2 2" xfId="22168"/>
    <cellStyle name="Normal 2 5 5 5 2 3" xfId="8408"/>
    <cellStyle name="Normal 2 5 5 5 2 4" xfId="17161"/>
    <cellStyle name="Normal 2 5 5 5 3" xfId="4592"/>
    <cellStyle name="Normal 2 5 5 5 3 2" xfId="13432"/>
    <cellStyle name="Normal 2 5 5 5 3 2 2" xfId="23683"/>
    <cellStyle name="Normal 2 5 5 5 3 3" xfId="9853"/>
    <cellStyle name="Normal 2 5 5 5 3 4" xfId="18676"/>
    <cellStyle name="Normal 2 5 5 5 4" xfId="1914"/>
    <cellStyle name="Normal 2 5 5 5 4 2" xfId="11281"/>
    <cellStyle name="Normal 2 5 5 5 4 3" xfId="21285"/>
    <cellStyle name="Normal 2 5 5 5 5" xfId="6050"/>
    <cellStyle name="Normal 2 5 5 5 5 2" xfId="14877"/>
    <cellStyle name="Normal 2 5 5 5 5 3" xfId="25128"/>
    <cellStyle name="Normal 2 5 5 5 6" xfId="7494"/>
    <cellStyle name="Normal 2 5 5 5 6 2" xfId="19767"/>
    <cellStyle name="Normal 2 5 5 5 7" xfId="16278"/>
    <cellStyle name="Normal 2 5 5 6" xfId="776"/>
    <cellStyle name="Normal 2 5 5 6 2" xfId="3263"/>
    <cellStyle name="Normal 2 5 5 6 2 2" xfId="12407"/>
    <cellStyle name="Normal 2 5 5 6 2 2 2" xfId="22626"/>
    <cellStyle name="Normal 2 5 5 6 2 3" xfId="8829"/>
    <cellStyle name="Normal 2 5 5 6 2 4" xfId="17619"/>
    <cellStyle name="Normal 2 5 5 6 3" xfId="4941"/>
    <cellStyle name="Normal 2 5 5 6 3 2" xfId="13780"/>
    <cellStyle name="Normal 2 5 5 6 3 2 2" xfId="24031"/>
    <cellStyle name="Normal 2 5 5 6 3 3" xfId="10201"/>
    <cellStyle name="Normal 2 5 5 6 3 4" xfId="19024"/>
    <cellStyle name="Normal 2 5 5 6 4" xfId="2372"/>
    <cellStyle name="Normal 2 5 5 6 4 2" xfId="11739"/>
    <cellStyle name="Normal 2 5 5 6 4 3" xfId="21743"/>
    <cellStyle name="Normal 2 5 5 6 5" xfId="6398"/>
    <cellStyle name="Normal 2 5 5 6 5 2" xfId="15225"/>
    <cellStyle name="Normal 2 5 5 6 5 3" xfId="25476"/>
    <cellStyle name="Normal 2 5 5 6 6" xfId="7844"/>
    <cellStyle name="Normal 2 5 5 6 6 2" xfId="20225"/>
    <cellStyle name="Normal 2 5 5 6 7" xfId="16736"/>
    <cellStyle name="Normal 2 5 5 7" xfId="1090"/>
    <cellStyle name="Normal 2 5 5 7 2" xfId="3520"/>
    <cellStyle name="Normal 2 5 5 7 2 2" xfId="12658"/>
    <cellStyle name="Normal 2 5 5 7 2 2 2" xfId="22877"/>
    <cellStyle name="Normal 2 5 5 7 2 3" xfId="9080"/>
    <cellStyle name="Normal 2 5 5 7 2 4" xfId="17870"/>
    <cellStyle name="Normal 2 5 5 7 3" xfId="5183"/>
    <cellStyle name="Normal 2 5 5 7 3 2" xfId="14022"/>
    <cellStyle name="Normal 2 5 5 7 3 2 2" xfId="24273"/>
    <cellStyle name="Normal 2 5 5 7 3 3" xfId="10443"/>
    <cellStyle name="Normal 2 5 5 7 3 4" xfId="19266"/>
    <cellStyle name="Normal 2 5 5 7 4" xfId="1749"/>
    <cellStyle name="Normal 2 5 5 7 4 2" xfId="11122"/>
    <cellStyle name="Normal 2 5 5 7 4 3" xfId="21126"/>
    <cellStyle name="Normal 2 5 5 7 5" xfId="6640"/>
    <cellStyle name="Normal 2 5 5 7 5 2" xfId="15467"/>
    <cellStyle name="Normal 2 5 5 7 5 3" xfId="25718"/>
    <cellStyle name="Normal 2 5 5 7 6" xfId="8086"/>
    <cellStyle name="Normal 2 5 5 7 6 2" xfId="20476"/>
    <cellStyle name="Normal 2 5 5 7 7" xfId="16119"/>
    <cellStyle name="Normal 2 5 5 8" xfId="2647"/>
    <cellStyle name="Normal 2 5 5 8 2" xfId="5597"/>
    <cellStyle name="Normal 2 5 5 8 2 2" xfId="14424"/>
    <cellStyle name="Normal 2 5 5 8 2 3" xfId="24675"/>
    <cellStyle name="Normal 2 5 5 8 3" xfId="7041"/>
    <cellStyle name="Normal 2 5 5 8 3 2" xfId="22010"/>
    <cellStyle name="Normal 2 5 5 8 4" xfId="17003"/>
    <cellStyle name="Normal 2 5 5 9" xfId="4137"/>
    <cellStyle name="Normal 2 5 5 9 2" xfId="12977"/>
    <cellStyle name="Normal 2 5 5 9 2 2" xfId="23228"/>
    <cellStyle name="Normal 2 5 5 9 3" xfId="9398"/>
    <cellStyle name="Normal 2 5 5 9 4" xfId="18221"/>
    <cellStyle name="Normal 2 5 5_Degree data" xfId="3873"/>
    <cellStyle name="Normal 2 5 6" xfId="183"/>
    <cellStyle name="Normal 2 5 6 10" xfId="7134"/>
    <cellStyle name="Normal 2 5 6 10 2" xfId="19643"/>
    <cellStyle name="Normal 2 5 6 11" xfId="15880"/>
    <cellStyle name="Normal 2 5 6 2" xfId="511"/>
    <cellStyle name="Normal 2 5 6 2 2" xfId="783"/>
    <cellStyle name="Normal 2 5 6 2 2 2" xfId="3270"/>
    <cellStyle name="Normal 2 5 6 2 2 2 2" xfId="12414"/>
    <cellStyle name="Normal 2 5 6 2 2 2 2 2" xfId="22633"/>
    <cellStyle name="Normal 2 5 6 2 2 2 3" xfId="8836"/>
    <cellStyle name="Normal 2 5 6 2 2 2 4" xfId="17626"/>
    <cellStyle name="Normal 2 5 6 2 2 3" xfId="4599"/>
    <cellStyle name="Normal 2 5 6 2 2 3 2" xfId="13439"/>
    <cellStyle name="Normal 2 5 6 2 2 3 2 2" xfId="23690"/>
    <cellStyle name="Normal 2 5 6 2 2 3 3" xfId="9860"/>
    <cellStyle name="Normal 2 5 6 2 2 3 4" xfId="18683"/>
    <cellStyle name="Normal 2 5 6 2 2 4" xfId="2379"/>
    <cellStyle name="Normal 2 5 6 2 2 4 2" xfId="11746"/>
    <cellStyle name="Normal 2 5 6 2 2 4 3" xfId="21750"/>
    <cellStyle name="Normal 2 5 6 2 2 5" xfId="6057"/>
    <cellStyle name="Normal 2 5 6 2 2 5 2" xfId="14884"/>
    <cellStyle name="Normal 2 5 6 2 2 5 3" xfId="25135"/>
    <cellStyle name="Normal 2 5 6 2 2 6" xfId="7501"/>
    <cellStyle name="Normal 2 5 6 2 2 6 2" xfId="20232"/>
    <cellStyle name="Normal 2 5 6 2 2 7" xfId="16743"/>
    <cellStyle name="Normal 2 5 6 2 3" xfId="1283"/>
    <cellStyle name="Normal 2 5 6 2 3 2" xfId="3713"/>
    <cellStyle name="Normal 2 5 6 2 3 2 2" xfId="12851"/>
    <cellStyle name="Normal 2 5 6 2 3 2 2 2" xfId="23070"/>
    <cellStyle name="Normal 2 5 6 2 3 2 3" xfId="9272"/>
    <cellStyle name="Normal 2 5 6 2 3 2 4" xfId="18063"/>
    <cellStyle name="Normal 2 5 6 2 3 3" xfId="4948"/>
    <cellStyle name="Normal 2 5 6 2 3 3 2" xfId="13787"/>
    <cellStyle name="Normal 2 5 6 2 3 3 2 2" xfId="24038"/>
    <cellStyle name="Normal 2 5 6 2 3 3 3" xfId="10208"/>
    <cellStyle name="Normal 2 5 6 2 3 3 4" xfId="19031"/>
    <cellStyle name="Normal 2 5 6 2 3 4" xfId="2107"/>
    <cellStyle name="Normal 2 5 6 2 3 4 2" xfId="11474"/>
    <cellStyle name="Normal 2 5 6 2 3 4 3" xfId="21478"/>
    <cellStyle name="Normal 2 5 6 2 3 5" xfId="6405"/>
    <cellStyle name="Normal 2 5 6 2 3 5 2" xfId="15232"/>
    <cellStyle name="Normal 2 5 6 2 3 5 3" xfId="25483"/>
    <cellStyle name="Normal 2 5 6 2 3 6" xfId="7851"/>
    <cellStyle name="Normal 2 5 6 2 3 6 2" xfId="20669"/>
    <cellStyle name="Normal 2 5 6 2 3 7" xfId="16471"/>
    <cellStyle name="Normal 2 5 6 2 4" xfId="2998"/>
    <cellStyle name="Normal 2 5 6 2 4 2" xfId="5376"/>
    <cellStyle name="Normal 2 5 6 2 4 2 2" xfId="14215"/>
    <cellStyle name="Normal 2 5 6 2 4 2 2 2" xfId="24466"/>
    <cellStyle name="Normal 2 5 6 2 4 2 3" xfId="10636"/>
    <cellStyle name="Normal 2 5 6 2 4 2 4" xfId="19459"/>
    <cellStyle name="Normal 2 5 6 2 4 3" xfId="6833"/>
    <cellStyle name="Normal 2 5 6 2 4 3 2" xfId="15660"/>
    <cellStyle name="Normal 2 5 6 2 4 3 3" xfId="25911"/>
    <cellStyle name="Normal 2 5 6 2 4 4" xfId="8279"/>
    <cellStyle name="Normal 2 5 6 2 4 4 2" xfId="22361"/>
    <cellStyle name="Normal 2 5 6 2 4 5" xfId="17354"/>
    <cellStyle name="Normal 2 5 6 2 5" xfId="4332"/>
    <cellStyle name="Normal 2 5 6 2 5 2" xfId="13172"/>
    <cellStyle name="Normal 2 5 6 2 5 2 2" xfId="23423"/>
    <cellStyle name="Normal 2 5 6 2 5 3" xfId="9593"/>
    <cellStyle name="Normal 2 5 6 2 5 4" xfId="18416"/>
    <cellStyle name="Normal 2 5 6 2 6" xfId="1604"/>
    <cellStyle name="Normal 2 5 6 2 6 2" xfId="10983"/>
    <cellStyle name="Normal 2 5 6 2 6 3" xfId="20987"/>
    <cellStyle name="Normal 2 5 6 2 7" xfId="5790"/>
    <cellStyle name="Normal 2 5 6 2 7 2" xfId="14617"/>
    <cellStyle name="Normal 2 5 6 2 7 3" xfId="24868"/>
    <cellStyle name="Normal 2 5 6 2 8" xfId="7234"/>
    <cellStyle name="Normal 2 5 6 2 8 2" xfId="19960"/>
    <cellStyle name="Normal 2 5 6 2 9" xfId="15980"/>
    <cellStyle name="Normal 2 5 6 2_Degree data" xfId="3475"/>
    <cellStyle name="Normal 2 5 6 3" xfId="411"/>
    <cellStyle name="Normal 2 5 6 3 2" xfId="2898"/>
    <cellStyle name="Normal 2 5 6 3 2 2" xfId="12188"/>
    <cellStyle name="Normal 2 5 6 3 2 2 2" xfId="22261"/>
    <cellStyle name="Normal 2 5 6 3 2 3" xfId="8527"/>
    <cellStyle name="Normal 2 5 6 3 2 4" xfId="17254"/>
    <cellStyle name="Normal 2 5 6 3 3" xfId="4598"/>
    <cellStyle name="Normal 2 5 6 3 3 2" xfId="13438"/>
    <cellStyle name="Normal 2 5 6 3 3 2 2" xfId="23689"/>
    <cellStyle name="Normal 2 5 6 3 3 3" xfId="9859"/>
    <cellStyle name="Normal 2 5 6 3 3 4" xfId="18682"/>
    <cellStyle name="Normal 2 5 6 3 4" xfId="2007"/>
    <cellStyle name="Normal 2 5 6 3 4 2" xfId="11374"/>
    <cellStyle name="Normal 2 5 6 3 4 3" xfId="21378"/>
    <cellStyle name="Normal 2 5 6 3 5" xfId="6056"/>
    <cellStyle name="Normal 2 5 6 3 5 2" xfId="14883"/>
    <cellStyle name="Normal 2 5 6 3 5 3" xfId="25134"/>
    <cellStyle name="Normal 2 5 6 3 6" xfId="7500"/>
    <cellStyle name="Normal 2 5 6 3 6 2" xfId="19860"/>
    <cellStyle name="Normal 2 5 6 3 7" xfId="16371"/>
    <cellStyle name="Normal 2 5 6 4" xfId="782"/>
    <cellStyle name="Normal 2 5 6 4 2" xfId="3269"/>
    <cellStyle name="Normal 2 5 6 4 2 2" xfId="12413"/>
    <cellStyle name="Normal 2 5 6 4 2 2 2" xfId="22632"/>
    <cellStyle name="Normal 2 5 6 4 2 3" xfId="8835"/>
    <cellStyle name="Normal 2 5 6 4 2 4" xfId="17625"/>
    <cellStyle name="Normal 2 5 6 4 3" xfId="4947"/>
    <cellStyle name="Normal 2 5 6 4 3 2" xfId="13786"/>
    <cellStyle name="Normal 2 5 6 4 3 2 2" xfId="24037"/>
    <cellStyle name="Normal 2 5 6 4 3 3" xfId="10207"/>
    <cellStyle name="Normal 2 5 6 4 3 4" xfId="19030"/>
    <cellStyle name="Normal 2 5 6 4 4" xfId="2378"/>
    <cellStyle name="Normal 2 5 6 4 4 2" xfId="11745"/>
    <cellStyle name="Normal 2 5 6 4 4 3" xfId="21749"/>
    <cellStyle name="Normal 2 5 6 4 5" xfId="6404"/>
    <cellStyle name="Normal 2 5 6 4 5 2" xfId="15231"/>
    <cellStyle name="Normal 2 5 6 4 5 3" xfId="25482"/>
    <cellStyle name="Normal 2 5 6 4 6" xfId="7850"/>
    <cellStyle name="Normal 2 5 6 4 6 2" xfId="20231"/>
    <cellStyle name="Normal 2 5 6 4 7" xfId="16742"/>
    <cellStyle name="Normal 2 5 6 5" xfId="1183"/>
    <cellStyle name="Normal 2 5 6 5 2" xfId="3613"/>
    <cellStyle name="Normal 2 5 6 5 2 2" xfId="12751"/>
    <cellStyle name="Normal 2 5 6 5 2 2 2" xfId="22970"/>
    <cellStyle name="Normal 2 5 6 5 2 3" xfId="9172"/>
    <cellStyle name="Normal 2 5 6 5 2 4" xfId="17963"/>
    <cellStyle name="Normal 2 5 6 5 3" xfId="5276"/>
    <cellStyle name="Normal 2 5 6 5 3 2" xfId="14115"/>
    <cellStyle name="Normal 2 5 6 5 3 2 2" xfId="24366"/>
    <cellStyle name="Normal 2 5 6 5 3 3" xfId="10536"/>
    <cellStyle name="Normal 2 5 6 5 3 4" xfId="19359"/>
    <cellStyle name="Normal 2 5 6 5 4" xfId="1786"/>
    <cellStyle name="Normal 2 5 6 5 4 2" xfId="11157"/>
    <cellStyle name="Normal 2 5 6 5 4 3" xfId="21161"/>
    <cellStyle name="Normal 2 5 6 5 5" xfId="6733"/>
    <cellStyle name="Normal 2 5 6 5 5 2" xfId="15560"/>
    <cellStyle name="Normal 2 5 6 5 5 3" xfId="25811"/>
    <cellStyle name="Normal 2 5 6 5 6" xfId="8179"/>
    <cellStyle name="Normal 2 5 6 5 6 2" xfId="20569"/>
    <cellStyle name="Normal 2 5 6 5 7" xfId="16154"/>
    <cellStyle name="Normal 2 5 6 6" xfId="2681"/>
    <cellStyle name="Normal 2 5 6 6 2" xfId="12000"/>
    <cellStyle name="Normal 2 5 6 6 2 2" xfId="22044"/>
    <cellStyle name="Normal 2 5 6 6 3" xfId="8416"/>
    <cellStyle name="Normal 2 5 6 6 4" xfId="17037"/>
    <cellStyle name="Normal 2 5 6 7" xfId="4232"/>
    <cellStyle name="Normal 2 5 6 7 2" xfId="13072"/>
    <cellStyle name="Normal 2 5 6 7 2 2" xfId="23323"/>
    <cellStyle name="Normal 2 5 6 7 3" xfId="9493"/>
    <cellStyle name="Normal 2 5 6 7 4" xfId="18316"/>
    <cellStyle name="Normal 2 5 6 8" xfId="1504"/>
    <cellStyle name="Normal 2 5 6 8 2" xfId="10883"/>
    <cellStyle name="Normal 2 5 6 8 3" xfId="20887"/>
    <cellStyle name="Normal 2 5 6 9" xfId="5690"/>
    <cellStyle name="Normal 2 5 6 9 2" xfId="14517"/>
    <cellStyle name="Normal 2 5 6 9 3" xfId="24768"/>
    <cellStyle name="Normal 2 5 6_Degree data" xfId="3895"/>
    <cellStyle name="Normal 2 5 7" xfId="236"/>
    <cellStyle name="Normal 2 5 7 10" xfId="7077"/>
    <cellStyle name="Normal 2 5 7 10 2" xfId="19691"/>
    <cellStyle name="Normal 2 5 7 11" xfId="15823"/>
    <cellStyle name="Normal 2 5 7 2" xfId="559"/>
    <cellStyle name="Normal 2 5 7 2 2" xfId="785"/>
    <cellStyle name="Normal 2 5 7 2 2 2" xfId="3272"/>
    <cellStyle name="Normal 2 5 7 2 2 2 2" xfId="12416"/>
    <cellStyle name="Normal 2 5 7 2 2 2 2 2" xfId="22635"/>
    <cellStyle name="Normal 2 5 7 2 2 2 3" xfId="8838"/>
    <cellStyle name="Normal 2 5 7 2 2 2 4" xfId="17628"/>
    <cellStyle name="Normal 2 5 7 2 2 3" xfId="4601"/>
    <cellStyle name="Normal 2 5 7 2 2 3 2" xfId="13441"/>
    <cellStyle name="Normal 2 5 7 2 2 3 2 2" xfId="23692"/>
    <cellStyle name="Normal 2 5 7 2 2 3 3" xfId="9862"/>
    <cellStyle name="Normal 2 5 7 2 2 3 4" xfId="18685"/>
    <cellStyle name="Normal 2 5 7 2 2 4" xfId="2381"/>
    <cellStyle name="Normal 2 5 7 2 2 4 2" xfId="11748"/>
    <cellStyle name="Normal 2 5 7 2 2 4 3" xfId="21752"/>
    <cellStyle name="Normal 2 5 7 2 2 5" xfId="6059"/>
    <cellStyle name="Normal 2 5 7 2 2 5 2" xfId="14886"/>
    <cellStyle name="Normal 2 5 7 2 2 5 3" xfId="25137"/>
    <cellStyle name="Normal 2 5 7 2 2 6" xfId="7503"/>
    <cellStyle name="Normal 2 5 7 2 2 6 2" xfId="20234"/>
    <cellStyle name="Normal 2 5 7 2 2 7" xfId="16745"/>
    <cellStyle name="Normal 2 5 7 2 3" xfId="1331"/>
    <cellStyle name="Normal 2 5 7 2 3 2" xfId="3761"/>
    <cellStyle name="Normal 2 5 7 2 3 2 2" xfId="12899"/>
    <cellStyle name="Normal 2 5 7 2 3 2 2 2" xfId="23118"/>
    <cellStyle name="Normal 2 5 7 2 3 2 3" xfId="9320"/>
    <cellStyle name="Normal 2 5 7 2 3 2 4" xfId="18111"/>
    <cellStyle name="Normal 2 5 7 2 3 3" xfId="4950"/>
    <cellStyle name="Normal 2 5 7 2 3 3 2" xfId="13789"/>
    <cellStyle name="Normal 2 5 7 2 3 3 2 2" xfId="24040"/>
    <cellStyle name="Normal 2 5 7 2 3 3 3" xfId="10210"/>
    <cellStyle name="Normal 2 5 7 2 3 3 4" xfId="19033"/>
    <cellStyle name="Normal 2 5 7 2 3 4" xfId="2155"/>
    <cellStyle name="Normal 2 5 7 2 3 4 2" xfId="11522"/>
    <cellStyle name="Normal 2 5 7 2 3 4 3" xfId="21526"/>
    <cellStyle name="Normal 2 5 7 2 3 5" xfId="6407"/>
    <cellStyle name="Normal 2 5 7 2 3 5 2" xfId="15234"/>
    <cellStyle name="Normal 2 5 7 2 3 5 3" xfId="25485"/>
    <cellStyle name="Normal 2 5 7 2 3 6" xfId="7853"/>
    <cellStyle name="Normal 2 5 7 2 3 6 2" xfId="20717"/>
    <cellStyle name="Normal 2 5 7 2 3 7" xfId="16519"/>
    <cellStyle name="Normal 2 5 7 2 4" xfId="3046"/>
    <cellStyle name="Normal 2 5 7 2 4 2" xfId="5424"/>
    <cellStyle name="Normal 2 5 7 2 4 2 2" xfId="14263"/>
    <cellStyle name="Normal 2 5 7 2 4 2 2 2" xfId="24514"/>
    <cellStyle name="Normal 2 5 7 2 4 2 3" xfId="10684"/>
    <cellStyle name="Normal 2 5 7 2 4 2 4" xfId="19507"/>
    <cellStyle name="Normal 2 5 7 2 4 3" xfId="6881"/>
    <cellStyle name="Normal 2 5 7 2 4 3 2" xfId="15708"/>
    <cellStyle name="Normal 2 5 7 2 4 3 3" xfId="25959"/>
    <cellStyle name="Normal 2 5 7 2 4 4" xfId="8327"/>
    <cellStyle name="Normal 2 5 7 2 4 4 2" xfId="22409"/>
    <cellStyle name="Normal 2 5 7 2 4 5" xfId="17402"/>
    <cellStyle name="Normal 2 5 7 2 5" xfId="4380"/>
    <cellStyle name="Normal 2 5 7 2 5 2" xfId="13220"/>
    <cellStyle name="Normal 2 5 7 2 5 2 2" xfId="23471"/>
    <cellStyle name="Normal 2 5 7 2 5 3" xfId="9641"/>
    <cellStyle name="Normal 2 5 7 2 5 4" xfId="18464"/>
    <cellStyle name="Normal 2 5 7 2 6" xfId="1652"/>
    <cellStyle name="Normal 2 5 7 2 6 2" xfId="11031"/>
    <cellStyle name="Normal 2 5 7 2 6 3" xfId="21035"/>
    <cellStyle name="Normal 2 5 7 2 7" xfId="5838"/>
    <cellStyle name="Normal 2 5 7 2 7 2" xfId="14665"/>
    <cellStyle name="Normal 2 5 7 2 7 3" xfId="24916"/>
    <cellStyle name="Normal 2 5 7 2 8" xfId="7282"/>
    <cellStyle name="Normal 2 5 7 2 8 2" xfId="20008"/>
    <cellStyle name="Normal 2 5 7 2 9" xfId="16028"/>
    <cellStyle name="Normal 2 5 7 2_Degree data" xfId="3927"/>
    <cellStyle name="Normal 2 5 7 3" xfId="354"/>
    <cellStyle name="Normal 2 5 7 3 2" xfId="2841"/>
    <cellStyle name="Normal 2 5 7 3 2 2" xfId="12131"/>
    <cellStyle name="Normal 2 5 7 3 2 2 2" xfId="22204"/>
    <cellStyle name="Normal 2 5 7 3 2 3" xfId="8421"/>
    <cellStyle name="Normal 2 5 7 3 2 4" xfId="17197"/>
    <cellStyle name="Normal 2 5 7 3 3" xfId="4600"/>
    <cellStyle name="Normal 2 5 7 3 3 2" xfId="13440"/>
    <cellStyle name="Normal 2 5 7 3 3 2 2" xfId="23691"/>
    <cellStyle name="Normal 2 5 7 3 3 3" xfId="9861"/>
    <cellStyle name="Normal 2 5 7 3 3 4" xfId="18684"/>
    <cellStyle name="Normal 2 5 7 3 4" xfId="1950"/>
    <cellStyle name="Normal 2 5 7 3 4 2" xfId="11317"/>
    <cellStyle name="Normal 2 5 7 3 4 3" xfId="21321"/>
    <cellStyle name="Normal 2 5 7 3 5" xfId="6058"/>
    <cellStyle name="Normal 2 5 7 3 5 2" xfId="14885"/>
    <cellStyle name="Normal 2 5 7 3 5 3" xfId="25136"/>
    <cellStyle name="Normal 2 5 7 3 6" xfId="7502"/>
    <cellStyle name="Normal 2 5 7 3 6 2" xfId="19803"/>
    <cellStyle name="Normal 2 5 7 3 7" xfId="16314"/>
    <cellStyle name="Normal 2 5 7 4" xfId="784"/>
    <cellStyle name="Normal 2 5 7 4 2" xfId="3271"/>
    <cellStyle name="Normal 2 5 7 4 2 2" xfId="12415"/>
    <cellStyle name="Normal 2 5 7 4 2 2 2" xfId="22634"/>
    <cellStyle name="Normal 2 5 7 4 2 3" xfId="8837"/>
    <cellStyle name="Normal 2 5 7 4 2 4" xfId="17627"/>
    <cellStyle name="Normal 2 5 7 4 3" xfId="4949"/>
    <cellStyle name="Normal 2 5 7 4 3 2" xfId="13788"/>
    <cellStyle name="Normal 2 5 7 4 3 2 2" xfId="24039"/>
    <cellStyle name="Normal 2 5 7 4 3 3" xfId="10209"/>
    <cellStyle name="Normal 2 5 7 4 3 4" xfId="19032"/>
    <cellStyle name="Normal 2 5 7 4 4" xfId="2380"/>
    <cellStyle name="Normal 2 5 7 4 4 2" xfId="11747"/>
    <cellStyle name="Normal 2 5 7 4 4 3" xfId="21751"/>
    <cellStyle name="Normal 2 5 7 4 5" xfId="6406"/>
    <cellStyle name="Normal 2 5 7 4 5 2" xfId="15233"/>
    <cellStyle name="Normal 2 5 7 4 5 3" xfId="25484"/>
    <cellStyle name="Normal 2 5 7 4 6" xfId="7852"/>
    <cellStyle name="Normal 2 5 7 4 6 2" xfId="20233"/>
    <cellStyle name="Normal 2 5 7 4 7" xfId="16744"/>
    <cellStyle name="Normal 2 5 7 5" xfId="1126"/>
    <cellStyle name="Normal 2 5 7 5 2" xfId="3556"/>
    <cellStyle name="Normal 2 5 7 5 2 2" xfId="12694"/>
    <cellStyle name="Normal 2 5 7 5 2 2 2" xfId="22913"/>
    <cellStyle name="Normal 2 5 7 5 2 3" xfId="9115"/>
    <cellStyle name="Normal 2 5 7 5 2 4" xfId="17906"/>
    <cellStyle name="Normal 2 5 7 5 3" xfId="5219"/>
    <cellStyle name="Normal 2 5 7 5 3 2" xfId="14058"/>
    <cellStyle name="Normal 2 5 7 5 3 2 2" xfId="24309"/>
    <cellStyle name="Normal 2 5 7 5 3 3" xfId="10479"/>
    <cellStyle name="Normal 2 5 7 5 3 4" xfId="19302"/>
    <cellStyle name="Normal 2 5 7 5 4" xfId="1835"/>
    <cellStyle name="Normal 2 5 7 5 4 2" xfId="11205"/>
    <cellStyle name="Normal 2 5 7 5 4 3" xfId="21209"/>
    <cellStyle name="Normal 2 5 7 5 5" xfId="6676"/>
    <cellStyle name="Normal 2 5 7 5 5 2" xfId="15503"/>
    <cellStyle name="Normal 2 5 7 5 5 3" xfId="25754"/>
    <cellStyle name="Normal 2 5 7 5 6" xfId="8122"/>
    <cellStyle name="Normal 2 5 7 5 6 2" xfId="20512"/>
    <cellStyle name="Normal 2 5 7 5 7" xfId="16202"/>
    <cellStyle name="Normal 2 5 7 6" xfId="2729"/>
    <cellStyle name="Normal 2 5 7 6 2" xfId="12048"/>
    <cellStyle name="Normal 2 5 7 6 2 2" xfId="22092"/>
    <cellStyle name="Normal 2 5 7 6 3" xfId="8560"/>
    <cellStyle name="Normal 2 5 7 6 4" xfId="17085"/>
    <cellStyle name="Normal 2 5 7 7" xfId="4175"/>
    <cellStyle name="Normal 2 5 7 7 2" xfId="13015"/>
    <cellStyle name="Normal 2 5 7 7 2 2" xfId="23266"/>
    <cellStyle name="Normal 2 5 7 7 3" xfId="9436"/>
    <cellStyle name="Normal 2 5 7 7 4" xfId="18259"/>
    <cellStyle name="Normal 2 5 7 8" xfId="1447"/>
    <cellStyle name="Normal 2 5 7 8 2" xfId="10826"/>
    <cellStyle name="Normal 2 5 7 8 3" xfId="20830"/>
    <cellStyle name="Normal 2 5 7 9" xfId="5633"/>
    <cellStyle name="Normal 2 5 7 9 2" xfId="14460"/>
    <cellStyle name="Normal 2 5 7 9 3" xfId="24711"/>
    <cellStyle name="Normal 2 5 7_Degree data" xfId="3884"/>
    <cellStyle name="Normal 2 5 8" xfId="293"/>
    <cellStyle name="Normal 2 5 8 10" xfId="16084"/>
    <cellStyle name="Normal 2 5 8 2" xfId="615"/>
    <cellStyle name="Normal 2 5 8 2 2" xfId="3102"/>
    <cellStyle name="Normal 2 5 8 2 2 2" xfId="12247"/>
    <cellStyle name="Normal 2 5 8 2 2 2 2" xfId="22465"/>
    <cellStyle name="Normal 2 5 8 2 2 3" xfId="8669"/>
    <cellStyle name="Normal 2 5 8 2 2 4" xfId="17458"/>
    <cellStyle name="Normal 2 5 8 2 3" xfId="4602"/>
    <cellStyle name="Normal 2 5 8 2 3 2" xfId="13442"/>
    <cellStyle name="Normal 2 5 8 2 3 2 2" xfId="23693"/>
    <cellStyle name="Normal 2 5 8 2 3 3" xfId="9863"/>
    <cellStyle name="Normal 2 5 8 2 3 4" xfId="18686"/>
    <cellStyle name="Normal 2 5 8 2 4" xfId="2211"/>
    <cellStyle name="Normal 2 5 8 2 4 2" xfId="11578"/>
    <cellStyle name="Normal 2 5 8 2 4 3" xfId="21582"/>
    <cellStyle name="Normal 2 5 8 2 5" xfId="6060"/>
    <cellStyle name="Normal 2 5 8 2 5 2" xfId="14887"/>
    <cellStyle name="Normal 2 5 8 2 5 3" xfId="25138"/>
    <cellStyle name="Normal 2 5 8 2 6" xfId="7504"/>
    <cellStyle name="Normal 2 5 8 2 6 2" xfId="20064"/>
    <cellStyle name="Normal 2 5 8 2 7" xfId="16575"/>
    <cellStyle name="Normal 2 5 8 3" xfId="786"/>
    <cellStyle name="Normal 2 5 8 3 2" xfId="3273"/>
    <cellStyle name="Normal 2 5 8 3 2 2" xfId="12417"/>
    <cellStyle name="Normal 2 5 8 3 2 2 2" xfId="22636"/>
    <cellStyle name="Normal 2 5 8 3 2 3" xfId="8839"/>
    <cellStyle name="Normal 2 5 8 3 2 4" xfId="17629"/>
    <cellStyle name="Normal 2 5 8 3 3" xfId="4951"/>
    <cellStyle name="Normal 2 5 8 3 3 2" xfId="13790"/>
    <cellStyle name="Normal 2 5 8 3 3 2 2" xfId="24041"/>
    <cellStyle name="Normal 2 5 8 3 3 3" xfId="10211"/>
    <cellStyle name="Normal 2 5 8 3 3 4" xfId="19034"/>
    <cellStyle name="Normal 2 5 8 3 4" xfId="2382"/>
    <cellStyle name="Normal 2 5 8 3 4 2" xfId="11749"/>
    <cellStyle name="Normal 2 5 8 3 4 3" xfId="21753"/>
    <cellStyle name="Normal 2 5 8 3 5" xfId="6408"/>
    <cellStyle name="Normal 2 5 8 3 5 2" xfId="15235"/>
    <cellStyle name="Normal 2 5 8 3 5 3" xfId="25486"/>
    <cellStyle name="Normal 2 5 8 3 6" xfId="7854"/>
    <cellStyle name="Normal 2 5 8 3 6 2" xfId="20235"/>
    <cellStyle name="Normal 2 5 8 3 7" xfId="16746"/>
    <cellStyle name="Normal 2 5 8 4" xfId="1387"/>
    <cellStyle name="Normal 2 5 8 4 2" xfId="3817"/>
    <cellStyle name="Normal 2 5 8 4 2 2" xfId="12955"/>
    <cellStyle name="Normal 2 5 8 4 2 2 2" xfId="23174"/>
    <cellStyle name="Normal 2 5 8 4 2 3" xfId="9376"/>
    <cellStyle name="Normal 2 5 8 4 2 4" xfId="18167"/>
    <cellStyle name="Normal 2 5 8 4 3" xfId="5480"/>
    <cellStyle name="Normal 2 5 8 4 3 2" xfId="14319"/>
    <cellStyle name="Normal 2 5 8 4 3 2 2" xfId="24570"/>
    <cellStyle name="Normal 2 5 8 4 3 3" xfId="10740"/>
    <cellStyle name="Normal 2 5 8 4 3 4" xfId="19563"/>
    <cellStyle name="Normal 2 5 8 4 4" xfId="1891"/>
    <cellStyle name="Normal 2 5 8 4 4 2" xfId="11261"/>
    <cellStyle name="Normal 2 5 8 4 4 3" xfId="21265"/>
    <cellStyle name="Normal 2 5 8 4 5" xfId="6937"/>
    <cellStyle name="Normal 2 5 8 4 5 2" xfId="15764"/>
    <cellStyle name="Normal 2 5 8 4 5 3" xfId="26015"/>
    <cellStyle name="Normal 2 5 8 4 6" xfId="8383"/>
    <cellStyle name="Normal 2 5 8 4 6 2" xfId="20773"/>
    <cellStyle name="Normal 2 5 8 4 7" xfId="16258"/>
    <cellStyle name="Normal 2 5 8 5" xfId="2785"/>
    <cellStyle name="Normal 2 5 8 5 2" xfId="12104"/>
    <cellStyle name="Normal 2 5 8 5 2 2" xfId="22148"/>
    <cellStyle name="Normal 2 5 8 5 3" xfId="8631"/>
    <cellStyle name="Normal 2 5 8 5 4" xfId="17141"/>
    <cellStyle name="Normal 2 5 8 6" xfId="4436"/>
    <cellStyle name="Normal 2 5 8 6 2" xfId="13276"/>
    <cellStyle name="Normal 2 5 8 6 2 2" xfId="23527"/>
    <cellStyle name="Normal 2 5 8 6 3" xfId="9697"/>
    <cellStyle name="Normal 2 5 8 6 4" xfId="18520"/>
    <cellStyle name="Normal 2 5 8 7" xfId="1708"/>
    <cellStyle name="Normal 2 5 8 7 2" xfId="11087"/>
    <cellStyle name="Normal 2 5 8 7 3" xfId="21091"/>
    <cellStyle name="Normal 2 5 8 8" xfId="5894"/>
    <cellStyle name="Normal 2 5 8 8 2" xfId="14721"/>
    <cellStyle name="Normal 2 5 8 8 3" xfId="24972"/>
    <cellStyle name="Normal 2 5 8 9" xfId="7338"/>
    <cellStyle name="Normal 2 5 8 9 2" xfId="19747"/>
    <cellStyle name="Normal 2 5 8_Degree data" xfId="3470"/>
    <cellStyle name="Normal 2 5 9" xfId="454"/>
    <cellStyle name="Normal 2 5 9 2" xfId="787"/>
    <cellStyle name="Normal 2 5 9 2 2" xfId="3274"/>
    <cellStyle name="Normal 2 5 9 2 2 2" xfId="12418"/>
    <cellStyle name="Normal 2 5 9 2 2 2 2" xfId="22637"/>
    <cellStyle name="Normal 2 5 9 2 2 3" xfId="8840"/>
    <cellStyle name="Normal 2 5 9 2 2 4" xfId="17630"/>
    <cellStyle name="Normal 2 5 9 2 3" xfId="4603"/>
    <cellStyle name="Normal 2 5 9 2 3 2" xfId="13443"/>
    <cellStyle name="Normal 2 5 9 2 3 2 2" xfId="23694"/>
    <cellStyle name="Normal 2 5 9 2 3 3" xfId="9864"/>
    <cellStyle name="Normal 2 5 9 2 3 4" xfId="18687"/>
    <cellStyle name="Normal 2 5 9 2 4" xfId="2383"/>
    <cellStyle name="Normal 2 5 9 2 4 2" xfId="11750"/>
    <cellStyle name="Normal 2 5 9 2 4 3" xfId="21754"/>
    <cellStyle name="Normal 2 5 9 2 5" xfId="6061"/>
    <cellStyle name="Normal 2 5 9 2 5 2" xfId="14888"/>
    <cellStyle name="Normal 2 5 9 2 5 3" xfId="25139"/>
    <cellStyle name="Normal 2 5 9 2 6" xfId="7505"/>
    <cellStyle name="Normal 2 5 9 2 6 2" xfId="20236"/>
    <cellStyle name="Normal 2 5 9 2 7" xfId="16747"/>
    <cellStyle name="Normal 2 5 9 3" xfId="1226"/>
    <cellStyle name="Normal 2 5 9 3 2" xfId="3656"/>
    <cellStyle name="Normal 2 5 9 3 2 2" xfId="12794"/>
    <cellStyle name="Normal 2 5 9 3 2 2 2" xfId="23013"/>
    <cellStyle name="Normal 2 5 9 3 2 3" xfId="9215"/>
    <cellStyle name="Normal 2 5 9 3 2 4" xfId="18006"/>
    <cellStyle name="Normal 2 5 9 3 3" xfId="4952"/>
    <cellStyle name="Normal 2 5 9 3 3 2" xfId="13791"/>
    <cellStyle name="Normal 2 5 9 3 3 2 2" xfId="24042"/>
    <cellStyle name="Normal 2 5 9 3 3 3" xfId="10212"/>
    <cellStyle name="Normal 2 5 9 3 3 4" xfId="19035"/>
    <cellStyle name="Normal 2 5 9 3 4" xfId="2050"/>
    <cellStyle name="Normal 2 5 9 3 4 2" xfId="11417"/>
    <cellStyle name="Normal 2 5 9 3 4 3" xfId="21421"/>
    <cellStyle name="Normal 2 5 9 3 5" xfId="6409"/>
    <cellStyle name="Normal 2 5 9 3 5 2" xfId="15236"/>
    <cellStyle name="Normal 2 5 9 3 5 3" xfId="25487"/>
    <cellStyle name="Normal 2 5 9 3 6" xfId="7855"/>
    <cellStyle name="Normal 2 5 9 3 6 2" xfId="20612"/>
    <cellStyle name="Normal 2 5 9 3 7" xfId="16414"/>
    <cellStyle name="Normal 2 5 9 4" xfId="2941"/>
    <cellStyle name="Normal 2 5 9 4 2" xfId="5319"/>
    <cellStyle name="Normal 2 5 9 4 2 2" xfId="14158"/>
    <cellStyle name="Normal 2 5 9 4 2 2 2" xfId="24409"/>
    <cellStyle name="Normal 2 5 9 4 2 3" xfId="10579"/>
    <cellStyle name="Normal 2 5 9 4 2 4" xfId="19402"/>
    <cellStyle name="Normal 2 5 9 4 3" xfId="6776"/>
    <cellStyle name="Normal 2 5 9 4 3 2" xfId="15603"/>
    <cellStyle name="Normal 2 5 9 4 3 3" xfId="25854"/>
    <cellStyle name="Normal 2 5 9 4 4" xfId="8222"/>
    <cellStyle name="Normal 2 5 9 4 4 2" xfId="22304"/>
    <cellStyle name="Normal 2 5 9 4 5" xfId="17297"/>
    <cellStyle name="Normal 2 5 9 5" xfId="4275"/>
    <cellStyle name="Normal 2 5 9 5 2" xfId="13115"/>
    <cellStyle name="Normal 2 5 9 5 2 2" xfId="23366"/>
    <cellStyle name="Normal 2 5 9 5 3" xfId="9536"/>
    <cellStyle name="Normal 2 5 9 5 4" xfId="18359"/>
    <cellStyle name="Normal 2 5 9 6" xfId="1547"/>
    <cellStyle name="Normal 2 5 9 6 2" xfId="10926"/>
    <cellStyle name="Normal 2 5 9 6 3" xfId="20930"/>
    <cellStyle name="Normal 2 5 9 7" xfId="5733"/>
    <cellStyle name="Normal 2 5 9 7 2" xfId="14560"/>
    <cellStyle name="Normal 2 5 9 7 3" xfId="24811"/>
    <cellStyle name="Normal 2 5 9 8" xfId="7177"/>
    <cellStyle name="Normal 2 5 9 8 2" xfId="19903"/>
    <cellStyle name="Normal 2 5 9 9" xfId="15923"/>
    <cellStyle name="Normal 2 5 9_Degree data" xfId="3835"/>
    <cellStyle name="Normal 2 5_Degree data" xfId="3934"/>
    <cellStyle name="Normal 2 6" xfId="297"/>
    <cellStyle name="Normal 2 6 2" xfId="788"/>
    <cellStyle name="Normal 2 6 3" xfId="1894"/>
    <cellStyle name="Normal 2 6_Degree data" xfId="3868"/>
    <cellStyle name="Normal 2 7" xfId="1030"/>
    <cellStyle name="Normal 20" xfId="107"/>
    <cellStyle name="Normal 21" xfId="108"/>
    <cellStyle name="Normal 22" xfId="109"/>
    <cellStyle name="Normal 23" xfId="110"/>
    <cellStyle name="Normal 24" xfId="17"/>
    <cellStyle name="Normal 25" xfId="96"/>
    <cellStyle name="Normal 26" xfId="97"/>
    <cellStyle name="Normal 27" xfId="74"/>
    <cellStyle name="Normal 28" xfId="75"/>
    <cellStyle name="Normal 29" xfId="76"/>
    <cellStyle name="Normal 3" xfId="2"/>
    <cellStyle name="Normal 3 2" xfId="44"/>
    <cellStyle name="Normal 3 2 2" xfId="300"/>
    <cellStyle name="Normal 3 2 2 10" xfId="16088"/>
    <cellStyle name="Normal 3 2 2 2" xfId="619"/>
    <cellStyle name="Normal 3 2 2 2 2" xfId="3106"/>
    <cellStyle name="Normal 3 2 2 2 2 2" xfId="12251"/>
    <cellStyle name="Normal 3 2 2 2 2 2 2" xfId="22469"/>
    <cellStyle name="Normal 3 2 2 2 2 3" xfId="8673"/>
    <cellStyle name="Normal 3 2 2 2 2 4" xfId="17462"/>
    <cellStyle name="Normal 3 2 2 2 3" xfId="4604"/>
    <cellStyle name="Normal 3 2 2 2 3 2" xfId="13444"/>
    <cellStyle name="Normal 3 2 2 2 3 2 2" xfId="23695"/>
    <cellStyle name="Normal 3 2 2 2 3 3" xfId="9865"/>
    <cellStyle name="Normal 3 2 2 2 3 4" xfId="18688"/>
    <cellStyle name="Normal 3 2 2 2 4" xfId="2215"/>
    <cellStyle name="Normal 3 2 2 2 4 2" xfId="11582"/>
    <cellStyle name="Normal 3 2 2 2 4 3" xfId="21586"/>
    <cellStyle name="Normal 3 2 2 2 5" xfId="6062"/>
    <cellStyle name="Normal 3 2 2 2 5 2" xfId="14889"/>
    <cellStyle name="Normal 3 2 2 2 5 3" xfId="25140"/>
    <cellStyle name="Normal 3 2 2 2 6" xfId="7507"/>
    <cellStyle name="Normal 3 2 2 2 6 2" xfId="20068"/>
    <cellStyle name="Normal 3 2 2 2 7" xfId="16579"/>
    <cellStyle name="Normal 3 2 2 3" xfId="789"/>
    <cellStyle name="Normal 3 2 2 3 2" xfId="3275"/>
    <cellStyle name="Normal 3 2 2 3 2 2" xfId="12419"/>
    <cellStyle name="Normal 3 2 2 3 2 2 2" xfId="22638"/>
    <cellStyle name="Normal 3 2 2 3 2 3" xfId="8841"/>
    <cellStyle name="Normal 3 2 2 3 2 4" xfId="17631"/>
    <cellStyle name="Normal 3 2 2 3 3" xfId="4953"/>
    <cellStyle name="Normal 3 2 2 3 3 2" xfId="13792"/>
    <cellStyle name="Normal 3 2 2 3 3 2 2" xfId="24043"/>
    <cellStyle name="Normal 3 2 2 3 3 3" xfId="10213"/>
    <cellStyle name="Normal 3 2 2 3 3 4" xfId="19036"/>
    <cellStyle name="Normal 3 2 2 3 4" xfId="2384"/>
    <cellStyle name="Normal 3 2 2 3 4 2" xfId="11751"/>
    <cellStyle name="Normal 3 2 2 3 4 3" xfId="21755"/>
    <cellStyle name="Normal 3 2 2 3 5" xfId="6410"/>
    <cellStyle name="Normal 3 2 2 3 5 2" xfId="15237"/>
    <cellStyle name="Normal 3 2 2 3 5 3" xfId="25488"/>
    <cellStyle name="Normal 3 2 2 3 6" xfId="7856"/>
    <cellStyle name="Normal 3 2 2 3 6 2" xfId="20237"/>
    <cellStyle name="Normal 3 2 2 3 7" xfId="16748"/>
    <cellStyle name="Normal 3 2 2 4" xfId="1391"/>
    <cellStyle name="Normal 3 2 2 4 2" xfId="3821"/>
    <cellStyle name="Normal 3 2 2 4 2 2" xfId="12959"/>
    <cellStyle name="Normal 3 2 2 4 2 2 2" xfId="23178"/>
    <cellStyle name="Normal 3 2 2 4 2 3" xfId="9380"/>
    <cellStyle name="Normal 3 2 2 4 2 4" xfId="18171"/>
    <cellStyle name="Normal 3 2 2 4 3" xfId="5484"/>
    <cellStyle name="Normal 3 2 2 4 3 2" xfId="14323"/>
    <cellStyle name="Normal 3 2 2 4 3 2 2" xfId="24574"/>
    <cellStyle name="Normal 3 2 2 4 3 3" xfId="10744"/>
    <cellStyle name="Normal 3 2 2 4 3 4" xfId="19567"/>
    <cellStyle name="Normal 3 2 2 4 4" xfId="1896"/>
    <cellStyle name="Normal 3 2 2 4 4 2" xfId="11265"/>
    <cellStyle name="Normal 3 2 2 4 4 3" xfId="21269"/>
    <cellStyle name="Normal 3 2 2 4 5" xfId="6941"/>
    <cellStyle name="Normal 3 2 2 4 5 2" xfId="15768"/>
    <cellStyle name="Normal 3 2 2 4 5 3" xfId="26019"/>
    <cellStyle name="Normal 3 2 2 4 6" xfId="8387"/>
    <cellStyle name="Normal 3 2 2 4 6 2" xfId="20777"/>
    <cellStyle name="Normal 3 2 2 4 7" xfId="16262"/>
    <cellStyle name="Normal 3 2 2 5" xfId="2789"/>
    <cellStyle name="Normal 3 2 2 5 2" xfId="12108"/>
    <cellStyle name="Normal 3 2 2 5 2 2" xfId="22152"/>
    <cellStyle name="Normal 3 2 2 5 3" xfId="8414"/>
    <cellStyle name="Normal 3 2 2 5 4" xfId="17145"/>
    <cellStyle name="Normal 3 2 2 6" xfId="4440"/>
    <cellStyle name="Normal 3 2 2 6 2" xfId="13280"/>
    <cellStyle name="Normal 3 2 2 6 2 2" xfId="23531"/>
    <cellStyle name="Normal 3 2 2 6 3" xfId="9701"/>
    <cellStyle name="Normal 3 2 2 6 4" xfId="18524"/>
    <cellStyle name="Normal 3 2 2 7" xfId="1712"/>
    <cellStyle name="Normal 3 2 2 7 2" xfId="11091"/>
    <cellStyle name="Normal 3 2 2 7 3" xfId="21095"/>
    <cellStyle name="Normal 3 2 2 8" xfId="5898"/>
    <cellStyle name="Normal 3 2 2 8 2" xfId="14725"/>
    <cellStyle name="Normal 3 2 2 8 3" xfId="24976"/>
    <cellStyle name="Normal 3 2 2 9" xfId="7342"/>
    <cellStyle name="Normal 3 2 2 9 2" xfId="19751"/>
    <cellStyle name="Normal 3 2 2_Degree data" xfId="2612"/>
    <cellStyle name="Normal 3 3" xfId="156"/>
    <cellStyle name="Normal 30" xfId="77"/>
    <cellStyle name="Normal 31" xfId="78"/>
    <cellStyle name="Normal 32" xfId="79"/>
    <cellStyle name="Normal 33" xfId="80"/>
    <cellStyle name="Normal 34" xfId="81"/>
    <cellStyle name="Normal 35" xfId="82"/>
    <cellStyle name="Normal 36" xfId="83"/>
    <cellStyle name="Normal 37" xfId="84"/>
    <cellStyle name="Normal 38" xfId="18"/>
    <cellStyle name="Normal 39" xfId="85"/>
    <cellStyle name="Normal 4" xfId="28"/>
    <cellStyle name="Normal 4 2" xfId="116"/>
    <cellStyle name="Normal 4 2 2" xfId="299"/>
    <cellStyle name="Normal 4 3" xfId="29"/>
    <cellStyle name="Normal 4 4" xfId="294"/>
    <cellStyle name="Normal 4 4 10" xfId="16085"/>
    <cellStyle name="Normal 4 4 2" xfId="616"/>
    <cellStyle name="Normal 4 4 2 2" xfId="3103"/>
    <cellStyle name="Normal 4 4 2 2 2" xfId="12248"/>
    <cellStyle name="Normal 4 4 2 2 2 2" xfId="22466"/>
    <cellStyle name="Normal 4 4 2 2 3" xfId="8670"/>
    <cellStyle name="Normal 4 4 2 2 4" xfId="17459"/>
    <cellStyle name="Normal 4 4 2 3" xfId="4605"/>
    <cellStyle name="Normal 4 4 2 3 2" xfId="13445"/>
    <cellStyle name="Normal 4 4 2 3 2 2" xfId="23696"/>
    <cellStyle name="Normal 4 4 2 3 3" xfId="9866"/>
    <cellStyle name="Normal 4 4 2 3 4" xfId="18689"/>
    <cellStyle name="Normal 4 4 2 4" xfId="2212"/>
    <cellStyle name="Normal 4 4 2 4 2" xfId="11579"/>
    <cellStyle name="Normal 4 4 2 4 3" xfId="21583"/>
    <cellStyle name="Normal 4 4 2 5" xfId="6063"/>
    <cellStyle name="Normal 4 4 2 5 2" xfId="14890"/>
    <cellStyle name="Normal 4 4 2 5 3" xfId="25141"/>
    <cellStyle name="Normal 4 4 2 6" xfId="7508"/>
    <cellStyle name="Normal 4 4 2 6 2" xfId="20065"/>
    <cellStyle name="Normal 4 4 2 7" xfId="16576"/>
    <cellStyle name="Normal 4 4 3" xfId="790"/>
    <cellStyle name="Normal 4 4 3 2" xfId="3276"/>
    <cellStyle name="Normal 4 4 3 2 2" xfId="12420"/>
    <cellStyle name="Normal 4 4 3 2 2 2" xfId="22639"/>
    <cellStyle name="Normal 4 4 3 2 3" xfId="8842"/>
    <cellStyle name="Normal 4 4 3 2 4" xfId="17632"/>
    <cellStyle name="Normal 4 4 3 3" xfId="4954"/>
    <cellStyle name="Normal 4 4 3 3 2" xfId="13793"/>
    <cellStyle name="Normal 4 4 3 3 2 2" xfId="24044"/>
    <cellStyle name="Normal 4 4 3 3 3" xfId="10214"/>
    <cellStyle name="Normal 4 4 3 3 4" xfId="19037"/>
    <cellStyle name="Normal 4 4 3 4" xfId="2385"/>
    <cellStyle name="Normal 4 4 3 4 2" xfId="11752"/>
    <cellStyle name="Normal 4 4 3 4 3" xfId="21756"/>
    <cellStyle name="Normal 4 4 3 5" xfId="6411"/>
    <cellStyle name="Normal 4 4 3 5 2" xfId="15238"/>
    <cellStyle name="Normal 4 4 3 5 3" xfId="25489"/>
    <cellStyle name="Normal 4 4 3 6" xfId="7857"/>
    <cellStyle name="Normal 4 4 3 6 2" xfId="20238"/>
    <cellStyle name="Normal 4 4 3 7" xfId="16749"/>
    <cellStyle name="Normal 4 4 4" xfId="1388"/>
    <cellStyle name="Normal 4 4 4 2" xfId="3818"/>
    <cellStyle name="Normal 4 4 4 2 2" xfId="12956"/>
    <cellStyle name="Normal 4 4 4 2 2 2" xfId="23175"/>
    <cellStyle name="Normal 4 4 4 2 3" xfId="9377"/>
    <cellStyle name="Normal 4 4 4 2 4" xfId="18168"/>
    <cellStyle name="Normal 4 4 4 3" xfId="5481"/>
    <cellStyle name="Normal 4 4 4 3 2" xfId="14320"/>
    <cellStyle name="Normal 4 4 4 3 2 2" xfId="24571"/>
    <cellStyle name="Normal 4 4 4 3 3" xfId="10741"/>
    <cellStyle name="Normal 4 4 4 3 4" xfId="19564"/>
    <cellStyle name="Normal 4 4 4 4" xfId="1892"/>
    <cellStyle name="Normal 4 4 4 4 2" xfId="11262"/>
    <cellStyle name="Normal 4 4 4 4 3" xfId="21266"/>
    <cellStyle name="Normal 4 4 4 5" xfId="6938"/>
    <cellStyle name="Normal 4 4 4 5 2" xfId="15765"/>
    <cellStyle name="Normal 4 4 4 5 3" xfId="26016"/>
    <cellStyle name="Normal 4 4 4 6" xfId="8384"/>
    <cellStyle name="Normal 4 4 4 6 2" xfId="20774"/>
    <cellStyle name="Normal 4 4 4 7" xfId="16259"/>
    <cellStyle name="Normal 4 4 5" xfId="2786"/>
    <cellStyle name="Normal 4 4 5 2" xfId="12105"/>
    <cellStyle name="Normal 4 4 5 2 2" xfId="22149"/>
    <cellStyle name="Normal 4 4 5 3" xfId="8547"/>
    <cellStyle name="Normal 4 4 5 4" xfId="17142"/>
    <cellStyle name="Normal 4 4 6" xfId="4437"/>
    <cellStyle name="Normal 4 4 6 2" xfId="13277"/>
    <cellStyle name="Normal 4 4 6 2 2" xfId="23528"/>
    <cellStyle name="Normal 4 4 6 3" xfId="9698"/>
    <cellStyle name="Normal 4 4 6 4" xfId="18521"/>
    <cellStyle name="Normal 4 4 7" xfId="1709"/>
    <cellStyle name="Normal 4 4 7 2" xfId="11088"/>
    <cellStyle name="Normal 4 4 7 3" xfId="21092"/>
    <cellStyle name="Normal 4 4 8" xfId="5895"/>
    <cellStyle name="Normal 4 4 8 2" xfId="14722"/>
    <cellStyle name="Normal 4 4 8 3" xfId="24973"/>
    <cellStyle name="Normal 4 4 9" xfId="7339"/>
    <cellStyle name="Normal 4 4 9 2" xfId="19748"/>
    <cellStyle name="Normal 4 4_Degree data" xfId="3926"/>
    <cellStyle name="Normal 40" xfId="86"/>
    <cellStyle name="Normal 41" xfId="87"/>
    <cellStyle name="Normal 42" xfId="88"/>
    <cellStyle name="Normal 43" xfId="89"/>
    <cellStyle name="Normal 44" xfId="90"/>
    <cellStyle name="Normal 45" xfId="91"/>
    <cellStyle name="Normal 46" xfId="92"/>
    <cellStyle name="Normal 47" xfId="93"/>
    <cellStyle name="Normal 48" xfId="94"/>
    <cellStyle name="Normal 49" xfId="98"/>
    <cellStyle name="Normal 5" xfId="3"/>
    <cellStyle name="Normal 5 10" xfId="1048"/>
    <cellStyle name="Normal 5 10 2" xfId="3478"/>
    <cellStyle name="Normal 5 10 2 2" xfId="12616"/>
    <cellStyle name="Normal 5 10 2 2 2" xfId="22835"/>
    <cellStyle name="Normal 5 10 2 3" xfId="9038"/>
    <cellStyle name="Normal 5 10 2 4" xfId="17828"/>
    <cellStyle name="Normal 5 10 3" xfId="4955"/>
    <cellStyle name="Normal 5 10 3 2" xfId="13794"/>
    <cellStyle name="Normal 5 10 3 2 2" xfId="24045"/>
    <cellStyle name="Normal 5 10 3 3" xfId="10215"/>
    <cellStyle name="Normal 5 10 3 4" xfId="19038"/>
    <cellStyle name="Normal 5 10 4" xfId="2585"/>
    <cellStyle name="Normal 5 10 4 2" xfId="11951"/>
    <cellStyle name="Normal 5 10 4 3" xfId="21955"/>
    <cellStyle name="Normal 5 10 5" xfId="6412"/>
    <cellStyle name="Normal 5 10 5 2" xfId="15239"/>
    <cellStyle name="Normal 5 10 5 3" xfId="25490"/>
    <cellStyle name="Normal 5 10 6" xfId="7858"/>
    <cellStyle name="Normal 5 10 6 2" xfId="20434"/>
    <cellStyle name="Normal 5 10 7" xfId="16948"/>
    <cellStyle name="Normal 5 11" xfId="3898"/>
    <cellStyle name="Normal 5 11 2" xfId="5141"/>
    <cellStyle name="Normal 5 11 2 2" xfId="13980"/>
    <cellStyle name="Normal 5 11 2 2 2" xfId="24231"/>
    <cellStyle name="Normal 5 11 2 3" xfId="10401"/>
    <cellStyle name="Normal 5 11 2 4" xfId="19224"/>
    <cellStyle name="Normal 5 11 3" xfId="6598"/>
    <cellStyle name="Normal 5 11 3 2" xfId="15425"/>
    <cellStyle name="Normal 5 11 3 3" xfId="25676"/>
    <cellStyle name="Normal 5 11 4" xfId="8044"/>
    <cellStyle name="Normal 5 11 4 2" xfId="23181"/>
    <cellStyle name="Normal 5 11 5" xfId="18174"/>
    <cellStyle name="Normal 5 12" xfId="4094"/>
    <cellStyle name="Normal 5 12 2" xfId="5555"/>
    <cellStyle name="Normal 5 12 2 2" xfId="14382"/>
    <cellStyle name="Normal 5 12 2 3" xfId="24633"/>
    <cellStyle name="Normal 5 12 3" xfId="6999"/>
    <cellStyle name="Normal 5 12 3 2" xfId="23185"/>
    <cellStyle name="Normal 5 12 4" xfId="18178"/>
    <cellStyle name="Normal 5 13" xfId="1400"/>
    <cellStyle name="Normal 5 13 2" xfId="10780"/>
    <cellStyle name="Normal 5 13 3" xfId="20784"/>
    <cellStyle name="Normal 5 14" xfId="5509"/>
    <cellStyle name="Normal 5 14 2" xfId="14338"/>
    <cellStyle name="Normal 5 14 3" xfId="24589"/>
    <cellStyle name="Normal 5 15" xfId="6949"/>
    <cellStyle name="Normal 5 16" xfId="15777"/>
    <cellStyle name="Normal 5 2" xfId="114"/>
    <cellStyle name="Normal 5 2 10" xfId="5513"/>
    <cellStyle name="Normal 5 2 10 2" xfId="14342"/>
    <cellStyle name="Normal 5 2 10 3" xfId="24593"/>
    <cellStyle name="Normal 5 2 11" xfId="6954"/>
    <cellStyle name="Normal 5 2 11 2" xfId="19592"/>
    <cellStyle name="Normal 5 2 2" xfId="127"/>
    <cellStyle name="Normal 5 2 2 10" xfId="5544"/>
    <cellStyle name="Normal 5 2 2 10 2" xfId="14373"/>
    <cellStyle name="Normal 5 2 2 10 3" xfId="24624"/>
    <cellStyle name="Normal 5 2 2 11" xfId="6990"/>
    <cellStyle name="Normal 5 2 2 12" xfId="15811"/>
    <cellStyle name="Normal 5 2 2 2" xfId="169"/>
    <cellStyle name="Normal 5 2 2 2 10" xfId="5502"/>
    <cellStyle name="Normal 5 2 2 2 11" xfId="10760"/>
    <cellStyle name="Normal 5 2 2 2 11 2" xfId="19631"/>
    <cellStyle name="Normal 5 2 2 2 2" xfId="281"/>
    <cellStyle name="Normal 5 2 2 2 2 10" xfId="7122"/>
    <cellStyle name="Normal 5 2 2 2 2 10 2" xfId="19735"/>
    <cellStyle name="Normal 5 2 2 2 2 11" xfId="15868"/>
    <cellStyle name="Normal 5 2 2 2 2 2" xfId="603"/>
    <cellStyle name="Normal 5 2 2 2 2 2 2" xfId="794"/>
    <cellStyle name="Normal 5 2 2 2 2 2 2 2" xfId="3280"/>
    <cellStyle name="Normal 5 2 2 2 2 2 2 2 2" xfId="12424"/>
    <cellStyle name="Normal 5 2 2 2 2 2 2 2 2 2" xfId="22643"/>
    <cellStyle name="Normal 5 2 2 2 2 2 2 2 3" xfId="8846"/>
    <cellStyle name="Normal 5 2 2 2 2 2 2 2 4" xfId="17636"/>
    <cellStyle name="Normal 5 2 2 2 2 2 2 3" xfId="4609"/>
    <cellStyle name="Normal 5 2 2 2 2 2 2 3 2" xfId="13449"/>
    <cellStyle name="Normal 5 2 2 2 2 2 2 3 2 2" xfId="23700"/>
    <cellStyle name="Normal 5 2 2 2 2 2 2 3 3" xfId="9870"/>
    <cellStyle name="Normal 5 2 2 2 2 2 2 3 4" xfId="18693"/>
    <cellStyle name="Normal 5 2 2 2 2 2 2 4" xfId="2389"/>
    <cellStyle name="Normal 5 2 2 2 2 2 2 4 2" xfId="11756"/>
    <cellStyle name="Normal 5 2 2 2 2 2 2 4 3" xfId="21760"/>
    <cellStyle name="Normal 5 2 2 2 2 2 2 5" xfId="6067"/>
    <cellStyle name="Normal 5 2 2 2 2 2 2 5 2" xfId="14894"/>
    <cellStyle name="Normal 5 2 2 2 2 2 2 5 3" xfId="25145"/>
    <cellStyle name="Normal 5 2 2 2 2 2 2 6" xfId="7512"/>
    <cellStyle name="Normal 5 2 2 2 2 2 2 6 2" xfId="20242"/>
    <cellStyle name="Normal 5 2 2 2 2 2 2 7" xfId="16753"/>
    <cellStyle name="Normal 5 2 2 2 2 2 3" xfId="1375"/>
    <cellStyle name="Normal 5 2 2 2 2 2 3 2" xfId="3805"/>
    <cellStyle name="Normal 5 2 2 2 2 2 3 2 2" xfId="12943"/>
    <cellStyle name="Normal 5 2 2 2 2 2 3 2 2 2" xfId="23162"/>
    <cellStyle name="Normal 5 2 2 2 2 2 3 2 3" xfId="9364"/>
    <cellStyle name="Normal 5 2 2 2 2 2 3 2 4" xfId="18155"/>
    <cellStyle name="Normal 5 2 2 2 2 2 3 3" xfId="4958"/>
    <cellStyle name="Normal 5 2 2 2 2 2 3 3 2" xfId="13797"/>
    <cellStyle name="Normal 5 2 2 2 2 2 3 3 2 2" xfId="24048"/>
    <cellStyle name="Normal 5 2 2 2 2 2 3 3 3" xfId="10218"/>
    <cellStyle name="Normal 5 2 2 2 2 2 3 3 4" xfId="19041"/>
    <cellStyle name="Normal 5 2 2 2 2 2 3 4" xfId="2199"/>
    <cellStyle name="Normal 5 2 2 2 2 2 3 4 2" xfId="11566"/>
    <cellStyle name="Normal 5 2 2 2 2 2 3 4 3" xfId="21570"/>
    <cellStyle name="Normal 5 2 2 2 2 2 3 5" xfId="6415"/>
    <cellStyle name="Normal 5 2 2 2 2 2 3 5 2" xfId="15242"/>
    <cellStyle name="Normal 5 2 2 2 2 2 3 5 3" xfId="25493"/>
    <cellStyle name="Normal 5 2 2 2 2 2 3 6" xfId="7861"/>
    <cellStyle name="Normal 5 2 2 2 2 2 3 6 2" xfId="20761"/>
    <cellStyle name="Normal 5 2 2 2 2 2 3 7" xfId="16563"/>
    <cellStyle name="Normal 5 2 2 2 2 2 4" xfId="3090"/>
    <cellStyle name="Normal 5 2 2 2 2 2 4 2" xfId="5468"/>
    <cellStyle name="Normal 5 2 2 2 2 2 4 2 2" xfId="14307"/>
    <cellStyle name="Normal 5 2 2 2 2 2 4 2 2 2" xfId="24558"/>
    <cellStyle name="Normal 5 2 2 2 2 2 4 2 3" xfId="10728"/>
    <cellStyle name="Normal 5 2 2 2 2 2 4 2 4" xfId="19551"/>
    <cellStyle name="Normal 5 2 2 2 2 2 4 3" xfId="6925"/>
    <cellStyle name="Normal 5 2 2 2 2 2 4 3 2" xfId="15752"/>
    <cellStyle name="Normal 5 2 2 2 2 2 4 3 3" xfId="26003"/>
    <cellStyle name="Normal 5 2 2 2 2 2 4 4" xfId="8371"/>
    <cellStyle name="Normal 5 2 2 2 2 2 4 4 2" xfId="22453"/>
    <cellStyle name="Normal 5 2 2 2 2 2 4 5" xfId="17446"/>
    <cellStyle name="Normal 5 2 2 2 2 2 5" xfId="4424"/>
    <cellStyle name="Normal 5 2 2 2 2 2 5 2" xfId="13264"/>
    <cellStyle name="Normal 5 2 2 2 2 2 5 2 2" xfId="23515"/>
    <cellStyle name="Normal 5 2 2 2 2 2 5 3" xfId="9685"/>
    <cellStyle name="Normal 5 2 2 2 2 2 5 4" xfId="18508"/>
    <cellStyle name="Normal 5 2 2 2 2 2 6" xfId="1696"/>
    <cellStyle name="Normal 5 2 2 2 2 2 6 2" xfId="11075"/>
    <cellStyle name="Normal 5 2 2 2 2 2 6 3" xfId="21079"/>
    <cellStyle name="Normal 5 2 2 2 2 2 7" xfId="5882"/>
    <cellStyle name="Normal 5 2 2 2 2 2 7 2" xfId="14709"/>
    <cellStyle name="Normal 5 2 2 2 2 2 7 3" xfId="24960"/>
    <cellStyle name="Normal 5 2 2 2 2 2 8" xfId="7326"/>
    <cellStyle name="Normal 5 2 2 2 2 2 8 2" xfId="20052"/>
    <cellStyle name="Normal 5 2 2 2 2 2 9" xfId="16072"/>
    <cellStyle name="Normal 5 2 2 2 2 2_Degree data" xfId="3845"/>
    <cellStyle name="Normal 5 2 2 2 2 3" xfId="399"/>
    <cellStyle name="Normal 5 2 2 2 2 3 2" xfId="2886"/>
    <cellStyle name="Normal 5 2 2 2 2 3 2 2" xfId="12176"/>
    <cellStyle name="Normal 5 2 2 2 2 3 2 2 2" xfId="22249"/>
    <cellStyle name="Normal 5 2 2 2 2 3 2 3" xfId="8628"/>
    <cellStyle name="Normal 5 2 2 2 2 3 2 4" xfId="17242"/>
    <cellStyle name="Normal 5 2 2 2 2 3 3" xfId="4608"/>
    <cellStyle name="Normal 5 2 2 2 2 3 3 2" xfId="13448"/>
    <cellStyle name="Normal 5 2 2 2 2 3 3 2 2" xfId="23699"/>
    <cellStyle name="Normal 5 2 2 2 2 3 3 3" xfId="9869"/>
    <cellStyle name="Normal 5 2 2 2 2 3 3 4" xfId="18692"/>
    <cellStyle name="Normal 5 2 2 2 2 3 4" xfId="1995"/>
    <cellStyle name="Normal 5 2 2 2 2 3 4 2" xfId="11362"/>
    <cellStyle name="Normal 5 2 2 2 2 3 4 3" xfId="21366"/>
    <cellStyle name="Normal 5 2 2 2 2 3 5" xfId="6066"/>
    <cellStyle name="Normal 5 2 2 2 2 3 5 2" xfId="14893"/>
    <cellStyle name="Normal 5 2 2 2 2 3 5 3" xfId="25144"/>
    <cellStyle name="Normal 5 2 2 2 2 3 6" xfId="7511"/>
    <cellStyle name="Normal 5 2 2 2 2 3 6 2" xfId="19848"/>
    <cellStyle name="Normal 5 2 2 2 2 3 7" xfId="16359"/>
    <cellStyle name="Normal 5 2 2 2 2 4" xfId="793"/>
    <cellStyle name="Normal 5 2 2 2 2 4 2" xfId="3279"/>
    <cellStyle name="Normal 5 2 2 2 2 4 2 2" xfId="12423"/>
    <cellStyle name="Normal 5 2 2 2 2 4 2 2 2" xfId="22642"/>
    <cellStyle name="Normal 5 2 2 2 2 4 2 3" xfId="8845"/>
    <cellStyle name="Normal 5 2 2 2 2 4 2 4" xfId="17635"/>
    <cellStyle name="Normal 5 2 2 2 2 4 3" xfId="4957"/>
    <cellStyle name="Normal 5 2 2 2 2 4 3 2" xfId="13796"/>
    <cellStyle name="Normal 5 2 2 2 2 4 3 2 2" xfId="24047"/>
    <cellStyle name="Normal 5 2 2 2 2 4 3 3" xfId="10217"/>
    <cellStyle name="Normal 5 2 2 2 2 4 3 4" xfId="19040"/>
    <cellStyle name="Normal 5 2 2 2 2 4 4" xfId="2388"/>
    <cellStyle name="Normal 5 2 2 2 2 4 4 2" xfId="11755"/>
    <cellStyle name="Normal 5 2 2 2 2 4 4 3" xfId="21759"/>
    <cellStyle name="Normal 5 2 2 2 2 4 5" xfId="6414"/>
    <cellStyle name="Normal 5 2 2 2 2 4 5 2" xfId="15241"/>
    <cellStyle name="Normal 5 2 2 2 2 4 5 3" xfId="25492"/>
    <cellStyle name="Normal 5 2 2 2 2 4 6" xfId="7860"/>
    <cellStyle name="Normal 5 2 2 2 2 4 6 2" xfId="20241"/>
    <cellStyle name="Normal 5 2 2 2 2 4 7" xfId="16752"/>
    <cellStyle name="Normal 5 2 2 2 2 5" xfId="1171"/>
    <cellStyle name="Normal 5 2 2 2 2 5 2" xfId="3601"/>
    <cellStyle name="Normal 5 2 2 2 2 5 2 2" xfId="12739"/>
    <cellStyle name="Normal 5 2 2 2 2 5 2 2 2" xfId="22958"/>
    <cellStyle name="Normal 5 2 2 2 2 5 2 3" xfId="9160"/>
    <cellStyle name="Normal 5 2 2 2 2 5 2 4" xfId="17951"/>
    <cellStyle name="Normal 5 2 2 2 2 5 3" xfId="5264"/>
    <cellStyle name="Normal 5 2 2 2 2 5 3 2" xfId="14103"/>
    <cellStyle name="Normal 5 2 2 2 2 5 3 2 2" xfId="24354"/>
    <cellStyle name="Normal 5 2 2 2 2 5 3 3" xfId="10524"/>
    <cellStyle name="Normal 5 2 2 2 2 5 3 4" xfId="19347"/>
    <cellStyle name="Normal 5 2 2 2 2 5 4" xfId="1879"/>
    <cellStyle name="Normal 5 2 2 2 2 5 4 2" xfId="11249"/>
    <cellStyle name="Normal 5 2 2 2 2 5 4 3" xfId="21253"/>
    <cellStyle name="Normal 5 2 2 2 2 5 5" xfId="6721"/>
    <cellStyle name="Normal 5 2 2 2 2 5 5 2" xfId="15548"/>
    <cellStyle name="Normal 5 2 2 2 2 5 5 3" xfId="25799"/>
    <cellStyle name="Normal 5 2 2 2 2 5 6" xfId="8167"/>
    <cellStyle name="Normal 5 2 2 2 2 5 6 2" xfId="20557"/>
    <cellStyle name="Normal 5 2 2 2 2 5 7" xfId="16246"/>
    <cellStyle name="Normal 5 2 2 2 2 6" xfId="2773"/>
    <cellStyle name="Normal 5 2 2 2 2 6 2" xfId="12092"/>
    <cellStyle name="Normal 5 2 2 2 2 6 2 2" xfId="22136"/>
    <cellStyle name="Normal 5 2 2 2 2 6 3" xfId="8453"/>
    <cellStyle name="Normal 5 2 2 2 2 6 4" xfId="17129"/>
    <cellStyle name="Normal 5 2 2 2 2 7" xfId="4220"/>
    <cellStyle name="Normal 5 2 2 2 2 7 2" xfId="13060"/>
    <cellStyle name="Normal 5 2 2 2 2 7 2 2" xfId="23311"/>
    <cellStyle name="Normal 5 2 2 2 2 7 3" xfId="9481"/>
    <cellStyle name="Normal 5 2 2 2 2 7 4" xfId="18304"/>
    <cellStyle name="Normal 5 2 2 2 2 8" xfId="1492"/>
    <cellStyle name="Normal 5 2 2 2 2 8 2" xfId="10871"/>
    <cellStyle name="Normal 5 2 2 2 2 8 3" xfId="20875"/>
    <cellStyle name="Normal 5 2 2 2 2 9" xfId="5678"/>
    <cellStyle name="Normal 5 2 2 2 2 9 2" xfId="14505"/>
    <cellStyle name="Normal 5 2 2 2 2 9 3" xfId="24756"/>
    <cellStyle name="Normal 5 2 2 2 2_Degree data" xfId="3832"/>
    <cellStyle name="Normal 5 2 2 2 3" xfId="224"/>
    <cellStyle name="Normal 5 2 2 2 4" xfId="499"/>
    <cellStyle name="Normal 5 2 2 2 4 2" xfId="795"/>
    <cellStyle name="Normal 5 2 2 2 4 2 2" xfId="3281"/>
    <cellStyle name="Normal 5 2 2 2 4 2 2 2" xfId="12425"/>
    <cellStyle name="Normal 5 2 2 2 4 2 2 2 2" xfId="22644"/>
    <cellStyle name="Normal 5 2 2 2 4 2 2 3" xfId="8847"/>
    <cellStyle name="Normal 5 2 2 2 4 2 2 4" xfId="17637"/>
    <cellStyle name="Normal 5 2 2 2 4 2 3" xfId="4610"/>
    <cellStyle name="Normal 5 2 2 2 4 2 3 2" xfId="13450"/>
    <cellStyle name="Normal 5 2 2 2 4 2 3 2 2" xfId="23701"/>
    <cellStyle name="Normal 5 2 2 2 4 2 3 3" xfId="9871"/>
    <cellStyle name="Normal 5 2 2 2 4 2 3 4" xfId="18694"/>
    <cellStyle name="Normal 5 2 2 2 4 2 4" xfId="2390"/>
    <cellStyle name="Normal 5 2 2 2 4 2 4 2" xfId="11757"/>
    <cellStyle name="Normal 5 2 2 2 4 2 4 3" xfId="21761"/>
    <cellStyle name="Normal 5 2 2 2 4 2 5" xfId="6068"/>
    <cellStyle name="Normal 5 2 2 2 4 2 5 2" xfId="14895"/>
    <cellStyle name="Normal 5 2 2 2 4 2 5 3" xfId="25146"/>
    <cellStyle name="Normal 5 2 2 2 4 2 6" xfId="7513"/>
    <cellStyle name="Normal 5 2 2 2 4 2 6 2" xfId="20243"/>
    <cellStyle name="Normal 5 2 2 2 4 2 7" xfId="16754"/>
    <cellStyle name="Normal 5 2 2 2 4 3" xfId="1271"/>
    <cellStyle name="Normal 5 2 2 2 4 3 2" xfId="3701"/>
    <cellStyle name="Normal 5 2 2 2 4 3 2 2" xfId="12839"/>
    <cellStyle name="Normal 5 2 2 2 4 3 2 2 2" xfId="23058"/>
    <cellStyle name="Normal 5 2 2 2 4 3 2 3" xfId="9260"/>
    <cellStyle name="Normal 5 2 2 2 4 3 2 4" xfId="18051"/>
    <cellStyle name="Normal 5 2 2 2 4 3 3" xfId="4959"/>
    <cellStyle name="Normal 5 2 2 2 4 3 3 2" xfId="13798"/>
    <cellStyle name="Normal 5 2 2 2 4 3 3 2 2" xfId="24049"/>
    <cellStyle name="Normal 5 2 2 2 4 3 3 3" xfId="10219"/>
    <cellStyle name="Normal 5 2 2 2 4 3 3 4" xfId="19042"/>
    <cellStyle name="Normal 5 2 2 2 4 3 4" xfId="2095"/>
    <cellStyle name="Normal 5 2 2 2 4 3 4 2" xfId="11462"/>
    <cellStyle name="Normal 5 2 2 2 4 3 4 3" xfId="21466"/>
    <cellStyle name="Normal 5 2 2 2 4 3 5" xfId="6416"/>
    <cellStyle name="Normal 5 2 2 2 4 3 5 2" xfId="15243"/>
    <cellStyle name="Normal 5 2 2 2 4 3 5 3" xfId="25494"/>
    <cellStyle name="Normal 5 2 2 2 4 3 6" xfId="7862"/>
    <cellStyle name="Normal 5 2 2 2 4 3 6 2" xfId="20657"/>
    <cellStyle name="Normal 5 2 2 2 4 3 7" xfId="16459"/>
    <cellStyle name="Normal 5 2 2 2 4 4" xfId="2986"/>
    <cellStyle name="Normal 5 2 2 2 4 4 2" xfId="5364"/>
    <cellStyle name="Normal 5 2 2 2 4 4 2 2" xfId="14203"/>
    <cellStyle name="Normal 5 2 2 2 4 4 2 2 2" xfId="24454"/>
    <cellStyle name="Normal 5 2 2 2 4 4 2 3" xfId="10624"/>
    <cellStyle name="Normal 5 2 2 2 4 4 2 4" xfId="19447"/>
    <cellStyle name="Normal 5 2 2 2 4 4 3" xfId="6821"/>
    <cellStyle name="Normal 5 2 2 2 4 4 3 2" xfId="15648"/>
    <cellStyle name="Normal 5 2 2 2 4 4 3 3" xfId="25899"/>
    <cellStyle name="Normal 5 2 2 2 4 4 4" xfId="8267"/>
    <cellStyle name="Normal 5 2 2 2 4 4 4 2" xfId="22349"/>
    <cellStyle name="Normal 5 2 2 2 4 4 5" xfId="17342"/>
    <cellStyle name="Normal 5 2 2 2 4 5" xfId="4320"/>
    <cellStyle name="Normal 5 2 2 2 4 5 2" xfId="13160"/>
    <cellStyle name="Normal 5 2 2 2 4 5 2 2" xfId="23411"/>
    <cellStyle name="Normal 5 2 2 2 4 5 3" xfId="9581"/>
    <cellStyle name="Normal 5 2 2 2 4 5 4" xfId="18404"/>
    <cellStyle name="Normal 5 2 2 2 4 6" xfId="1592"/>
    <cellStyle name="Normal 5 2 2 2 4 6 2" xfId="10971"/>
    <cellStyle name="Normal 5 2 2 2 4 6 3" xfId="20975"/>
    <cellStyle name="Normal 5 2 2 2 4 7" xfId="5778"/>
    <cellStyle name="Normal 5 2 2 2 4 7 2" xfId="14605"/>
    <cellStyle name="Normal 5 2 2 2 4 7 3" xfId="24856"/>
    <cellStyle name="Normal 5 2 2 2 4 8" xfId="7222"/>
    <cellStyle name="Normal 5 2 2 2 4 8 2" xfId="19948"/>
    <cellStyle name="Normal 5 2 2 2 4 9" xfId="15968"/>
    <cellStyle name="Normal 5 2 2 2 4_Degree data" xfId="3860"/>
    <cellStyle name="Normal 5 2 2 2 5" xfId="1772"/>
    <cellStyle name="Normal 5 2 2 2 5 2" xfId="11145"/>
    <cellStyle name="Normal 5 2 2 2 5 2 2" xfId="21149"/>
    <cellStyle name="Normal 5 2 2 2 5 3" xfId="8607"/>
    <cellStyle name="Normal 5 2 2 2 5 4" xfId="16142"/>
    <cellStyle name="Normal 5 2 2 2 6" xfId="2669"/>
    <cellStyle name="Normal 5 2 2 2 6 2" xfId="11989"/>
    <cellStyle name="Normal 5 2 2 2 6 2 2" xfId="22032"/>
    <cellStyle name="Normal 5 2 2 2 6 3" xfId="8512"/>
    <cellStyle name="Normal 5 2 2 2 6 4" xfId="17025"/>
    <cellStyle name="Normal 5 2 2 2 7" xfId="1395"/>
    <cellStyle name="Normal 5 2 2 2 8" xfId="5503"/>
    <cellStyle name="Normal 5 2 2 2 9" xfId="5501"/>
    <cellStyle name="Normal 5 2 2 3" xfId="216"/>
    <cellStyle name="Normal 5 2 2 3 10" xfId="7165"/>
    <cellStyle name="Normal 5 2 2 3 10 2" xfId="19674"/>
    <cellStyle name="Normal 5 2 2 3 11" xfId="15911"/>
    <cellStyle name="Normal 5 2 2 3 2" xfId="542"/>
    <cellStyle name="Normal 5 2 2 3 2 2" xfId="797"/>
    <cellStyle name="Normal 5 2 2 3 2 2 2" xfId="3283"/>
    <cellStyle name="Normal 5 2 2 3 2 2 2 2" xfId="12427"/>
    <cellStyle name="Normal 5 2 2 3 2 2 2 2 2" xfId="22646"/>
    <cellStyle name="Normal 5 2 2 3 2 2 2 3" xfId="8849"/>
    <cellStyle name="Normal 5 2 2 3 2 2 2 4" xfId="17639"/>
    <cellStyle name="Normal 5 2 2 3 2 2 3" xfId="4612"/>
    <cellStyle name="Normal 5 2 2 3 2 2 3 2" xfId="13452"/>
    <cellStyle name="Normal 5 2 2 3 2 2 3 2 2" xfId="23703"/>
    <cellStyle name="Normal 5 2 2 3 2 2 3 3" xfId="9873"/>
    <cellStyle name="Normal 5 2 2 3 2 2 3 4" xfId="18696"/>
    <cellStyle name="Normal 5 2 2 3 2 2 4" xfId="2392"/>
    <cellStyle name="Normal 5 2 2 3 2 2 4 2" xfId="11759"/>
    <cellStyle name="Normal 5 2 2 3 2 2 4 3" xfId="21763"/>
    <cellStyle name="Normal 5 2 2 3 2 2 5" xfId="6070"/>
    <cellStyle name="Normal 5 2 2 3 2 2 5 2" xfId="14897"/>
    <cellStyle name="Normal 5 2 2 3 2 2 5 3" xfId="25148"/>
    <cellStyle name="Normal 5 2 2 3 2 2 6" xfId="7515"/>
    <cellStyle name="Normal 5 2 2 3 2 2 6 2" xfId="20245"/>
    <cellStyle name="Normal 5 2 2 3 2 2 7" xfId="16756"/>
    <cellStyle name="Normal 5 2 2 3 2 3" xfId="1314"/>
    <cellStyle name="Normal 5 2 2 3 2 3 2" xfId="3744"/>
    <cellStyle name="Normal 5 2 2 3 2 3 2 2" xfId="12882"/>
    <cellStyle name="Normal 5 2 2 3 2 3 2 2 2" xfId="23101"/>
    <cellStyle name="Normal 5 2 2 3 2 3 2 3" xfId="9303"/>
    <cellStyle name="Normal 5 2 2 3 2 3 2 4" xfId="18094"/>
    <cellStyle name="Normal 5 2 2 3 2 3 3" xfId="4961"/>
    <cellStyle name="Normal 5 2 2 3 2 3 3 2" xfId="13800"/>
    <cellStyle name="Normal 5 2 2 3 2 3 3 2 2" xfId="24051"/>
    <cellStyle name="Normal 5 2 2 3 2 3 3 3" xfId="10221"/>
    <cellStyle name="Normal 5 2 2 3 2 3 3 4" xfId="19044"/>
    <cellStyle name="Normal 5 2 2 3 2 3 4" xfId="2138"/>
    <cellStyle name="Normal 5 2 2 3 2 3 4 2" xfId="11505"/>
    <cellStyle name="Normal 5 2 2 3 2 3 4 3" xfId="21509"/>
    <cellStyle name="Normal 5 2 2 3 2 3 5" xfId="6418"/>
    <cellStyle name="Normal 5 2 2 3 2 3 5 2" xfId="15245"/>
    <cellStyle name="Normal 5 2 2 3 2 3 5 3" xfId="25496"/>
    <cellStyle name="Normal 5 2 2 3 2 3 6" xfId="7864"/>
    <cellStyle name="Normal 5 2 2 3 2 3 6 2" xfId="20700"/>
    <cellStyle name="Normal 5 2 2 3 2 3 7" xfId="16502"/>
    <cellStyle name="Normal 5 2 2 3 2 4" xfId="3029"/>
    <cellStyle name="Normal 5 2 2 3 2 4 2" xfId="5407"/>
    <cellStyle name="Normal 5 2 2 3 2 4 2 2" xfId="14246"/>
    <cellStyle name="Normal 5 2 2 3 2 4 2 2 2" xfId="24497"/>
    <cellStyle name="Normal 5 2 2 3 2 4 2 3" xfId="10667"/>
    <cellStyle name="Normal 5 2 2 3 2 4 2 4" xfId="19490"/>
    <cellStyle name="Normal 5 2 2 3 2 4 3" xfId="6864"/>
    <cellStyle name="Normal 5 2 2 3 2 4 3 2" xfId="15691"/>
    <cellStyle name="Normal 5 2 2 3 2 4 3 3" xfId="25942"/>
    <cellStyle name="Normal 5 2 2 3 2 4 4" xfId="8310"/>
    <cellStyle name="Normal 5 2 2 3 2 4 4 2" xfId="22392"/>
    <cellStyle name="Normal 5 2 2 3 2 4 5" xfId="17385"/>
    <cellStyle name="Normal 5 2 2 3 2 5" xfId="4363"/>
    <cellStyle name="Normal 5 2 2 3 2 5 2" xfId="13203"/>
    <cellStyle name="Normal 5 2 2 3 2 5 2 2" xfId="23454"/>
    <cellStyle name="Normal 5 2 2 3 2 5 3" xfId="9624"/>
    <cellStyle name="Normal 5 2 2 3 2 5 4" xfId="18447"/>
    <cellStyle name="Normal 5 2 2 3 2 6" xfId="1635"/>
    <cellStyle name="Normal 5 2 2 3 2 6 2" xfId="11014"/>
    <cellStyle name="Normal 5 2 2 3 2 6 3" xfId="21018"/>
    <cellStyle name="Normal 5 2 2 3 2 7" xfId="5821"/>
    <cellStyle name="Normal 5 2 2 3 2 7 2" xfId="14648"/>
    <cellStyle name="Normal 5 2 2 3 2 7 3" xfId="24899"/>
    <cellStyle name="Normal 5 2 2 3 2 8" xfId="7265"/>
    <cellStyle name="Normal 5 2 2 3 2 8 2" xfId="19991"/>
    <cellStyle name="Normal 5 2 2 3 2 9" xfId="16011"/>
    <cellStyle name="Normal 5 2 2 3 2_Degree data" xfId="3937"/>
    <cellStyle name="Normal 5 2 2 3 3" xfId="442"/>
    <cellStyle name="Normal 5 2 2 3 3 2" xfId="2929"/>
    <cellStyle name="Normal 5 2 2 3 3 2 2" xfId="12219"/>
    <cellStyle name="Normal 5 2 2 3 3 2 2 2" xfId="22292"/>
    <cellStyle name="Normal 5 2 2 3 3 2 3" xfId="8626"/>
    <cellStyle name="Normal 5 2 2 3 3 2 4" xfId="17285"/>
    <cellStyle name="Normal 5 2 2 3 3 3" xfId="4611"/>
    <cellStyle name="Normal 5 2 2 3 3 3 2" xfId="13451"/>
    <cellStyle name="Normal 5 2 2 3 3 3 2 2" xfId="23702"/>
    <cellStyle name="Normal 5 2 2 3 3 3 3" xfId="9872"/>
    <cellStyle name="Normal 5 2 2 3 3 3 4" xfId="18695"/>
    <cellStyle name="Normal 5 2 2 3 3 4" xfId="2038"/>
    <cellStyle name="Normal 5 2 2 3 3 4 2" xfId="11405"/>
    <cellStyle name="Normal 5 2 2 3 3 4 3" xfId="21409"/>
    <cellStyle name="Normal 5 2 2 3 3 5" xfId="6069"/>
    <cellStyle name="Normal 5 2 2 3 3 5 2" xfId="14896"/>
    <cellStyle name="Normal 5 2 2 3 3 5 3" xfId="25147"/>
    <cellStyle name="Normal 5 2 2 3 3 6" xfId="7514"/>
    <cellStyle name="Normal 5 2 2 3 3 6 2" xfId="19891"/>
    <cellStyle name="Normal 5 2 2 3 3 7" xfId="16402"/>
    <cellStyle name="Normal 5 2 2 3 4" xfId="796"/>
    <cellStyle name="Normal 5 2 2 3 4 2" xfId="3282"/>
    <cellStyle name="Normal 5 2 2 3 4 2 2" xfId="12426"/>
    <cellStyle name="Normal 5 2 2 3 4 2 2 2" xfId="22645"/>
    <cellStyle name="Normal 5 2 2 3 4 2 3" xfId="8848"/>
    <cellStyle name="Normal 5 2 2 3 4 2 4" xfId="17638"/>
    <cellStyle name="Normal 5 2 2 3 4 3" xfId="4960"/>
    <cellStyle name="Normal 5 2 2 3 4 3 2" xfId="13799"/>
    <cellStyle name="Normal 5 2 2 3 4 3 2 2" xfId="24050"/>
    <cellStyle name="Normal 5 2 2 3 4 3 3" xfId="10220"/>
    <cellStyle name="Normal 5 2 2 3 4 3 4" xfId="19043"/>
    <cellStyle name="Normal 5 2 2 3 4 4" xfId="2391"/>
    <cellStyle name="Normal 5 2 2 3 4 4 2" xfId="11758"/>
    <cellStyle name="Normal 5 2 2 3 4 4 3" xfId="21762"/>
    <cellStyle name="Normal 5 2 2 3 4 5" xfId="6417"/>
    <cellStyle name="Normal 5 2 2 3 4 5 2" xfId="15244"/>
    <cellStyle name="Normal 5 2 2 3 4 5 3" xfId="25495"/>
    <cellStyle name="Normal 5 2 2 3 4 6" xfId="7863"/>
    <cellStyle name="Normal 5 2 2 3 4 6 2" xfId="20244"/>
    <cellStyle name="Normal 5 2 2 3 4 7" xfId="16755"/>
    <cellStyle name="Normal 5 2 2 3 5" xfId="1214"/>
    <cellStyle name="Normal 5 2 2 3 5 2" xfId="3644"/>
    <cellStyle name="Normal 5 2 2 3 5 2 2" xfId="12782"/>
    <cellStyle name="Normal 5 2 2 3 5 2 2 2" xfId="23001"/>
    <cellStyle name="Normal 5 2 2 3 5 2 3" xfId="9203"/>
    <cellStyle name="Normal 5 2 2 3 5 2 4" xfId="17994"/>
    <cellStyle name="Normal 5 2 2 3 5 3" xfId="5307"/>
    <cellStyle name="Normal 5 2 2 3 5 3 2" xfId="14146"/>
    <cellStyle name="Normal 5 2 2 3 5 3 2 2" xfId="24397"/>
    <cellStyle name="Normal 5 2 2 3 5 3 3" xfId="10567"/>
    <cellStyle name="Normal 5 2 2 3 5 3 4" xfId="19390"/>
    <cellStyle name="Normal 5 2 2 3 5 4" xfId="1818"/>
    <cellStyle name="Normal 5 2 2 3 5 4 2" xfId="11188"/>
    <cellStyle name="Normal 5 2 2 3 5 4 3" xfId="21192"/>
    <cellStyle name="Normal 5 2 2 3 5 5" xfId="6764"/>
    <cellStyle name="Normal 5 2 2 3 5 5 2" xfId="15591"/>
    <cellStyle name="Normal 5 2 2 3 5 5 3" xfId="25842"/>
    <cellStyle name="Normal 5 2 2 3 5 6" xfId="8210"/>
    <cellStyle name="Normal 5 2 2 3 5 6 2" xfId="20600"/>
    <cellStyle name="Normal 5 2 2 3 5 7" xfId="16185"/>
    <cellStyle name="Normal 5 2 2 3 6" xfId="2712"/>
    <cellStyle name="Normal 5 2 2 3 6 2" xfId="12031"/>
    <cellStyle name="Normal 5 2 2 3 6 2 2" xfId="22075"/>
    <cellStyle name="Normal 5 2 2 3 6 3" xfId="6979"/>
    <cellStyle name="Normal 5 2 2 3 6 4" xfId="17068"/>
    <cellStyle name="Normal 5 2 2 3 7" xfId="4263"/>
    <cellStyle name="Normal 5 2 2 3 7 2" xfId="13103"/>
    <cellStyle name="Normal 5 2 2 3 7 2 2" xfId="23354"/>
    <cellStyle name="Normal 5 2 2 3 7 3" xfId="9524"/>
    <cellStyle name="Normal 5 2 2 3 7 4" xfId="18347"/>
    <cellStyle name="Normal 5 2 2 3 8" xfId="1535"/>
    <cellStyle name="Normal 5 2 2 3 8 2" xfId="10914"/>
    <cellStyle name="Normal 5 2 2 3 8 3" xfId="20918"/>
    <cellStyle name="Normal 5 2 2 3 9" xfId="5721"/>
    <cellStyle name="Normal 5 2 2 3 9 2" xfId="14548"/>
    <cellStyle name="Normal 5 2 2 3 9 3" xfId="24799"/>
    <cellStyle name="Normal 5 2 2 3_Degree data" xfId="3938"/>
    <cellStyle name="Normal 5 2 2 4" xfId="342"/>
    <cellStyle name="Normal 5 2 2 4 2" xfId="798"/>
    <cellStyle name="Normal 5 2 2 4 2 2" xfId="3284"/>
    <cellStyle name="Normal 5 2 2 4 2 2 2" xfId="12428"/>
    <cellStyle name="Normal 5 2 2 4 2 2 2 2" xfId="22647"/>
    <cellStyle name="Normal 5 2 2 4 2 2 3" xfId="8850"/>
    <cellStyle name="Normal 5 2 2 4 2 2 4" xfId="17640"/>
    <cellStyle name="Normal 5 2 2 4 2 3" xfId="4613"/>
    <cellStyle name="Normal 5 2 2 4 2 3 2" xfId="13453"/>
    <cellStyle name="Normal 5 2 2 4 2 3 2 2" xfId="23704"/>
    <cellStyle name="Normal 5 2 2 4 2 3 3" xfId="9874"/>
    <cellStyle name="Normal 5 2 2 4 2 3 4" xfId="18697"/>
    <cellStyle name="Normal 5 2 2 4 2 4" xfId="2393"/>
    <cellStyle name="Normal 5 2 2 4 2 4 2" xfId="11760"/>
    <cellStyle name="Normal 5 2 2 4 2 4 3" xfId="21764"/>
    <cellStyle name="Normal 5 2 2 4 2 5" xfId="6071"/>
    <cellStyle name="Normal 5 2 2 4 2 5 2" xfId="14898"/>
    <cellStyle name="Normal 5 2 2 4 2 5 3" xfId="25149"/>
    <cellStyle name="Normal 5 2 2 4 2 6" xfId="7516"/>
    <cellStyle name="Normal 5 2 2 4 2 6 2" xfId="20246"/>
    <cellStyle name="Normal 5 2 2 4 2 7" xfId="16757"/>
    <cellStyle name="Normal 5 2 2 4 3" xfId="1114"/>
    <cellStyle name="Normal 5 2 2 4 3 2" xfId="3544"/>
    <cellStyle name="Normal 5 2 2 4 3 2 2" xfId="12682"/>
    <cellStyle name="Normal 5 2 2 4 3 2 2 2" xfId="22901"/>
    <cellStyle name="Normal 5 2 2 4 3 2 3" xfId="9103"/>
    <cellStyle name="Normal 5 2 2 4 3 2 4" xfId="17894"/>
    <cellStyle name="Normal 5 2 2 4 3 3" xfId="4962"/>
    <cellStyle name="Normal 5 2 2 4 3 3 2" xfId="13801"/>
    <cellStyle name="Normal 5 2 2 4 3 3 2 2" xfId="24052"/>
    <cellStyle name="Normal 5 2 2 4 3 3 3" xfId="10222"/>
    <cellStyle name="Normal 5 2 2 4 3 3 4" xfId="19045"/>
    <cellStyle name="Normal 5 2 2 4 3 4" xfId="2587"/>
    <cellStyle name="Normal 5 2 2 4 3 4 2" xfId="11953"/>
    <cellStyle name="Normal 5 2 2 4 3 4 3" xfId="21957"/>
    <cellStyle name="Normal 5 2 2 4 3 5" xfId="6419"/>
    <cellStyle name="Normal 5 2 2 4 3 5 2" xfId="15246"/>
    <cellStyle name="Normal 5 2 2 4 3 5 3" xfId="25497"/>
    <cellStyle name="Normal 5 2 2 4 3 6" xfId="7865"/>
    <cellStyle name="Normal 5 2 2 4 3 6 2" xfId="20500"/>
    <cellStyle name="Normal 5 2 2 4 3 7" xfId="16950"/>
    <cellStyle name="Normal 5 2 2 4 4" xfId="2829"/>
    <cellStyle name="Normal 5 2 2 4 4 2" xfId="5207"/>
    <cellStyle name="Normal 5 2 2 4 4 2 2" xfId="14046"/>
    <cellStyle name="Normal 5 2 2 4 4 2 2 2" xfId="24297"/>
    <cellStyle name="Normal 5 2 2 4 4 2 3" xfId="10467"/>
    <cellStyle name="Normal 5 2 2 4 4 2 4" xfId="19290"/>
    <cellStyle name="Normal 5 2 2 4 4 3" xfId="6664"/>
    <cellStyle name="Normal 5 2 2 4 4 3 2" xfId="15491"/>
    <cellStyle name="Normal 5 2 2 4 4 3 3" xfId="25742"/>
    <cellStyle name="Normal 5 2 2 4 4 4" xfId="8110"/>
    <cellStyle name="Normal 5 2 2 4 4 4 2" xfId="22192"/>
    <cellStyle name="Normal 5 2 2 4 4 5" xfId="17185"/>
    <cellStyle name="Normal 5 2 2 4 5" xfId="4161"/>
    <cellStyle name="Normal 5 2 2 4 5 2" xfId="13001"/>
    <cellStyle name="Normal 5 2 2 4 5 2 2" xfId="23252"/>
    <cellStyle name="Normal 5 2 2 4 5 3" xfId="9422"/>
    <cellStyle name="Normal 5 2 2 4 5 4" xfId="18245"/>
    <cellStyle name="Normal 5 2 2 4 6" xfId="1938"/>
    <cellStyle name="Normal 5 2 2 4 6 2" xfId="11305"/>
    <cellStyle name="Normal 5 2 2 4 6 3" xfId="21309"/>
    <cellStyle name="Normal 5 2 2 4 7" xfId="5621"/>
    <cellStyle name="Normal 5 2 2 4 7 2" xfId="14448"/>
    <cellStyle name="Normal 5 2 2 4 7 3" xfId="24699"/>
    <cellStyle name="Normal 5 2 2 4 8" xfId="7065"/>
    <cellStyle name="Normal 5 2 2 4 8 2" xfId="19791"/>
    <cellStyle name="Normal 5 2 2 4 9" xfId="16302"/>
    <cellStyle name="Normal 5 2 2 4_Degree data" xfId="3891"/>
    <cellStyle name="Normal 5 2 2 5" xfId="792"/>
    <cellStyle name="Normal 5 2 2 5 2" xfId="3278"/>
    <cellStyle name="Normal 5 2 2 5 2 2" xfId="12422"/>
    <cellStyle name="Normal 5 2 2 5 2 2 2" xfId="22641"/>
    <cellStyle name="Normal 5 2 2 5 2 3" xfId="8844"/>
    <cellStyle name="Normal 5 2 2 5 2 4" xfId="17634"/>
    <cellStyle name="Normal 5 2 2 5 3" xfId="4607"/>
    <cellStyle name="Normal 5 2 2 5 3 2" xfId="13447"/>
    <cellStyle name="Normal 5 2 2 5 3 2 2" xfId="23698"/>
    <cellStyle name="Normal 5 2 2 5 3 3" xfId="9868"/>
    <cellStyle name="Normal 5 2 2 5 3 4" xfId="18691"/>
    <cellStyle name="Normal 5 2 2 5 4" xfId="2387"/>
    <cellStyle name="Normal 5 2 2 5 4 2" xfId="11754"/>
    <cellStyle name="Normal 5 2 2 5 4 3" xfId="21758"/>
    <cellStyle name="Normal 5 2 2 5 5" xfId="6065"/>
    <cellStyle name="Normal 5 2 2 5 5 2" xfId="14892"/>
    <cellStyle name="Normal 5 2 2 5 5 3" xfId="25143"/>
    <cellStyle name="Normal 5 2 2 5 6" xfId="7510"/>
    <cellStyle name="Normal 5 2 2 5 6 2" xfId="20240"/>
    <cellStyle name="Normal 5 2 2 5 7" xfId="16751"/>
    <cellStyle name="Normal 5 2 2 6" xfId="1069"/>
    <cellStyle name="Normal 5 2 2 6 2" xfId="3499"/>
    <cellStyle name="Normal 5 2 2 6 2 2" xfId="12637"/>
    <cellStyle name="Normal 5 2 2 6 2 2 2" xfId="22856"/>
    <cellStyle name="Normal 5 2 2 6 2 3" xfId="9059"/>
    <cellStyle name="Normal 5 2 2 6 2 4" xfId="17849"/>
    <cellStyle name="Normal 5 2 2 6 3" xfId="4956"/>
    <cellStyle name="Normal 5 2 2 6 3 2" xfId="13795"/>
    <cellStyle name="Normal 5 2 2 6 3 2 2" xfId="24046"/>
    <cellStyle name="Normal 5 2 2 6 3 3" xfId="10216"/>
    <cellStyle name="Normal 5 2 2 6 3 4" xfId="19039"/>
    <cellStyle name="Normal 5 2 2 6 4" xfId="2595"/>
    <cellStyle name="Normal 5 2 2 6 4 2" xfId="11961"/>
    <cellStyle name="Normal 5 2 2 6 4 3" xfId="21965"/>
    <cellStyle name="Normal 5 2 2 6 5" xfId="6413"/>
    <cellStyle name="Normal 5 2 2 6 5 2" xfId="15240"/>
    <cellStyle name="Normal 5 2 2 6 5 3" xfId="25491"/>
    <cellStyle name="Normal 5 2 2 6 6" xfId="7859"/>
    <cellStyle name="Normal 5 2 2 6 6 2" xfId="20455"/>
    <cellStyle name="Normal 5 2 2 6 7" xfId="16958"/>
    <cellStyle name="Normal 5 2 2 7" xfId="2637"/>
    <cellStyle name="Normal 5 2 2 7 2" xfId="5162"/>
    <cellStyle name="Normal 5 2 2 7 2 2" xfId="14001"/>
    <cellStyle name="Normal 5 2 2 7 2 2 2" xfId="24252"/>
    <cellStyle name="Normal 5 2 2 7 2 3" xfId="10422"/>
    <cellStyle name="Normal 5 2 2 7 2 4" xfId="19245"/>
    <cellStyle name="Normal 5 2 2 7 3" xfId="6619"/>
    <cellStyle name="Normal 5 2 2 7 3 2" xfId="15446"/>
    <cellStyle name="Normal 5 2 2 7 3 3" xfId="25697"/>
    <cellStyle name="Normal 5 2 2 7 4" xfId="8065"/>
    <cellStyle name="Normal 5 2 2 7 4 2" xfId="22001"/>
    <cellStyle name="Normal 5 2 2 7 5" xfId="16994"/>
    <cellStyle name="Normal 5 2 2 8" xfId="4116"/>
    <cellStyle name="Normal 5 2 2 8 2" xfId="5576"/>
    <cellStyle name="Normal 5 2 2 8 2 2" xfId="14403"/>
    <cellStyle name="Normal 5 2 2 8 2 3" xfId="24654"/>
    <cellStyle name="Normal 5 2 2 8 3" xfId="7020"/>
    <cellStyle name="Normal 5 2 2 8 3 2" xfId="23207"/>
    <cellStyle name="Normal 5 2 2 8 4" xfId="18200"/>
    <cellStyle name="Normal 5 2 2 9" xfId="1435"/>
    <cellStyle name="Normal 5 2 2 9 2" xfId="10814"/>
    <cellStyle name="Normal 5 2 2 9 3" xfId="20818"/>
    <cellStyle name="Normal 5 2 2_Degree data" xfId="3850"/>
    <cellStyle name="Normal 5 2 3" xfId="206"/>
    <cellStyle name="Normal 5 2 4" xfId="187"/>
    <cellStyle name="Normal 5 2 4 10" xfId="7138"/>
    <cellStyle name="Normal 5 2 4 10 2" xfId="19647"/>
    <cellStyle name="Normal 5 2 4 11" xfId="15884"/>
    <cellStyle name="Normal 5 2 4 2" xfId="515"/>
    <cellStyle name="Normal 5 2 4 2 2" xfId="800"/>
    <cellStyle name="Normal 5 2 4 2 2 2" xfId="3286"/>
    <cellStyle name="Normal 5 2 4 2 2 2 2" xfId="12430"/>
    <cellStyle name="Normal 5 2 4 2 2 2 2 2" xfId="22649"/>
    <cellStyle name="Normal 5 2 4 2 2 2 3" xfId="8852"/>
    <cellStyle name="Normal 5 2 4 2 2 2 4" xfId="17642"/>
    <cellStyle name="Normal 5 2 4 2 2 3" xfId="4615"/>
    <cellStyle name="Normal 5 2 4 2 2 3 2" xfId="13455"/>
    <cellStyle name="Normal 5 2 4 2 2 3 2 2" xfId="23706"/>
    <cellStyle name="Normal 5 2 4 2 2 3 3" xfId="9876"/>
    <cellStyle name="Normal 5 2 4 2 2 3 4" xfId="18699"/>
    <cellStyle name="Normal 5 2 4 2 2 4" xfId="2395"/>
    <cellStyle name="Normal 5 2 4 2 2 4 2" xfId="11762"/>
    <cellStyle name="Normal 5 2 4 2 2 4 3" xfId="21766"/>
    <cellStyle name="Normal 5 2 4 2 2 5" xfId="6073"/>
    <cellStyle name="Normal 5 2 4 2 2 5 2" xfId="14900"/>
    <cellStyle name="Normal 5 2 4 2 2 5 3" xfId="25151"/>
    <cellStyle name="Normal 5 2 4 2 2 6" xfId="7518"/>
    <cellStyle name="Normal 5 2 4 2 2 6 2" xfId="20248"/>
    <cellStyle name="Normal 5 2 4 2 2 7" xfId="16759"/>
    <cellStyle name="Normal 5 2 4 2 3" xfId="1287"/>
    <cellStyle name="Normal 5 2 4 2 3 2" xfId="3717"/>
    <cellStyle name="Normal 5 2 4 2 3 2 2" xfId="12855"/>
    <cellStyle name="Normal 5 2 4 2 3 2 2 2" xfId="23074"/>
    <cellStyle name="Normal 5 2 4 2 3 2 3" xfId="9276"/>
    <cellStyle name="Normal 5 2 4 2 3 2 4" xfId="18067"/>
    <cellStyle name="Normal 5 2 4 2 3 3" xfId="4964"/>
    <cellStyle name="Normal 5 2 4 2 3 3 2" xfId="13803"/>
    <cellStyle name="Normal 5 2 4 2 3 3 2 2" xfId="24054"/>
    <cellStyle name="Normal 5 2 4 2 3 3 3" xfId="10224"/>
    <cellStyle name="Normal 5 2 4 2 3 3 4" xfId="19047"/>
    <cellStyle name="Normal 5 2 4 2 3 4" xfId="2111"/>
    <cellStyle name="Normal 5 2 4 2 3 4 2" xfId="11478"/>
    <cellStyle name="Normal 5 2 4 2 3 4 3" xfId="21482"/>
    <cellStyle name="Normal 5 2 4 2 3 5" xfId="6421"/>
    <cellStyle name="Normal 5 2 4 2 3 5 2" xfId="15248"/>
    <cellStyle name="Normal 5 2 4 2 3 5 3" xfId="25499"/>
    <cellStyle name="Normal 5 2 4 2 3 6" xfId="7867"/>
    <cellStyle name="Normal 5 2 4 2 3 6 2" xfId="20673"/>
    <cellStyle name="Normal 5 2 4 2 3 7" xfId="16475"/>
    <cellStyle name="Normal 5 2 4 2 4" xfId="3002"/>
    <cellStyle name="Normal 5 2 4 2 4 2" xfId="5380"/>
    <cellStyle name="Normal 5 2 4 2 4 2 2" xfId="14219"/>
    <cellStyle name="Normal 5 2 4 2 4 2 2 2" xfId="24470"/>
    <cellStyle name="Normal 5 2 4 2 4 2 3" xfId="10640"/>
    <cellStyle name="Normal 5 2 4 2 4 2 4" xfId="19463"/>
    <cellStyle name="Normal 5 2 4 2 4 3" xfId="6837"/>
    <cellStyle name="Normal 5 2 4 2 4 3 2" xfId="15664"/>
    <cellStyle name="Normal 5 2 4 2 4 3 3" xfId="25915"/>
    <cellStyle name="Normal 5 2 4 2 4 4" xfId="8283"/>
    <cellStyle name="Normal 5 2 4 2 4 4 2" xfId="22365"/>
    <cellStyle name="Normal 5 2 4 2 4 5" xfId="17358"/>
    <cellStyle name="Normal 5 2 4 2 5" xfId="4336"/>
    <cellStyle name="Normal 5 2 4 2 5 2" xfId="13176"/>
    <cellStyle name="Normal 5 2 4 2 5 2 2" xfId="23427"/>
    <cellStyle name="Normal 5 2 4 2 5 3" xfId="9597"/>
    <cellStyle name="Normal 5 2 4 2 5 4" xfId="18420"/>
    <cellStyle name="Normal 5 2 4 2 6" xfId="1608"/>
    <cellStyle name="Normal 5 2 4 2 6 2" xfId="10987"/>
    <cellStyle name="Normal 5 2 4 2 6 3" xfId="20991"/>
    <cellStyle name="Normal 5 2 4 2 7" xfId="5794"/>
    <cellStyle name="Normal 5 2 4 2 7 2" xfId="14621"/>
    <cellStyle name="Normal 5 2 4 2 7 3" xfId="24872"/>
    <cellStyle name="Normal 5 2 4 2 8" xfId="7238"/>
    <cellStyle name="Normal 5 2 4 2 8 2" xfId="19964"/>
    <cellStyle name="Normal 5 2 4 2 9" xfId="15984"/>
    <cellStyle name="Normal 5 2 4 2_Degree data" xfId="3842"/>
    <cellStyle name="Normal 5 2 4 3" xfId="415"/>
    <cellStyle name="Normal 5 2 4 3 2" xfId="2902"/>
    <cellStyle name="Normal 5 2 4 3 2 2" xfId="12192"/>
    <cellStyle name="Normal 5 2 4 3 2 2 2" xfId="22265"/>
    <cellStyle name="Normal 5 2 4 3 2 3" xfId="8526"/>
    <cellStyle name="Normal 5 2 4 3 2 4" xfId="17258"/>
    <cellStyle name="Normal 5 2 4 3 3" xfId="4614"/>
    <cellStyle name="Normal 5 2 4 3 3 2" xfId="13454"/>
    <cellStyle name="Normal 5 2 4 3 3 2 2" xfId="23705"/>
    <cellStyle name="Normal 5 2 4 3 3 3" xfId="9875"/>
    <cellStyle name="Normal 5 2 4 3 3 4" xfId="18698"/>
    <cellStyle name="Normal 5 2 4 3 4" xfId="2011"/>
    <cellStyle name="Normal 5 2 4 3 4 2" xfId="11378"/>
    <cellStyle name="Normal 5 2 4 3 4 3" xfId="21382"/>
    <cellStyle name="Normal 5 2 4 3 5" xfId="6072"/>
    <cellStyle name="Normal 5 2 4 3 5 2" xfId="14899"/>
    <cellStyle name="Normal 5 2 4 3 5 3" xfId="25150"/>
    <cellStyle name="Normal 5 2 4 3 6" xfId="7517"/>
    <cellStyle name="Normal 5 2 4 3 6 2" xfId="19864"/>
    <cellStyle name="Normal 5 2 4 3 7" xfId="16375"/>
    <cellStyle name="Normal 5 2 4 4" xfId="799"/>
    <cellStyle name="Normal 5 2 4 4 2" xfId="3285"/>
    <cellStyle name="Normal 5 2 4 4 2 2" xfId="12429"/>
    <cellStyle name="Normal 5 2 4 4 2 2 2" xfId="22648"/>
    <cellStyle name="Normal 5 2 4 4 2 3" xfId="8851"/>
    <cellStyle name="Normal 5 2 4 4 2 4" xfId="17641"/>
    <cellStyle name="Normal 5 2 4 4 3" xfId="4963"/>
    <cellStyle name="Normal 5 2 4 4 3 2" xfId="13802"/>
    <cellStyle name="Normal 5 2 4 4 3 2 2" xfId="24053"/>
    <cellStyle name="Normal 5 2 4 4 3 3" xfId="10223"/>
    <cellStyle name="Normal 5 2 4 4 3 4" xfId="19046"/>
    <cellStyle name="Normal 5 2 4 4 4" xfId="2394"/>
    <cellStyle name="Normal 5 2 4 4 4 2" xfId="11761"/>
    <cellStyle name="Normal 5 2 4 4 4 3" xfId="21765"/>
    <cellStyle name="Normal 5 2 4 4 5" xfId="6420"/>
    <cellStyle name="Normal 5 2 4 4 5 2" xfId="15247"/>
    <cellStyle name="Normal 5 2 4 4 5 3" xfId="25498"/>
    <cellStyle name="Normal 5 2 4 4 6" xfId="7866"/>
    <cellStyle name="Normal 5 2 4 4 6 2" xfId="20247"/>
    <cellStyle name="Normal 5 2 4 4 7" xfId="16758"/>
    <cellStyle name="Normal 5 2 4 5" xfId="1187"/>
    <cellStyle name="Normal 5 2 4 5 2" xfId="3617"/>
    <cellStyle name="Normal 5 2 4 5 2 2" xfId="12755"/>
    <cellStyle name="Normal 5 2 4 5 2 2 2" xfId="22974"/>
    <cellStyle name="Normal 5 2 4 5 2 3" xfId="9176"/>
    <cellStyle name="Normal 5 2 4 5 2 4" xfId="17967"/>
    <cellStyle name="Normal 5 2 4 5 3" xfId="5280"/>
    <cellStyle name="Normal 5 2 4 5 3 2" xfId="14119"/>
    <cellStyle name="Normal 5 2 4 5 3 2 2" xfId="24370"/>
    <cellStyle name="Normal 5 2 4 5 3 3" xfId="10540"/>
    <cellStyle name="Normal 5 2 4 5 3 4" xfId="19363"/>
    <cellStyle name="Normal 5 2 4 5 4" xfId="1790"/>
    <cellStyle name="Normal 5 2 4 5 4 2" xfId="11161"/>
    <cellStyle name="Normal 5 2 4 5 4 3" xfId="21165"/>
    <cellStyle name="Normal 5 2 4 5 5" xfId="6737"/>
    <cellStyle name="Normal 5 2 4 5 5 2" xfId="15564"/>
    <cellStyle name="Normal 5 2 4 5 5 3" xfId="25815"/>
    <cellStyle name="Normal 5 2 4 5 6" xfId="8183"/>
    <cellStyle name="Normal 5 2 4 5 6 2" xfId="20573"/>
    <cellStyle name="Normal 5 2 4 5 7" xfId="16158"/>
    <cellStyle name="Normal 5 2 4 6" xfId="2685"/>
    <cellStyle name="Normal 5 2 4 6 2" xfId="12004"/>
    <cellStyle name="Normal 5 2 4 6 2 2" xfId="22048"/>
    <cellStyle name="Normal 5 2 4 6 3" xfId="8564"/>
    <cellStyle name="Normal 5 2 4 6 4" xfId="17041"/>
    <cellStyle name="Normal 5 2 4 7" xfId="4236"/>
    <cellStyle name="Normal 5 2 4 7 2" xfId="13076"/>
    <cellStyle name="Normal 5 2 4 7 2 2" xfId="23327"/>
    <cellStyle name="Normal 5 2 4 7 3" xfId="9497"/>
    <cellStyle name="Normal 5 2 4 7 4" xfId="18320"/>
    <cellStyle name="Normal 5 2 4 8" xfId="1508"/>
    <cellStyle name="Normal 5 2 4 8 2" xfId="10887"/>
    <cellStyle name="Normal 5 2 4 8 3" xfId="20891"/>
    <cellStyle name="Normal 5 2 4 9" xfId="5694"/>
    <cellStyle name="Normal 5 2 4 9 2" xfId="14521"/>
    <cellStyle name="Normal 5 2 4 9 3" xfId="24772"/>
    <cellStyle name="Normal 5 2 4_Degree data" xfId="3882"/>
    <cellStyle name="Normal 5 2 5" xfId="242"/>
    <cellStyle name="Normal 5 2 5 10" xfId="7083"/>
    <cellStyle name="Normal 5 2 5 10 2" xfId="19697"/>
    <cellStyle name="Normal 5 2 5 11" xfId="15829"/>
    <cellStyle name="Normal 5 2 5 2" xfId="565"/>
    <cellStyle name="Normal 5 2 5 2 2" xfId="802"/>
    <cellStyle name="Normal 5 2 5 2 2 2" xfId="3288"/>
    <cellStyle name="Normal 5 2 5 2 2 2 2" xfId="12432"/>
    <cellStyle name="Normal 5 2 5 2 2 2 2 2" xfId="22651"/>
    <cellStyle name="Normal 5 2 5 2 2 2 3" xfId="8854"/>
    <cellStyle name="Normal 5 2 5 2 2 2 4" xfId="17644"/>
    <cellStyle name="Normal 5 2 5 2 2 3" xfId="4617"/>
    <cellStyle name="Normal 5 2 5 2 2 3 2" xfId="13457"/>
    <cellStyle name="Normal 5 2 5 2 2 3 2 2" xfId="23708"/>
    <cellStyle name="Normal 5 2 5 2 2 3 3" xfId="9878"/>
    <cellStyle name="Normal 5 2 5 2 2 3 4" xfId="18701"/>
    <cellStyle name="Normal 5 2 5 2 2 4" xfId="2397"/>
    <cellStyle name="Normal 5 2 5 2 2 4 2" xfId="11764"/>
    <cellStyle name="Normal 5 2 5 2 2 4 3" xfId="21768"/>
    <cellStyle name="Normal 5 2 5 2 2 5" xfId="6075"/>
    <cellStyle name="Normal 5 2 5 2 2 5 2" xfId="14902"/>
    <cellStyle name="Normal 5 2 5 2 2 5 3" xfId="25153"/>
    <cellStyle name="Normal 5 2 5 2 2 6" xfId="7520"/>
    <cellStyle name="Normal 5 2 5 2 2 6 2" xfId="20250"/>
    <cellStyle name="Normal 5 2 5 2 2 7" xfId="16761"/>
    <cellStyle name="Normal 5 2 5 2 3" xfId="1337"/>
    <cellStyle name="Normal 5 2 5 2 3 2" xfId="3767"/>
    <cellStyle name="Normal 5 2 5 2 3 2 2" xfId="12905"/>
    <cellStyle name="Normal 5 2 5 2 3 2 2 2" xfId="23124"/>
    <cellStyle name="Normal 5 2 5 2 3 2 3" xfId="9326"/>
    <cellStyle name="Normal 5 2 5 2 3 2 4" xfId="18117"/>
    <cellStyle name="Normal 5 2 5 2 3 3" xfId="4966"/>
    <cellStyle name="Normal 5 2 5 2 3 3 2" xfId="13805"/>
    <cellStyle name="Normal 5 2 5 2 3 3 2 2" xfId="24056"/>
    <cellStyle name="Normal 5 2 5 2 3 3 3" xfId="10226"/>
    <cellStyle name="Normal 5 2 5 2 3 3 4" xfId="19049"/>
    <cellStyle name="Normal 5 2 5 2 3 4" xfId="2161"/>
    <cellStyle name="Normal 5 2 5 2 3 4 2" xfId="11528"/>
    <cellStyle name="Normal 5 2 5 2 3 4 3" xfId="21532"/>
    <cellStyle name="Normal 5 2 5 2 3 5" xfId="6423"/>
    <cellStyle name="Normal 5 2 5 2 3 5 2" xfId="15250"/>
    <cellStyle name="Normal 5 2 5 2 3 5 3" xfId="25501"/>
    <cellStyle name="Normal 5 2 5 2 3 6" xfId="7869"/>
    <cellStyle name="Normal 5 2 5 2 3 6 2" xfId="20723"/>
    <cellStyle name="Normal 5 2 5 2 3 7" xfId="16525"/>
    <cellStyle name="Normal 5 2 5 2 4" xfId="3052"/>
    <cellStyle name="Normal 5 2 5 2 4 2" xfId="5430"/>
    <cellStyle name="Normal 5 2 5 2 4 2 2" xfId="14269"/>
    <cellStyle name="Normal 5 2 5 2 4 2 2 2" xfId="24520"/>
    <cellStyle name="Normal 5 2 5 2 4 2 3" xfId="10690"/>
    <cellStyle name="Normal 5 2 5 2 4 2 4" xfId="19513"/>
    <cellStyle name="Normal 5 2 5 2 4 3" xfId="6887"/>
    <cellStyle name="Normal 5 2 5 2 4 3 2" xfId="15714"/>
    <cellStyle name="Normal 5 2 5 2 4 3 3" xfId="25965"/>
    <cellStyle name="Normal 5 2 5 2 4 4" xfId="8333"/>
    <cellStyle name="Normal 5 2 5 2 4 4 2" xfId="22415"/>
    <cellStyle name="Normal 5 2 5 2 4 5" xfId="17408"/>
    <cellStyle name="Normal 5 2 5 2 5" xfId="4386"/>
    <cellStyle name="Normal 5 2 5 2 5 2" xfId="13226"/>
    <cellStyle name="Normal 5 2 5 2 5 2 2" xfId="23477"/>
    <cellStyle name="Normal 5 2 5 2 5 3" xfId="9647"/>
    <cellStyle name="Normal 5 2 5 2 5 4" xfId="18470"/>
    <cellStyle name="Normal 5 2 5 2 6" xfId="1658"/>
    <cellStyle name="Normal 5 2 5 2 6 2" xfId="11037"/>
    <cellStyle name="Normal 5 2 5 2 6 3" xfId="21041"/>
    <cellStyle name="Normal 5 2 5 2 7" xfId="5844"/>
    <cellStyle name="Normal 5 2 5 2 7 2" xfId="14671"/>
    <cellStyle name="Normal 5 2 5 2 7 3" xfId="24922"/>
    <cellStyle name="Normal 5 2 5 2 8" xfId="7288"/>
    <cellStyle name="Normal 5 2 5 2 8 2" xfId="20014"/>
    <cellStyle name="Normal 5 2 5 2 9" xfId="16034"/>
    <cellStyle name="Normal 5 2 5 2_Degree data" xfId="3854"/>
    <cellStyle name="Normal 5 2 5 3" xfId="360"/>
    <cellStyle name="Normal 5 2 5 3 2" xfId="2847"/>
    <cellStyle name="Normal 5 2 5 3 2 2" xfId="12137"/>
    <cellStyle name="Normal 5 2 5 3 2 2 2" xfId="22210"/>
    <cellStyle name="Normal 5 2 5 3 2 3" xfId="8478"/>
    <cellStyle name="Normal 5 2 5 3 2 4" xfId="17203"/>
    <cellStyle name="Normal 5 2 5 3 3" xfId="4616"/>
    <cellStyle name="Normal 5 2 5 3 3 2" xfId="13456"/>
    <cellStyle name="Normal 5 2 5 3 3 2 2" xfId="23707"/>
    <cellStyle name="Normal 5 2 5 3 3 3" xfId="9877"/>
    <cellStyle name="Normal 5 2 5 3 3 4" xfId="18700"/>
    <cellStyle name="Normal 5 2 5 3 4" xfId="1956"/>
    <cellStyle name="Normal 5 2 5 3 4 2" xfId="11323"/>
    <cellStyle name="Normal 5 2 5 3 4 3" xfId="21327"/>
    <cellStyle name="Normal 5 2 5 3 5" xfId="6074"/>
    <cellStyle name="Normal 5 2 5 3 5 2" xfId="14901"/>
    <cellStyle name="Normal 5 2 5 3 5 3" xfId="25152"/>
    <cellStyle name="Normal 5 2 5 3 6" xfId="7519"/>
    <cellStyle name="Normal 5 2 5 3 6 2" xfId="19809"/>
    <cellStyle name="Normal 5 2 5 3 7" xfId="16320"/>
    <cellStyle name="Normal 5 2 5 4" xfId="801"/>
    <cellStyle name="Normal 5 2 5 4 2" xfId="3287"/>
    <cellStyle name="Normal 5 2 5 4 2 2" xfId="12431"/>
    <cellStyle name="Normal 5 2 5 4 2 2 2" xfId="22650"/>
    <cellStyle name="Normal 5 2 5 4 2 3" xfId="8853"/>
    <cellStyle name="Normal 5 2 5 4 2 4" xfId="17643"/>
    <cellStyle name="Normal 5 2 5 4 3" xfId="4965"/>
    <cellStyle name="Normal 5 2 5 4 3 2" xfId="13804"/>
    <cellStyle name="Normal 5 2 5 4 3 2 2" xfId="24055"/>
    <cellStyle name="Normal 5 2 5 4 3 3" xfId="10225"/>
    <cellStyle name="Normal 5 2 5 4 3 4" xfId="19048"/>
    <cellStyle name="Normal 5 2 5 4 4" xfId="2396"/>
    <cellStyle name="Normal 5 2 5 4 4 2" xfId="11763"/>
    <cellStyle name="Normal 5 2 5 4 4 3" xfId="21767"/>
    <cellStyle name="Normal 5 2 5 4 5" xfId="6422"/>
    <cellStyle name="Normal 5 2 5 4 5 2" xfId="15249"/>
    <cellStyle name="Normal 5 2 5 4 5 3" xfId="25500"/>
    <cellStyle name="Normal 5 2 5 4 6" xfId="7868"/>
    <cellStyle name="Normal 5 2 5 4 6 2" xfId="20249"/>
    <cellStyle name="Normal 5 2 5 4 7" xfId="16760"/>
    <cellStyle name="Normal 5 2 5 5" xfId="1132"/>
    <cellStyle name="Normal 5 2 5 5 2" xfId="3562"/>
    <cellStyle name="Normal 5 2 5 5 2 2" xfId="12700"/>
    <cellStyle name="Normal 5 2 5 5 2 2 2" xfId="22919"/>
    <cellStyle name="Normal 5 2 5 5 2 3" xfId="9121"/>
    <cellStyle name="Normal 5 2 5 5 2 4" xfId="17912"/>
    <cellStyle name="Normal 5 2 5 5 3" xfId="5225"/>
    <cellStyle name="Normal 5 2 5 5 3 2" xfId="14064"/>
    <cellStyle name="Normal 5 2 5 5 3 2 2" xfId="24315"/>
    <cellStyle name="Normal 5 2 5 5 3 3" xfId="10485"/>
    <cellStyle name="Normal 5 2 5 5 3 4" xfId="19308"/>
    <cellStyle name="Normal 5 2 5 5 4" xfId="1841"/>
    <cellStyle name="Normal 5 2 5 5 4 2" xfId="11211"/>
    <cellStyle name="Normal 5 2 5 5 4 3" xfId="21215"/>
    <cellStyle name="Normal 5 2 5 5 5" xfId="6682"/>
    <cellStyle name="Normal 5 2 5 5 5 2" xfId="15509"/>
    <cellStyle name="Normal 5 2 5 5 5 3" xfId="25760"/>
    <cellStyle name="Normal 5 2 5 5 6" xfId="8128"/>
    <cellStyle name="Normal 5 2 5 5 6 2" xfId="20518"/>
    <cellStyle name="Normal 5 2 5 5 7" xfId="16208"/>
    <cellStyle name="Normal 5 2 5 6" xfId="2735"/>
    <cellStyle name="Normal 5 2 5 6 2" xfId="12054"/>
    <cellStyle name="Normal 5 2 5 6 2 2" xfId="22098"/>
    <cellStyle name="Normal 5 2 5 6 3" xfId="8407"/>
    <cellStyle name="Normal 5 2 5 6 4" xfId="17091"/>
    <cellStyle name="Normal 5 2 5 7" xfId="4181"/>
    <cellStyle name="Normal 5 2 5 7 2" xfId="13021"/>
    <cellStyle name="Normal 5 2 5 7 2 2" xfId="23272"/>
    <cellStyle name="Normal 5 2 5 7 3" xfId="9442"/>
    <cellStyle name="Normal 5 2 5 7 4" xfId="18265"/>
    <cellStyle name="Normal 5 2 5 8" xfId="1453"/>
    <cellStyle name="Normal 5 2 5 8 2" xfId="10832"/>
    <cellStyle name="Normal 5 2 5 8 3" xfId="20836"/>
    <cellStyle name="Normal 5 2 5 9" xfId="5639"/>
    <cellStyle name="Normal 5 2 5 9 2" xfId="14466"/>
    <cellStyle name="Normal 5 2 5 9 3" xfId="24717"/>
    <cellStyle name="Normal 5 2 5_Degree data" xfId="3879"/>
    <cellStyle name="Normal 5 2 6" xfId="301"/>
    <cellStyle name="Normal 5 2 6 10" xfId="16089"/>
    <cellStyle name="Normal 5 2 6 2" xfId="620"/>
    <cellStyle name="Normal 5 2 6 2 2" xfId="3107"/>
    <cellStyle name="Normal 5 2 6 2 2 2" xfId="12252"/>
    <cellStyle name="Normal 5 2 6 2 2 2 2" xfId="22470"/>
    <cellStyle name="Normal 5 2 6 2 2 3" xfId="8674"/>
    <cellStyle name="Normal 5 2 6 2 2 4" xfId="17463"/>
    <cellStyle name="Normal 5 2 6 2 3" xfId="4618"/>
    <cellStyle name="Normal 5 2 6 2 3 2" xfId="13458"/>
    <cellStyle name="Normal 5 2 6 2 3 2 2" xfId="23709"/>
    <cellStyle name="Normal 5 2 6 2 3 3" xfId="9879"/>
    <cellStyle name="Normal 5 2 6 2 3 4" xfId="18702"/>
    <cellStyle name="Normal 5 2 6 2 4" xfId="2216"/>
    <cellStyle name="Normal 5 2 6 2 4 2" xfId="11583"/>
    <cellStyle name="Normal 5 2 6 2 4 3" xfId="21587"/>
    <cellStyle name="Normal 5 2 6 2 5" xfId="6076"/>
    <cellStyle name="Normal 5 2 6 2 5 2" xfId="14903"/>
    <cellStyle name="Normal 5 2 6 2 5 3" xfId="25154"/>
    <cellStyle name="Normal 5 2 6 2 6" xfId="7521"/>
    <cellStyle name="Normal 5 2 6 2 6 2" xfId="20069"/>
    <cellStyle name="Normal 5 2 6 2 7" xfId="16580"/>
    <cellStyle name="Normal 5 2 6 3" xfId="803"/>
    <cellStyle name="Normal 5 2 6 3 2" xfId="3289"/>
    <cellStyle name="Normal 5 2 6 3 2 2" xfId="12433"/>
    <cellStyle name="Normal 5 2 6 3 2 2 2" xfId="22652"/>
    <cellStyle name="Normal 5 2 6 3 2 3" xfId="8855"/>
    <cellStyle name="Normal 5 2 6 3 2 4" xfId="17645"/>
    <cellStyle name="Normal 5 2 6 3 3" xfId="4967"/>
    <cellStyle name="Normal 5 2 6 3 3 2" xfId="13806"/>
    <cellStyle name="Normal 5 2 6 3 3 2 2" xfId="24057"/>
    <cellStyle name="Normal 5 2 6 3 3 3" xfId="10227"/>
    <cellStyle name="Normal 5 2 6 3 3 4" xfId="19050"/>
    <cellStyle name="Normal 5 2 6 3 4" xfId="2398"/>
    <cellStyle name="Normal 5 2 6 3 4 2" xfId="11765"/>
    <cellStyle name="Normal 5 2 6 3 4 3" xfId="21769"/>
    <cellStyle name="Normal 5 2 6 3 5" xfId="6424"/>
    <cellStyle name="Normal 5 2 6 3 5 2" xfId="15251"/>
    <cellStyle name="Normal 5 2 6 3 5 3" xfId="25502"/>
    <cellStyle name="Normal 5 2 6 3 6" xfId="7870"/>
    <cellStyle name="Normal 5 2 6 3 6 2" xfId="20251"/>
    <cellStyle name="Normal 5 2 6 3 7" xfId="16762"/>
    <cellStyle name="Normal 5 2 6 4" xfId="1392"/>
    <cellStyle name="Normal 5 2 6 4 2" xfId="3822"/>
    <cellStyle name="Normal 5 2 6 4 2 2" xfId="12960"/>
    <cellStyle name="Normal 5 2 6 4 2 2 2" xfId="23179"/>
    <cellStyle name="Normal 5 2 6 4 2 3" xfId="9381"/>
    <cellStyle name="Normal 5 2 6 4 2 4" xfId="18172"/>
    <cellStyle name="Normal 5 2 6 4 3" xfId="5485"/>
    <cellStyle name="Normal 5 2 6 4 3 2" xfId="14324"/>
    <cellStyle name="Normal 5 2 6 4 3 2 2" xfId="24575"/>
    <cellStyle name="Normal 5 2 6 4 3 3" xfId="10745"/>
    <cellStyle name="Normal 5 2 6 4 3 4" xfId="19568"/>
    <cellStyle name="Normal 5 2 6 4 4" xfId="1897"/>
    <cellStyle name="Normal 5 2 6 4 4 2" xfId="11266"/>
    <cellStyle name="Normal 5 2 6 4 4 3" xfId="21270"/>
    <cellStyle name="Normal 5 2 6 4 5" xfId="6942"/>
    <cellStyle name="Normal 5 2 6 4 5 2" xfId="15769"/>
    <cellStyle name="Normal 5 2 6 4 5 3" xfId="26020"/>
    <cellStyle name="Normal 5 2 6 4 6" xfId="8388"/>
    <cellStyle name="Normal 5 2 6 4 6 2" xfId="20778"/>
    <cellStyle name="Normal 5 2 6 4 7" xfId="16263"/>
    <cellStyle name="Normal 5 2 6 5" xfId="2790"/>
    <cellStyle name="Normal 5 2 6 5 2" xfId="12109"/>
    <cellStyle name="Normal 5 2 6 5 2 2" xfId="22153"/>
    <cellStyle name="Normal 5 2 6 5 3" xfId="8397"/>
    <cellStyle name="Normal 5 2 6 5 4" xfId="17146"/>
    <cellStyle name="Normal 5 2 6 6" xfId="4441"/>
    <cellStyle name="Normal 5 2 6 6 2" xfId="13281"/>
    <cellStyle name="Normal 5 2 6 6 2 2" xfId="23532"/>
    <cellStyle name="Normal 5 2 6 6 3" xfId="9702"/>
    <cellStyle name="Normal 5 2 6 6 4" xfId="18525"/>
    <cellStyle name="Normal 5 2 6 7" xfId="1713"/>
    <cellStyle name="Normal 5 2 6 7 2" xfId="11092"/>
    <cellStyle name="Normal 5 2 6 7 3" xfId="21096"/>
    <cellStyle name="Normal 5 2 6 8" xfId="5899"/>
    <cellStyle name="Normal 5 2 6 8 2" xfId="14726"/>
    <cellStyle name="Normal 5 2 6 8 3" xfId="24977"/>
    <cellStyle name="Normal 5 2 6 9" xfId="7343"/>
    <cellStyle name="Normal 5 2 6 9 2" xfId="19752"/>
    <cellStyle name="Normal 5 2 6_Degree data" xfId="3925"/>
    <cellStyle name="Normal 5 2 7" xfId="460"/>
    <cellStyle name="Normal 5 2 7 2" xfId="804"/>
    <cellStyle name="Normal 5 2 7 2 2" xfId="3290"/>
    <cellStyle name="Normal 5 2 7 2 2 2" xfId="12434"/>
    <cellStyle name="Normal 5 2 7 2 2 2 2" xfId="22653"/>
    <cellStyle name="Normal 5 2 7 2 2 3" xfId="8856"/>
    <cellStyle name="Normal 5 2 7 2 2 4" xfId="17646"/>
    <cellStyle name="Normal 5 2 7 2 3" xfId="4619"/>
    <cellStyle name="Normal 5 2 7 2 3 2" xfId="13459"/>
    <cellStyle name="Normal 5 2 7 2 3 2 2" xfId="23710"/>
    <cellStyle name="Normal 5 2 7 2 3 3" xfId="9880"/>
    <cellStyle name="Normal 5 2 7 2 3 4" xfId="18703"/>
    <cellStyle name="Normal 5 2 7 2 4" xfId="2399"/>
    <cellStyle name="Normal 5 2 7 2 4 2" xfId="11766"/>
    <cellStyle name="Normal 5 2 7 2 4 3" xfId="21770"/>
    <cellStyle name="Normal 5 2 7 2 5" xfId="6077"/>
    <cellStyle name="Normal 5 2 7 2 5 2" xfId="14904"/>
    <cellStyle name="Normal 5 2 7 2 5 3" xfId="25155"/>
    <cellStyle name="Normal 5 2 7 2 6" xfId="7522"/>
    <cellStyle name="Normal 5 2 7 2 6 2" xfId="20252"/>
    <cellStyle name="Normal 5 2 7 2 7" xfId="16763"/>
    <cellStyle name="Normal 5 2 7 3" xfId="1232"/>
    <cellStyle name="Normal 5 2 7 3 2" xfId="3662"/>
    <cellStyle name="Normal 5 2 7 3 2 2" xfId="12800"/>
    <cellStyle name="Normal 5 2 7 3 2 2 2" xfId="23019"/>
    <cellStyle name="Normal 5 2 7 3 2 3" xfId="9221"/>
    <cellStyle name="Normal 5 2 7 3 2 4" xfId="18012"/>
    <cellStyle name="Normal 5 2 7 3 3" xfId="4968"/>
    <cellStyle name="Normal 5 2 7 3 3 2" xfId="13807"/>
    <cellStyle name="Normal 5 2 7 3 3 2 2" xfId="24058"/>
    <cellStyle name="Normal 5 2 7 3 3 3" xfId="10228"/>
    <cellStyle name="Normal 5 2 7 3 3 4" xfId="19051"/>
    <cellStyle name="Normal 5 2 7 3 4" xfId="2056"/>
    <cellStyle name="Normal 5 2 7 3 4 2" xfId="11423"/>
    <cellStyle name="Normal 5 2 7 3 4 3" xfId="21427"/>
    <cellStyle name="Normal 5 2 7 3 5" xfId="6425"/>
    <cellStyle name="Normal 5 2 7 3 5 2" xfId="15252"/>
    <cellStyle name="Normal 5 2 7 3 5 3" xfId="25503"/>
    <cellStyle name="Normal 5 2 7 3 6" xfId="7871"/>
    <cellStyle name="Normal 5 2 7 3 6 2" xfId="20618"/>
    <cellStyle name="Normal 5 2 7 3 7" xfId="16420"/>
    <cellStyle name="Normal 5 2 7 4" xfId="2947"/>
    <cellStyle name="Normal 5 2 7 4 2" xfId="5325"/>
    <cellStyle name="Normal 5 2 7 4 2 2" xfId="14164"/>
    <cellStyle name="Normal 5 2 7 4 2 2 2" xfId="24415"/>
    <cellStyle name="Normal 5 2 7 4 2 3" xfId="10585"/>
    <cellStyle name="Normal 5 2 7 4 2 4" xfId="19408"/>
    <cellStyle name="Normal 5 2 7 4 3" xfId="6782"/>
    <cellStyle name="Normal 5 2 7 4 3 2" xfId="15609"/>
    <cellStyle name="Normal 5 2 7 4 3 3" xfId="25860"/>
    <cellStyle name="Normal 5 2 7 4 4" xfId="8228"/>
    <cellStyle name="Normal 5 2 7 4 4 2" xfId="22310"/>
    <cellStyle name="Normal 5 2 7 4 5" xfId="17303"/>
    <cellStyle name="Normal 5 2 7 5" xfId="4281"/>
    <cellStyle name="Normal 5 2 7 5 2" xfId="13121"/>
    <cellStyle name="Normal 5 2 7 5 2 2" xfId="23372"/>
    <cellStyle name="Normal 5 2 7 5 3" xfId="9542"/>
    <cellStyle name="Normal 5 2 7 5 4" xfId="18365"/>
    <cellStyle name="Normal 5 2 7 6" xfId="1553"/>
    <cellStyle name="Normal 5 2 7 6 2" xfId="10932"/>
    <cellStyle name="Normal 5 2 7 6 3" xfId="20936"/>
    <cellStyle name="Normal 5 2 7 7" xfId="5739"/>
    <cellStyle name="Normal 5 2 7 7 2" xfId="14566"/>
    <cellStyle name="Normal 5 2 7 7 3" xfId="24817"/>
    <cellStyle name="Normal 5 2 7 8" xfId="7183"/>
    <cellStyle name="Normal 5 2 7 8 2" xfId="19909"/>
    <cellStyle name="Normal 5 2 7 9" xfId="15929"/>
    <cellStyle name="Normal 5 2 7_Degree data" xfId="3827"/>
    <cellStyle name="Normal 5 2 8" xfId="1729"/>
    <cellStyle name="Normal 5 2 8 2" xfId="11105"/>
    <cellStyle name="Normal 5 2 8 2 2" xfId="21109"/>
    <cellStyle name="Normal 5 2 8 3" xfId="8448"/>
    <cellStyle name="Normal 5 2 8 4" xfId="16102"/>
    <cellStyle name="Normal 5 2 9" xfId="2627"/>
    <cellStyle name="Normal 5 2 9 2" xfId="11978"/>
    <cellStyle name="Normal 5 2 9 2 2" xfId="21992"/>
    <cellStyle name="Normal 5 2 9 3" xfId="8601"/>
    <cellStyle name="Normal 5 2 9 4" xfId="16985"/>
    <cellStyle name="Normal 5 3" xfId="103"/>
    <cellStyle name="Normal 5 3 10" xfId="4108"/>
    <cellStyle name="Normal 5 3 10 2" xfId="5568"/>
    <cellStyle name="Normal 5 3 10 2 2" xfId="14395"/>
    <cellStyle name="Normal 5 3 10 2 3" xfId="24646"/>
    <cellStyle name="Normal 5 3 10 3" xfId="7012"/>
    <cellStyle name="Normal 5 3 10 3 2" xfId="23199"/>
    <cellStyle name="Normal 5 3 10 4" xfId="18192"/>
    <cellStyle name="Normal 5 3 11" xfId="1402"/>
    <cellStyle name="Normal 5 3 11 2" xfId="10781"/>
    <cellStyle name="Normal 5 3 11 3" xfId="20785"/>
    <cellStyle name="Normal 5 3 12" xfId="5536"/>
    <cellStyle name="Normal 5 3 12 2" xfId="14365"/>
    <cellStyle name="Normal 5 3 12 3" xfId="24616"/>
    <cellStyle name="Normal 5 3 13" xfId="6982"/>
    <cellStyle name="Normal 5 3 13 2" xfId="19588"/>
    <cellStyle name="Normal 5 3 14" xfId="15778"/>
    <cellStyle name="Normal 5 3 2" xfId="161"/>
    <cellStyle name="Normal 5 3 2 10" xfId="1427"/>
    <cellStyle name="Normal 5 3 2 10 2" xfId="10806"/>
    <cellStyle name="Normal 5 3 2 10 3" xfId="20810"/>
    <cellStyle name="Normal 5 3 2 11" xfId="5613"/>
    <cellStyle name="Normal 5 3 2 11 2" xfId="14440"/>
    <cellStyle name="Normal 5 3 2 11 3" xfId="24691"/>
    <cellStyle name="Normal 5 3 2 12" xfId="7057"/>
    <cellStyle name="Normal 5 3 2 12 2" xfId="19623"/>
    <cellStyle name="Normal 5 3 2 13" xfId="15803"/>
    <cellStyle name="Normal 5 3 2 2" xfId="273"/>
    <cellStyle name="Normal 5 3 2 2 10" xfId="7114"/>
    <cellStyle name="Normal 5 3 2 2 10 2" xfId="19727"/>
    <cellStyle name="Normal 5 3 2 2 11" xfId="15860"/>
    <cellStyle name="Normal 5 3 2 2 2" xfId="595"/>
    <cellStyle name="Normal 5 3 2 2 2 2" xfId="808"/>
    <cellStyle name="Normal 5 3 2 2 2 2 2" xfId="3294"/>
    <cellStyle name="Normal 5 3 2 2 2 2 2 2" xfId="12438"/>
    <cellStyle name="Normal 5 3 2 2 2 2 2 2 2" xfId="22657"/>
    <cellStyle name="Normal 5 3 2 2 2 2 2 3" xfId="8860"/>
    <cellStyle name="Normal 5 3 2 2 2 2 2 4" xfId="17650"/>
    <cellStyle name="Normal 5 3 2 2 2 2 3" xfId="4623"/>
    <cellStyle name="Normal 5 3 2 2 2 2 3 2" xfId="13463"/>
    <cellStyle name="Normal 5 3 2 2 2 2 3 2 2" xfId="23714"/>
    <cellStyle name="Normal 5 3 2 2 2 2 3 3" xfId="9884"/>
    <cellStyle name="Normal 5 3 2 2 2 2 3 4" xfId="18707"/>
    <cellStyle name="Normal 5 3 2 2 2 2 4" xfId="2403"/>
    <cellStyle name="Normal 5 3 2 2 2 2 4 2" xfId="11770"/>
    <cellStyle name="Normal 5 3 2 2 2 2 4 3" xfId="21774"/>
    <cellStyle name="Normal 5 3 2 2 2 2 5" xfId="6081"/>
    <cellStyle name="Normal 5 3 2 2 2 2 5 2" xfId="14908"/>
    <cellStyle name="Normal 5 3 2 2 2 2 5 3" xfId="25159"/>
    <cellStyle name="Normal 5 3 2 2 2 2 6" xfId="7526"/>
    <cellStyle name="Normal 5 3 2 2 2 2 6 2" xfId="20256"/>
    <cellStyle name="Normal 5 3 2 2 2 2 7" xfId="16767"/>
    <cellStyle name="Normal 5 3 2 2 2 3" xfId="1367"/>
    <cellStyle name="Normal 5 3 2 2 2 3 2" xfId="3797"/>
    <cellStyle name="Normal 5 3 2 2 2 3 2 2" xfId="12935"/>
    <cellStyle name="Normal 5 3 2 2 2 3 2 2 2" xfId="23154"/>
    <cellStyle name="Normal 5 3 2 2 2 3 2 3" xfId="9356"/>
    <cellStyle name="Normal 5 3 2 2 2 3 2 4" xfId="18147"/>
    <cellStyle name="Normal 5 3 2 2 2 3 3" xfId="4972"/>
    <cellStyle name="Normal 5 3 2 2 2 3 3 2" xfId="13811"/>
    <cellStyle name="Normal 5 3 2 2 2 3 3 2 2" xfId="24062"/>
    <cellStyle name="Normal 5 3 2 2 2 3 3 3" xfId="10232"/>
    <cellStyle name="Normal 5 3 2 2 2 3 3 4" xfId="19055"/>
    <cellStyle name="Normal 5 3 2 2 2 3 4" xfId="2191"/>
    <cellStyle name="Normal 5 3 2 2 2 3 4 2" xfId="11558"/>
    <cellStyle name="Normal 5 3 2 2 2 3 4 3" xfId="21562"/>
    <cellStyle name="Normal 5 3 2 2 2 3 5" xfId="6429"/>
    <cellStyle name="Normal 5 3 2 2 2 3 5 2" xfId="15256"/>
    <cellStyle name="Normal 5 3 2 2 2 3 5 3" xfId="25507"/>
    <cellStyle name="Normal 5 3 2 2 2 3 6" xfId="7875"/>
    <cellStyle name="Normal 5 3 2 2 2 3 6 2" xfId="20753"/>
    <cellStyle name="Normal 5 3 2 2 2 3 7" xfId="16555"/>
    <cellStyle name="Normal 5 3 2 2 2 4" xfId="3082"/>
    <cellStyle name="Normal 5 3 2 2 2 4 2" xfId="5460"/>
    <cellStyle name="Normal 5 3 2 2 2 4 2 2" xfId="14299"/>
    <cellStyle name="Normal 5 3 2 2 2 4 2 2 2" xfId="24550"/>
    <cellStyle name="Normal 5 3 2 2 2 4 2 3" xfId="10720"/>
    <cellStyle name="Normal 5 3 2 2 2 4 2 4" xfId="19543"/>
    <cellStyle name="Normal 5 3 2 2 2 4 3" xfId="6917"/>
    <cellStyle name="Normal 5 3 2 2 2 4 3 2" xfId="15744"/>
    <cellStyle name="Normal 5 3 2 2 2 4 3 3" xfId="25995"/>
    <cellStyle name="Normal 5 3 2 2 2 4 4" xfId="8363"/>
    <cellStyle name="Normal 5 3 2 2 2 4 4 2" xfId="22445"/>
    <cellStyle name="Normal 5 3 2 2 2 4 5" xfId="17438"/>
    <cellStyle name="Normal 5 3 2 2 2 5" xfId="4416"/>
    <cellStyle name="Normal 5 3 2 2 2 5 2" xfId="13256"/>
    <cellStyle name="Normal 5 3 2 2 2 5 2 2" xfId="23507"/>
    <cellStyle name="Normal 5 3 2 2 2 5 3" xfId="9677"/>
    <cellStyle name="Normal 5 3 2 2 2 5 4" xfId="18500"/>
    <cellStyle name="Normal 5 3 2 2 2 6" xfId="1688"/>
    <cellStyle name="Normal 5 3 2 2 2 6 2" xfId="11067"/>
    <cellStyle name="Normal 5 3 2 2 2 6 3" xfId="21071"/>
    <cellStyle name="Normal 5 3 2 2 2 7" xfId="5874"/>
    <cellStyle name="Normal 5 3 2 2 2 7 2" xfId="14701"/>
    <cellStyle name="Normal 5 3 2 2 2 7 3" xfId="24952"/>
    <cellStyle name="Normal 5 3 2 2 2 8" xfId="7318"/>
    <cellStyle name="Normal 5 3 2 2 2 8 2" xfId="20044"/>
    <cellStyle name="Normal 5 3 2 2 2 9" xfId="16064"/>
    <cellStyle name="Normal 5 3 2 2 2_Degree data" xfId="3877"/>
    <cellStyle name="Normal 5 3 2 2 3" xfId="391"/>
    <cellStyle name="Normal 5 3 2 2 3 2" xfId="2878"/>
    <cellStyle name="Normal 5 3 2 2 3 2 2" xfId="12168"/>
    <cellStyle name="Normal 5 3 2 2 3 2 2 2" xfId="22241"/>
    <cellStyle name="Normal 5 3 2 2 3 2 3" xfId="8636"/>
    <cellStyle name="Normal 5 3 2 2 3 2 4" xfId="17234"/>
    <cellStyle name="Normal 5 3 2 2 3 3" xfId="4622"/>
    <cellStyle name="Normal 5 3 2 2 3 3 2" xfId="13462"/>
    <cellStyle name="Normal 5 3 2 2 3 3 2 2" xfId="23713"/>
    <cellStyle name="Normal 5 3 2 2 3 3 3" xfId="9883"/>
    <cellStyle name="Normal 5 3 2 2 3 3 4" xfId="18706"/>
    <cellStyle name="Normal 5 3 2 2 3 4" xfId="1987"/>
    <cellStyle name="Normal 5 3 2 2 3 4 2" xfId="11354"/>
    <cellStyle name="Normal 5 3 2 2 3 4 3" xfId="21358"/>
    <cellStyle name="Normal 5 3 2 2 3 5" xfId="6080"/>
    <cellStyle name="Normal 5 3 2 2 3 5 2" xfId="14907"/>
    <cellStyle name="Normal 5 3 2 2 3 5 3" xfId="25158"/>
    <cellStyle name="Normal 5 3 2 2 3 6" xfId="7525"/>
    <cellStyle name="Normal 5 3 2 2 3 6 2" xfId="19840"/>
    <cellStyle name="Normal 5 3 2 2 3 7" xfId="16351"/>
    <cellStyle name="Normal 5 3 2 2 4" xfId="807"/>
    <cellStyle name="Normal 5 3 2 2 4 2" xfId="3293"/>
    <cellStyle name="Normal 5 3 2 2 4 2 2" xfId="12437"/>
    <cellStyle name="Normal 5 3 2 2 4 2 2 2" xfId="22656"/>
    <cellStyle name="Normal 5 3 2 2 4 2 3" xfId="8859"/>
    <cellStyle name="Normal 5 3 2 2 4 2 4" xfId="17649"/>
    <cellStyle name="Normal 5 3 2 2 4 3" xfId="4971"/>
    <cellStyle name="Normal 5 3 2 2 4 3 2" xfId="13810"/>
    <cellStyle name="Normal 5 3 2 2 4 3 2 2" xfId="24061"/>
    <cellStyle name="Normal 5 3 2 2 4 3 3" xfId="10231"/>
    <cellStyle name="Normal 5 3 2 2 4 3 4" xfId="19054"/>
    <cellStyle name="Normal 5 3 2 2 4 4" xfId="2402"/>
    <cellStyle name="Normal 5 3 2 2 4 4 2" xfId="11769"/>
    <cellStyle name="Normal 5 3 2 2 4 4 3" xfId="21773"/>
    <cellStyle name="Normal 5 3 2 2 4 5" xfId="6428"/>
    <cellStyle name="Normal 5 3 2 2 4 5 2" xfId="15255"/>
    <cellStyle name="Normal 5 3 2 2 4 5 3" xfId="25506"/>
    <cellStyle name="Normal 5 3 2 2 4 6" xfId="7874"/>
    <cellStyle name="Normal 5 3 2 2 4 6 2" xfId="20255"/>
    <cellStyle name="Normal 5 3 2 2 4 7" xfId="16766"/>
    <cellStyle name="Normal 5 3 2 2 5" xfId="1163"/>
    <cellStyle name="Normal 5 3 2 2 5 2" xfId="3593"/>
    <cellStyle name="Normal 5 3 2 2 5 2 2" xfId="12731"/>
    <cellStyle name="Normal 5 3 2 2 5 2 2 2" xfId="22950"/>
    <cellStyle name="Normal 5 3 2 2 5 2 3" xfId="9152"/>
    <cellStyle name="Normal 5 3 2 2 5 2 4" xfId="17943"/>
    <cellStyle name="Normal 5 3 2 2 5 3" xfId="5256"/>
    <cellStyle name="Normal 5 3 2 2 5 3 2" xfId="14095"/>
    <cellStyle name="Normal 5 3 2 2 5 3 2 2" xfId="24346"/>
    <cellStyle name="Normal 5 3 2 2 5 3 3" xfId="10516"/>
    <cellStyle name="Normal 5 3 2 2 5 3 4" xfId="19339"/>
    <cellStyle name="Normal 5 3 2 2 5 4" xfId="1871"/>
    <cellStyle name="Normal 5 3 2 2 5 4 2" xfId="11241"/>
    <cellStyle name="Normal 5 3 2 2 5 4 3" xfId="21245"/>
    <cellStyle name="Normal 5 3 2 2 5 5" xfId="6713"/>
    <cellStyle name="Normal 5 3 2 2 5 5 2" xfId="15540"/>
    <cellStyle name="Normal 5 3 2 2 5 5 3" xfId="25791"/>
    <cellStyle name="Normal 5 3 2 2 5 6" xfId="8159"/>
    <cellStyle name="Normal 5 3 2 2 5 6 2" xfId="20549"/>
    <cellStyle name="Normal 5 3 2 2 5 7" xfId="16238"/>
    <cellStyle name="Normal 5 3 2 2 6" xfId="2765"/>
    <cellStyle name="Normal 5 3 2 2 6 2" xfId="12084"/>
    <cellStyle name="Normal 5 3 2 2 6 2 2" xfId="22128"/>
    <cellStyle name="Normal 5 3 2 2 6 3" xfId="6951"/>
    <cellStyle name="Normal 5 3 2 2 6 4" xfId="17121"/>
    <cellStyle name="Normal 5 3 2 2 7" xfId="4212"/>
    <cellStyle name="Normal 5 3 2 2 7 2" xfId="13052"/>
    <cellStyle name="Normal 5 3 2 2 7 2 2" xfId="23303"/>
    <cellStyle name="Normal 5 3 2 2 7 3" xfId="9473"/>
    <cellStyle name="Normal 5 3 2 2 7 4" xfId="18296"/>
    <cellStyle name="Normal 5 3 2 2 8" xfId="1484"/>
    <cellStyle name="Normal 5 3 2 2 8 2" xfId="10863"/>
    <cellStyle name="Normal 5 3 2 2 8 3" xfId="20867"/>
    <cellStyle name="Normal 5 3 2 2 9" xfId="5670"/>
    <cellStyle name="Normal 5 3 2 2 9 2" xfId="14497"/>
    <cellStyle name="Normal 5 3 2 2 9 3" xfId="24748"/>
    <cellStyle name="Normal 5 3 2 2_Degree data" xfId="3912"/>
    <cellStyle name="Normal 5 3 2 3" xfId="227"/>
    <cellStyle name="Normal 5 3 2 3 10" xfId="16021"/>
    <cellStyle name="Normal 5 3 2 3 2" xfId="552"/>
    <cellStyle name="Normal 5 3 2 3 2 2" xfId="3039"/>
    <cellStyle name="Normal 5 3 2 3 2 2 2" xfId="12229"/>
    <cellStyle name="Normal 5 3 2 3 2 2 2 2" xfId="22402"/>
    <cellStyle name="Normal 5 3 2 3 2 2 3" xfId="8517"/>
    <cellStyle name="Normal 5 3 2 3 2 2 4" xfId="17395"/>
    <cellStyle name="Normal 5 3 2 3 2 3" xfId="4624"/>
    <cellStyle name="Normal 5 3 2 3 2 3 2" xfId="13464"/>
    <cellStyle name="Normal 5 3 2 3 2 3 2 2" xfId="23715"/>
    <cellStyle name="Normal 5 3 2 3 2 3 3" xfId="9885"/>
    <cellStyle name="Normal 5 3 2 3 2 3 4" xfId="18708"/>
    <cellStyle name="Normal 5 3 2 3 2 4" xfId="2148"/>
    <cellStyle name="Normal 5 3 2 3 2 4 2" xfId="11515"/>
    <cellStyle name="Normal 5 3 2 3 2 4 3" xfId="21519"/>
    <cellStyle name="Normal 5 3 2 3 2 5" xfId="6082"/>
    <cellStyle name="Normal 5 3 2 3 2 5 2" xfId="14909"/>
    <cellStyle name="Normal 5 3 2 3 2 5 3" xfId="25160"/>
    <cellStyle name="Normal 5 3 2 3 2 6" xfId="7527"/>
    <cellStyle name="Normal 5 3 2 3 2 6 2" xfId="20001"/>
    <cellStyle name="Normal 5 3 2 3 2 7" xfId="16512"/>
    <cellStyle name="Normal 5 3 2 3 3" xfId="809"/>
    <cellStyle name="Normal 5 3 2 3 3 2" xfId="3295"/>
    <cellStyle name="Normal 5 3 2 3 3 2 2" xfId="12439"/>
    <cellStyle name="Normal 5 3 2 3 3 2 2 2" xfId="22658"/>
    <cellStyle name="Normal 5 3 2 3 3 2 3" xfId="8861"/>
    <cellStyle name="Normal 5 3 2 3 3 2 4" xfId="17651"/>
    <cellStyle name="Normal 5 3 2 3 3 3" xfId="4973"/>
    <cellStyle name="Normal 5 3 2 3 3 3 2" xfId="13812"/>
    <cellStyle name="Normal 5 3 2 3 3 3 2 2" xfId="24063"/>
    <cellStyle name="Normal 5 3 2 3 3 3 3" xfId="10233"/>
    <cellStyle name="Normal 5 3 2 3 3 3 4" xfId="19056"/>
    <cellStyle name="Normal 5 3 2 3 3 4" xfId="2404"/>
    <cellStyle name="Normal 5 3 2 3 3 4 2" xfId="11771"/>
    <cellStyle name="Normal 5 3 2 3 3 4 3" xfId="21775"/>
    <cellStyle name="Normal 5 3 2 3 3 5" xfId="6430"/>
    <cellStyle name="Normal 5 3 2 3 3 5 2" xfId="15257"/>
    <cellStyle name="Normal 5 3 2 3 3 5 3" xfId="25508"/>
    <cellStyle name="Normal 5 3 2 3 3 6" xfId="7876"/>
    <cellStyle name="Normal 5 3 2 3 3 6 2" xfId="20257"/>
    <cellStyle name="Normal 5 3 2 3 3 7" xfId="16768"/>
    <cellStyle name="Normal 5 3 2 3 4" xfId="1324"/>
    <cellStyle name="Normal 5 3 2 3 4 2" xfId="3754"/>
    <cellStyle name="Normal 5 3 2 3 4 2 2" xfId="12892"/>
    <cellStyle name="Normal 5 3 2 3 4 2 2 2" xfId="23111"/>
    <cellStyle name="Normal 5 3 2 3 4 2 3" xfId="9313"/>
    <cellStyle name="Normal 5 3 2 3 4 2 4" xfId="18104"/>
    <cellStyle name="Normal 5 3 2 3 4 3" xfId="5417"/>
    <cellStyle name="Normal 5 3 2 3 4 3 2" xfId="14256"/>
    <cellStyle name="Normal 5 3 2 3 4 3 2 2" xfId="24507"/>
    <cellStyle name="Normal 5 3 2 3 4 3 3" xfId="10677"/>
    <cellStyle name="Normal 5 3 2 3 4 3 4" xfId="19500"/>
    <cellStyle name="Normal 5 3 2 3 4 4" xfId="1828"/>
    <cellStyle name="Normal 5 3 2 3 4 4 2" xfId="11198"/>
    <cellStyle name="Normal 5 3 2 3 4 4 3" xfId="21202"/>
    <cellStyle name="Normal 5 3 2 3 4 5" xfId="6874"/>
    <cellStyle name="Normal 5 3 2 3 4 5 2" xfId="15701"/>
    <cellStyle name="Normal 5 3 2 3 4 5 3" xfId="25952"/>
    <cellStyle name="Normal 5 3 2 3 4 6" xfId="8320"/>
    <cellStyle name="Normal 5 3 2 3 4 6 2" xfId="20710"/>
    <cellStyle name="Normal 5 3 2 3 4 7" xfId="16195"/>
    <cellStyle name="Normal 5 3 2 3 5" xfId="2722"/>
    <cellStyle name="Normal 5 3 2 3 5 2" xfId="12041"/>
    <cellStyle name="Normal 5 3 2 3 5 2 2" xfId="22085"/>
    <cellStyle name="Normal 5 3 2 3 5 3" xfId="8502"/>
    <cellStyle name="Normal 5 3 2 3 5 4" xfId="17078"/>
    <cellStyle name="Normal 5 3 2 3 6" xfId="4373"/>
    <cellStyle name="Normal 5 3 2 3 6 2" xfId="13213"/>
    <cellStyle name="Normal 5 3 2 3 6 2 2" xfId="23464"/>
    <cellStyle name="Normal 5 3 2 3 6 3" xfId="9634"/>
    <cellStyle name="Normal 5 3 2 3 6 4" xfId="18457"/>
    <cellStyle name="Normal 5 3 2 3 7" xfId="1645"/>
    <cellStyle name="Normal 5 3 2 3 7 2" xfId="11024"/>
    <cellStyle name="Normal 5 3 2 3 7 3" xfId="21028"/>
    <cellStyle name="Normal 5 3 2 3 8" xfId="5831"/>
    <cellStyle name="Normal 5 3 2 3 8 2" xfId="14658"/>
    <cellStyle name="Normal 5 3 2 3 8 3" xfId="24909"/>
    <cellStyle name="Normal 5 3 2 3 9" xfId="7275"/>
    <cellStyle name="Normal 5 3 2 3 9 2" xfId="19684"/>
    <cellStyle name="Normal 5 3 2 3_Degree data" xfId="3871"/>
    <cellStyle name="Normal 5 3 2 4" xfId="491"/>
    <cellStyle name="Normal 5 3 2 4 2" xfId="810"/>
    <cellStyle name="Normal 5 3 2 4 2 2" xfId="3296"/>
    <cellStyle name="Normal 5 3 2 4 2 2 2" xfId="12440"/>
    <cellStyle name="Normal 5 3 2 4 2 2 2 2" xfId="22659"/>
    <cellStyle name="Normal 5 3 2 4 2 2 3" xfId="8862"/>
    <cellStyle name="Normal 5 3 2 4 2 2 4" xfId="17652"/>
    <cellStyle name="Normal 5 3 2 4 2 3" xfId="4625"/>
    <cellStyle name="Normal 5 3 2 4 2 3 2" xfId="13465"/>
    <cellStyle name="Normal 5 3 2 4 2 3 2 2" xfId="23716"/>
    <cellStyle name="Normal 5 3 2 4 2 3 3" xfId="9886"/>
    <cellStyle name="Normal 5 3 2 4 2 3 4" xfId="18709"/>
    <cellStyle name="Normal 5 3 2 4 2 4" xfId="2405"/>
    <cellStyle name="Normal 5 3 2 4 2 4 2" xfId="11772"/>
    <cellStyle name="Normal 5 3 2 4 2 4 3" xfId="21776"/>
    <cellStyle name="Normal 5 3 2 4 2 5" xfId="6083"/>
    <cellStyle name="Normal 5 3 2 4 2 5 2" xfId="14910"/>
    <cellStyle name="Normal 5 3 2 4 2 5 3" xfId="25161"/>
    <cellStyle name="Normal 5 3 2 4 2 6" xfId="7528"/>
    <cellStyle name="Normal 5 3 2 4 2 6 2" xfId="20258"/>
    <cellStyle name="Normal 5 3 2 4 2 7" xfId="16769"/>
    <cellStyle name="Normal 5 3 2 4 3" xfId="1263"/>
    <cellStyle name="Normal 5 3 2 4 3 2" xfId="3693"/>
    <cellStyle name="Normal 5 3 2 4 3 2 2" xfId="12831"/>
    <cellStyle name="Normal 5 3 2 4 3 2 2 2" xfId="23050"/>
    <cellStyle name="Normal 5 3 2 4 3 2 3" xfId="9252"/>
    <cellStyle name="Normal 5 3 2 4 3 2 4" xfId="18043"/>
    <cellStyle name="Normal 5 3 2 4 3 3" xfId="4974"/>
    <cellStyle name="Normal 5 3 2 4 3 3 2" xfId="13813"/>
    <cellStyle name="Normal 5 3 2 4 3 3 2 2" xfId="24064"/>
    <cellStyle name="Normal 5 3 2 4 3 3 3" xfId="10234"/>
    <cellStyle name="Normal 5 3 2 4 3 3 4" xfId="19057"/>
    <cellStyle name="Normal 5 3 2 4 3 4" xfId="2087"/>
    <cellStyle name="Normal 5 3 2 4 3 4 2" xfId="11454"/>
    <cellStyle name="Normal 5 3 2 4 3 4 3" xfId="21458"/>
    <cellStyle name="Normal 5 3 2 4 3 5" xfId="6431"/>
    <cellStyle name="Normal 5 3 2 4 3 5 2" xfId="15258"/>
    <cellStyle name="Normal 5 3 2 4 3 5 3" xfId="25509"/>
    <cellStyle name="Normal 5 3 2 4 3 6" xfId="7877"/>
    <cellStyle name="Normal 5 3 2 4 3 6 2" xfId="20649"/>
    <cellStyle name="Normal 5 3 2 4 3 7" xfId="16451"/>
    <cellStyle name="Normal 5 3 2 4 4" xfId="2978"/>
    <cellStyle name="Normal 5 3 2 4 4 2" xfId="5356"/>
    <cellStyle name="Normal 5 3 2 4 4 2 2" xfId="14195"/>
    <cellStyle name="Normal 5 3 2 4 4 2 2 2" xfId="24446"/>
    <cellStyle name="Normal 5 3 2 4 4 2 3" xfId="10616"/>
    <cellStyle name="Normal 5 3 2 4 4 2 4" xfId="19439"/>
    <cellStyle name="Normal 5 3 2 4 4 3" xfId="6813"/>
    <cellStyle name="Normal 5 3 2 4 4 3 2" xfId="15640"/>
    <cellStyle name="Normal 5 3 2 4 4 3 3" xfId="25891"/>
    <cellStyle name="Normal 5 3 2 4 4 4" xfId="8259"/>
    <cellStyle name="Normal 5 3 2 4 4 4 2" xfId="22341"/>
    <cellStyle name="Normal 5 3 2 4 4 5" xfId="17334"/>
    <cellStyle name="Normal 5 3 2 4 5" xfId="4312"/>
    <cellStyle name="Normal 5 3 2 4 5 2" xfId="13152"/>
    <cellStyle name="Normal 5 3 2 4 5 2 2" xfId="23403"/>
    <cellStyle name="Normal 5 3 2 4 5 3" xfId="9573"/>
    <cellStyle name="Normal 5 3 2 4 5 4" xfId="18396"/>
    <cellStyle name="Normal 5 3 2 4 6" xfId="1584"/>
    <cellStyle name="Normal 5 3 2 4 6 2" xfId="10963"/>
    <cellStyle name="Normal 5 3 2 4 6 3" xfId="20967"/>
    <cellStyle name="Normal 5 3 2 4 7" xfId="5770"/>
    <cellStyle name="Normal 5 3 2 4 7 2" xfId="14597"/>
    <cellStyle name="Normal 5 3 2 4 7 3" xfId="24848"/>
    <cellStyle name="Normal 5 3 2 4 8" xfId="7214"/>
    <cellStyle name="Normal 5 3 2 4 8 2" xfId="19940"/>
    <cellStyle name="Normal 5 3 2 4 9" xfId="15960"/>
    <cellStyle name="Normal 5 3 2 4_Degree data" xfId="3889"/>
    <cellStyle name="Normal 5 3 2 5" xfId="334"/>
    <cellStyle name="Normal 5 3 2 5 2" xfId="2821"/>
    <cellStyle name="Normal 5 3 2 5 2 2" xfId="12123"/>
    <cellStyle name="Normal 5 3 2 5 2 2 2" xfId="22184"/>
    <cellStyle name="Normal 5 3 2 5 2 3" xfId="8403"/>
    <cellStyle name="Normal 5 3 2 5 2 4" xfId="17177"/>
    <cellStyle name="Normal 5 3 2 5 3" xfId="4621"/>
    <cellStyle name="Normal 5 3 2 5 3 2" xfId="13461"/>
    <cellStyle name="Normal 5 3 2 5 3 2 2" xfId="23712"/>
    <cellStyle name="Normal 5 3 2 5 3 3" xfId="9882"/>
    <cellStyle name="Normal 5 3 2 5 3 4" xfId="18705"/>
    <cellStyle name="Normal 5 3 2 5 4" xfId="1930"/>
    <cellStyle name="Normal 5 3 2 5 4 2" xfId="11297"/>
    <cellStyle name="Normal 5 3 2 5 4 3" xfId="21301"/>
    <cellStyle name="Normal 5 3 2 5 5" xfId="6079"/>
    <cellStyle name="Normal 5 3 2 5 5 2" xfId="14906"/>
    <cellStyle name="Normal 5 3 2 5 5 3" xfId="25157"/>
    <cellStyle name="Normal 5 3 2 5 6" xfId="7524"/>
    <cellStyle name="Normal 5 3 2 5 6 2" xfId="19783"/>
    <cellStyle name="Normal 5 3 2 5 7" xfId="16294"/>
    <cellStyle name="Normal 5 3 2 6" xfId="806"/>
    <cellStyle name="Normal 5 3 2 6 2" xfId="3292"/>
    <cellStyle name="Normal 5 3 2 6 2 2" xfId="12436"/>
    <cellStyle name="Normal 5 3 2 6 2 2 2" xfId="22655"/>
    <cellStyle name="Normal 5 3 2 6 2 3" xfId="8858"/>
    <cellStyle name="Normal 5 3 2 6 2 4" xfId="17648"/>
    <cellStyle name="Normal 5 3 2 6 3" xfId="4970"/>
    <cellStyle name="Normal 5 3 2 6 3 2" xfId="13809"/>
    <cellStyle name="Normal 5 3 2 6 3 2 2" xfId="24060"/>
    <cellStyle name="Normal 5 3 2 6 3 3" xfId="10230"/>
    <cellStyle name="Normal 5 3 2 6 3 4" xfId="19053"/>
    <cellStyle name="Normal 5 3 2 6 4" xfId="2401"/>
    <cellStyle name="Normal 5 3 2 6 4 2" xfId="11768"/>
    <cellStyle name="Normal 5 3 2 6 4 3" xfId="21772"/>
    <cellStyle name="Normal 5 3 2 6 5" xfId="6427"/>
    <cellStyle name="Normal 5 3 2 6 5 2" xfId="15254"/>
    <cellStyle name="Normal 5 3 2 6 5 3" xfId="25505"/>
    <cellStyle name="Normal 5 3 2 6 6" xfId="7873"/>
    <cellStyle name="Normal 5 3 2 6 6 2" xfId="20254"/>
    <cellStyle name="Normal 5 3 2 6 7" xfId="16765"/>
    <cellStyle name="Normal 5 3 2 7" xfId="1106"/>
    <cellStyle name="Normal 5 3 2 7 2" xfId="3536"/>
    <cellStyle name="Normal 5 3 2 7 2 2" xfId="12674"/>
    <cellStyle name="Normal 5 3 2 7 2 2 2" xfId="22893"/>
    <cellStyle name="Normal 5 3 2 7 2 3" xfId="9095"/>
    <cellStyle name="Normal 5 3 2 7 2 4" xfId="17886"/>
    <cellStyle name="Normal 5 3 2 7 3" xfId="5199"/>
    <cellStyle name="Normal 5 3 2 7 3 2" xfId="14038"/>
    <cellStyle name="Normal 5 3 2 7 3 2 2" xfId="24289"/>
    <cellStyle name="Normal 5 3 2 7 3 3" xfId="10459"/>
    <cellStyle name="Normal 5 3 2 7 3 4" xfId="19282"/>
    <cellStyle name="Normal 5 3 2 7 4" xfId="1764"/>
    <cellStyle name="Normal 5 3 2 7 4 2" xfId="11137"/>
    <cellStyle name="Normal 5 3 2 7 4 3" xfId="21141"/>
    <cellStyle name="Normal 5 3 2 7 5" xfId="6656"/>
    <cellStyle name="Normal 5 3 2 7 5 2" xfId="15483"/>
    <cellStyle name="Normal 5 3 2 7 5 3" xfId="25734"/>
    <cellStyle name="Normal 5 3 2 7 6" xfId="8102"/>
    <cellStyle name="Normal 5 3 2 7 6 2" xfId="20492"/>
    <cellStyle name="Normal 5 3 2 7 7" xfId="16134"/>
    <cellStyle name="Normal 5 3 2 8" xfId="2661"/>
    <cellStyle name="Normal 5 3 2 8 2" xfId="11984"/>
    <cellStyle name="Normal 5 3 2 8 2 2" xfId="22024"/>
    <cellStyle name="Normal 5 3 2 8 3" xfId="8424"/>
    <cellStyle name="Normal 5 3 2 8 4" xfId="17017"/>
    <cellStyle name="Normal 5 3 2 9" xfId="4153"/>
    <cellStyle name="Normal 5 3 2 9 2" xfId="12993"/>
    <cellStyle name="Normal 5 3 2 9 2 2" xfId="23244"/>
    <cellStyle name="Normal 5 3 2 9 3" xfId="9414"/>
    <cellStyle name="Normal 5 3 2 9 4" xfId="18237"/>
    <cellStyle name="Normal 5 3 2_Degree data" xfId="3875"/>
    <cellStyle name="Normal 5 3 3" xfId="208"/>
    <cellStyle name="Normal 5 3 3 10" xfId="7157"/>
    <cellStyle name="Normal 5 3 3 10 2" xfId="19666"/>
    <cellStyle name="Normal 5 3 3 11" xfId="15903"/>
    <cellStyle name="Normal 5 3 3 2" xfId="534"/>
    <cellStyle name="Normal 5 3 3 2 2" xfId="812"/>
    <cellStyle name="Normal 5 3 3 2 2 2" xfId="3298"/>
    <cellStyle name="Normal 5 3 3 2 2 2 2" xfId="12442"/>
    <cellStyle name="Normal 5 3 3 2 2 2 2 2" xfId="22661"/>
    <cellStyle name="Normal 5 3 3 2 2 2 3" xfId="8864"/>
    <cellStyle name="Normal 5 3 3 2 2 2 4" xfId="17654"/>
    <cellStyle name="Normal 5 3 3 2 2 3" xfId="4627"/>
    <cellStyle name="Normal 5 3 3 2 2 3 2" xfId="13467"/>
    <cellStyle name="Normal 5 3 3 2 2 3 2 2" xfId="23718"/>
    <cellStyle name="Normal 5 3 3 2 2 3 3" xfId="9888"/>
    <cellStyle name="Normal 5 3 3 2 2 3 4" xfId="18711"/>
    <cellStyle name="Normal 5 3 3 2 2 4" xfId="2407"/>
    <cellStyle name="Normal 5 3 3 2 2 4 2" xfId="11774"/>
    <cellStyle name="Normal 5 3 3 2 2 4 3" xfId="21778"/>
    <cellStyle name="Normal 5 3 3 2 2 5" xfId="6085"/>
    <cellStyle name="Normal 5 3 3 2 2 5 2" xfId="14912"/>
    <cellStyle name="Normal 5 3 3 2 2 5 3" xfId="25163"/>
    <cellStyle name="Normal 5 3 3 2 2 6" xfId="7530"/>
    <cellStyle name="Normal 5 3 3 2 2 6 2" xfId="20260"/>
    <cellStyle name="Normal 5 3 3 2 2 7" xfId="16771"/>
    <cellStyle name="Normal 5 3 3 2 3" xfId="1306"/>
    <cellStyle name="Normal 5 3 3 2 3 2" xfId="3736"/>
    <cellStyle name="Normal 5 3 3 2 3 2 2" xfId="12874"/>
    <cellStyle name="Normal 5 3 3 2 3 2 2 2" xfId="23093"/>
    <cellStyle name="Normal 5 3 3 2 3 2 3" xfId="9295"/>
    <cellStyle name="Normal 5 3 3 2 3 2 4" xfId="18086"/>
    <cellStyle name="Normal 5 3 3 2 3 3" xfId="4976"/>
    <cellStyle name="Normal 5 3 3 2 3 3 2" xfId="13815"/>
    <cellStyle name="Normal 5 3 3 2 3 3 2 2" xfId="24066"/>
    <cellStyle name="Normal 5 3 3 2 3 3 3" xfId="10236"/>
    <cellStyle name="Normal 5 3 3 2 3 3 4" xfId="19059"/>
    <cellStyle name="Normal 5 3 3 2 3 4" xfId="2130"/>
    <cellStyle name="Normal 5 3 3 2 3 4 2" xfId="11497"/>
    <cellStyle name="Normal 5 3 3 2 3 4 3" xfId="21501"/>
    <cellStyle name="Normal 5 3 3 2 3 5" xfId="6433"/>
    <cellStyle name="Normal 5 3 3 2 3 5 2" xfId="15260"/>
    <cellStyle name="Normal 5 3 3 2 3 5 3" xfId="25511"/>
    <cellStyle name="Normal 5 3 3 2 3 6" xfId="7879"/>
    <cellStyle name="Normal 5 3 3 2 3 6 2" xfId="20692"/>
    <cellStyle name="Normal 5 3 3 2 3 7" xfId="16494"/>
    <cellStyle name="Normal 5 3 3 2 4" xfId="3021"/>
    <cellStyle name="Normal 5 3 3 2 4 2" xfId="5399"/>
    <cellStyle name="Normal 5 3 3 2 4 2 2" xfId="14238"/>
    <cellStyle name="Normal 5 3 3 2 4 2 2 2" xfId="24489"/>
    <cellStyle name="Normal 5 3 3 2 4 2 3" xfId="10659"/>
    <cellStyle name="Normal 5 3 3 2 4 2 4" xfId="19482"/>
    <cellStyle name="Normal 5 3 3 2 4 3" xfId="6856"/>
    <cellStyle name="Normal 5 3 3 2 4 3 2" xfId="15683"/>
    <cellStyle name="Normal 5 3 3 2 4 3 3" xfId="25934"/>
    <cellStyle name="Normal 5 3 3 2 4 4" xfId="8302"/>
    <cellStyle name="Normal 5 3 3 2 4 4 2" xfId="22384"/>
    <cellStyle name="Normal 5 3 3 2 4 5" xfId="17377"/>
    <cellStyle name="Normal 5 3 3 2 5" xfId="4355"/>
    <cellStyle name="Normal 5 3 3 2 5 2" xfId="13195"/>
    <cellStyle name="Normal 5 3 3 2 5 2 2" xfId="23446"/>
    <cellStyle name="Normal 5 3 3 2 5 3" xfId="9616"/>
    <cellStyle name="Normal 5 3 3 2 5 4" xfId="18439"/>
    <cellStyle name="Normal 5 3 3 2 6" xfId="1627"/>
    <cellStyle name="Normal 5 3 3 2 6 2" xfId="11006"/>
    <cellStyle name="Normal 5 3 3 2 6 3" xfId="21010"/>
    <cellStyle name="Normal 5 3 3 2 7" xfId="5813"/>
    <cellStyle name="Normal 5 3 3 2 7 2" xfId="14640"/>
    <cellStyle name="Normal 5 3 3 2 7 3" xfId="24891"/>
    <cellStyle name="Normal 5 3 3 2 8" xfId="7257"/>
    <cellStyle name="Normal 5 3 3 2 8 2" xfId="19983"/>
    <cellStyle name="Normal 5 3 3 2 9" xfId="16003"/>
    <cellStyle name="Normal 5 3 3 2_Degree data" xfId="3833"/>
    <cellStyle name="Normal 5 3 3 3" xfId="434"/>
    <cellStyle name="Normal 5 3 3 3 2" xfId="2921"/>
    <cellStyle name="Normal 5 3 3 3 2 2" xfId="12211"/>
    <cellStyle name="Normal 5 3 3 3 2 2 2" xfId="22284"/>
    <cellStyle name="Normal 5 3 3 3 2 3" xfId="8522"/>
    <cellStyle name="Normal 5 3 3 3 2 4" xfId="17277"/>
    <cellStyle name="Normal 5 3 3 3 3" xfId="4626"/>
    <cellStyle name="Normal 5 3 3 3 3 2" xfId="13466"/>
    <cellStyle name="Normal 5 3 3 3 3 2 2" xfId="23717"/>
    <cellStyle name="Normal 5 3 3 3 3 3" xfId="9887"/>
    <cellStyle name="Normal 5 3 3 3 3 4" xfId="18710"/>
    <cellStyle name="Normal 5 3 3 3 4" xfId="2030"/>
    <cellStyle name="Normal 5 3 3 3 4 2" xfId="11397"/>
    <cellStyle name="Normal 5 3 3 3 4 3" xfId="21401"/>
    <cellStyle name="Normal 5 3 3 3 5" xfId="6084"/>
    <cellStyle name="Normal 5 3 3 3 5 2" xfId="14911"/>
    <cellStyle name="Normal 5 3 3 3 5 3" xfId="25162"/>
    <cellStyle name="Normal 5 3 3 3 6" xfId="7529"/>
    <cellStyle name="Normal 5 3 3 3 6 2" xfId="19883"/>
    <cellStyle name="Normal 5 3 3 3 7" xfId="16394"/>
    <cellStyle name="Normal 5 3 3 4" xfId="811"/>
    <cellStyle name="Normal 5 3 3 4 2" xfId="3297"/>
    <cellStyle name="Normal 5 3 3 4 2 2" xfId="12441"/>
    <cellStyle name="Normal 5 3 3 4 2 2 2" xfId="22660"/>
    <cellStyle name="Normal 5 3 3 4 2 3" xfId="8863"/>
    <cellStyle name="Normal 5 3 3 4 2 4" xfId="17653"/>
    <cellStyle name="Normal 5 3 3 4 3" xfId="4975"/>
    <cellStyle name="Normal 5 3 3 4 3 2" xfId="13814"/>
    <cellStyle name="Normal 5 3 3 4 3 2 2" xfId="24065"/>
    <cellStyle name="Normal 5 3 3 4 3 3" xfId="10235"/>
    <cellStyle name="Normal 5 3 3 4 3 4" xfId="19058"/>
    <cellStyle name="Normal 5 3 3 4 4" xfId="2406"/>
    <cellStyle name="Normal 5 3 3 4 4 2" xfId="11773"/>
    <cellStyle name="Normal 5 3 3 4 4 3" xfId="21777"/>
    <cellStyle name="Normal 5 3 3 4 5" xfId="6432"/>
    <cellStyle name="Normal 5 3 3 4 5 2" xfId="15259"/>
    <cellStyle name="Normal 5 3 3 4 5 3" xfId="25510"/>
    <cellStyle name="Normal 5 3 3 4 6" xfId="7878"/>
    <cellStyle name="Normal 5 3 3 4 6 2" xfId="20259"/>
    <cellStyle name="Normal 5 3 3 4 7" xfId="16770"/>
    <cellStyle name="Normal 5 3 3 5" xfId="1206"/>
    <cellStyle name="Normal 5 3 3 5 2" xfId="3636"/>
    <cellStyle name="Normal 5 3 3 5 2 2" xfId="12774"/>
    <cellStyle name="Normal 5 3 3 5 2 2 2" xfId="22993"/>
    <cellStyle name="Normal 5 3 3 5 2 3" xfId="9195"/>
    <cellStyle name="Normal 5 3 3 5 2 4" xfId="17986"/>
    <cellStyle name="Normal 5 3 3 5 3" xfId="5299"/>
    <cellStyle name="Normal 5 3 3 5 3 2" xfId="14138"/>
    <cellStyle name="Normal 5 3 3 5 3 2 2" xfId="24389"/>
    <cellStyle name="Normal 5 3 3 5 3 3" xfId="10559"/>
    <cellStyle name="Normal 5 3 3 5 3 4" xfId="19382"/>
    <cellStyle name="Normal 5 3 3 5 4" xfId="1810"/>
    <cellStyle name="Normal 5 3 3 5 4 2" xfId="11180"/>
    <cellStyle name="Normal 5 3 3 5 4 3" xfId="21184"/>
    <cellStyle name="Normal 5 3 3 5 5" xfId="6756"/>
    <cellStyle name="Normal 5 3 3 5 5 2" xfId="15583"/>
    <cellStyle name="Normal 5 3 3 5 5 3" xfId="25834"/>
    <cellStyle name="Normal 5 3 3 5 6" xfId="8202"/>
    <cellStyle name="Normal 5 3 3 5 6 2" xfId="20592"/>
    <cellStyle name="Normal 5 3 3 5 7" xfId="16177"/>
    <cellStyle name="Normal 5 3 3 6" xfId="2704"/>
    <cellStyle name="Normal 5 3 3 6 2" xfId="12023"/>
    <cellStyle name="Normal 5 3 3 6 2 2" xfId="22067"/>
    <cellStyle name="Normal 5 3 3 6 3" xfId="8565"/>
    <cellStyle name="Normal 5 3 3 6 4" xfId="17060"/>
    <cellStyle name="Normal 5 3 3 7" xfId="4255"/>
    <cellStyle name="Normal 5 3 3 7 2" xfId="13095"/>
    <cellStyle name="Normal 5 3 3 7 2 2" xfId="23346"/>
    <cellStyle name="Normal 5 3 3 7 3" xfId="9516"/>
    <cellStyle name="Normal 5 3 3 7 4" xfId="18339"/>
    <cellStyle name="Normal 5 3 3 8" xfId="1527"/>
    <cellStyle name="Normal 5 3 3 8 2" xfId="10906"/>
    <cellStyle name="Normal 5 3 3 8 3" xfId="20910"/>
    <cellStyle name="Normal 5 3 3 9" xfId="5713"/>
    <cellStyle name="Normal 5 3 3 9 2" xfId="14540"/>
    <cellStyle name="Normal 5 3 3 9 3" xfId="24791"/>
    <cellStyle name="Normal 5 3 3_Degree data" xfId="3853"/>
    <cellStyle name="Normal 5 3 4" xfId="238"/>
    <cellStyle name="Normal 5 3 4 10" xfId="7079"/>
    <cellStyle name="Normal 5 3 4 10 2" xfId="19693"/>
    <cellStyle name="Normal 5 3 4 11" xfId="15825"/>
    <cellStyle name="Normal 5 3 4 2" xfId="561"/>
    <cellStyle name="Normal 5 3 4 2 2" xfId="814"/>
    <cellStyle name="Normal 5 3 4 2 2 2" xfId="3300"/>
    <cellStyle name="Normal 5 3 4 2 2 2 2" xfId="12444"/>
    <cellStyle name="Normal 5 3 4 2 2 2 2 2" xfId="22663"/>
    <cellStyle name="Normal 5 3 4 2 2 2 3" xfId="8866"/>
    <cellStyle name="Normal 5 3 4 2 2 2 4" xfId="17656"/>
    <cellStyle name="Normal 5 3 4 2 2 3" xfId="4629"/>
    <cellStyle name="Normal 5 3 4 2 2 3 2" xfId="13469"/>
    <cellStyle name="Normal 5 3 4 2 2 3 2 2" xfId="23720"/>
    <cellStyle name="Normal 5 3 4 2 2 3 3" xfId="9890"/>
    <cellStyle name="Normal 5 3 4 2 2 3 4" xfId="18713"/>
    <cellStyle name="Normal 5 3 4 2 2 4" xfId="2409"/>
    <cellStyle name="Normal 5 3 4 2 2 4 2" xfId="11776"/>
    <cellStyle name="Normal 5 3 4 2 2 4 3" xfId="21780"/>
    <cellStyle name="Normal 5 3 4 2 2 5" xfId="6087"/>
    <cellStyle name="Normal 5 3 4 2 2 5 2" xfId="14914"/>
    <cellStyle name="Normal 5 3 4 2 2 5 3" xfId="25165"/>
    <cellStyle name="Normal 5 3 4 2 2 6" xfId="7532"/>
    <cellStyle name="Normal 5 3 4 2 2 6 2" xfId="20262"/>
    <cellStyle name="Normal 5 3 4 2 2 7" xfId="16773"/>
    <cellStyle name="Normal 5 3 4 2 3" xfId="1333"/>
    <cellStyle name="Normal 5 3 4 2 3 2" xfId="3763"/>
    <cellStyle name="Normal 5 3 4 2 3 2 2" xfId="12901"/>
    <cellStyle name="Normal 5 3 4 2 3 2 2 2" xfId="23120"/>
    <cellStyle name="Normal 5 3 4 2 3 2 3" xfId="9322"/>
    <cellStyle name="Normal 5 3 4 2 3 2 4" xfId="18113"/>
    <cellStyle name="Normal 5 3 4 2 3 3" xfId="4978"/>
    <cellStyle name="Normal 5 3 4 2 3 3 2" xfId="13817"/>
    <cellStyle name="Normal 5 3 4 2 3 3 2 2" xfId="24068"/>
    <cellStyle name="Normal 5 3 4 2 3 3 3" xfId="10238"/>
    <cellStyle name="Normal 5 3 4 2 3 3 4" xfId="19061"/>
    <cellStyle name="Normal 5 3 4 2 3 4" xfId="2157"/>
    <cellStyle name="Normal 5 3 4 2 3 4 2" xfId="11524"/>
    <cellStyle name="Normal 5 3 4 2 3 4 3" xfId="21528"/>
    <cellStyle name="Normal 5 3 4 2 3 5" xfId="6435"/>
    <cellStyle name="Normal 5 3 4 2 3 5 2" xfId="15262"/>
    <cellStyle name="Normal 5 3 4 2 3 5 3" xfId="25513"/>
    <cellStyle name="Normal 5 3 4 2 3 6" xfId="7881"/>
    <cellStyle name="Normal 5 3 4 2 3 6 2" xfId="20719"/>
    <cellStyle name="Normal 5 3 4 2 3 7" xfId="16521"/>
    <cellStyle name="Normal 5 3 4 2 4" xfId="3048"/>
    <cellStyle name="Normal 5 3 4 2 4 2" xfId="5426"/>
    <cellStyle name="Normal 5 3 4 2 4 2 2" xfId="14265"/>
    <cellStyle name="Normal 5 3 4 2 4 2 2 2" xfId="24516"/>
    <cellStyle name="Normal 5 3 4 2 4 2 3" xfId="10686"/>
    <cellStyle name="Normal 5 3 4 2 4 2 4" xfId="19509"/>
    <cellStyle name="Normal 5 3 4 2 4 3" xfId="6883"/>
    <cellStyle name="Normal 5 3 4 2 4 3 2" xfId="15710"/>
    <cellStyle name="Normal 5 3 4 2 4 3 3" xfId="25961"/>
    <cellStyle name="Normal 5 3 4 2 4 4" xfId="8329"/>
    <cellStyle name="Normal 5 3 4 2 4 4 2" xfId="22411"/>
    <cellStyle name="Normal 5 3 4 2 4 5" xfId="17404"/>
    <cellStyle name="Normal 5 3 4 2 5" xfId="4382"/>
    <cellStyle name="Normal 5 3 4 2 5 2" xfId="13222"/>
    <cellStyle name="Normal 5 3 4 2 5 2 2" xfId="23473"/>
    <cellStyle name="Normal 5 3 4 2 5 3" xfId="9643"/>
    <cellStyle name="Normal 5 3 4 2 5 4" xfId="18466"/>
    <cellStyle name="Normal 5 3 4 2 6" xfId="1654"/>
    <cellStyle name="Normal 5 3 4 2 6 2" xfId="11033"/>
    <cellStyle name="Normal 5 3 4 2 6 3" xfId="21037"/>
    <cellStyle name="Normal 5 3 4 2 7" xfId="5840"/>
    <cellStyle name="Normal 5 3 4 2 7 2" xfId="14667"/>
    <cellStyle name="Normal 5 3 4 2 7 3" xfId="24918"/>
    <cellStyle name="Normal 5 3 4 2 8" xfId="7284"/>
    <cellStyle name="Normal 5 3 4 2 8 2" xfId="20010"/>
    <cellStyle name="Normal 5 3 4 2 9" xfId="16030"/>
    <cellStyle name="Normal 5 3 4 2_Degree data" xfId="3922"/>
    <cellStyle name="Normal 5 3 4 3" xfId="356"/>
    <cellStyle name="Normal 5 3 4 3 2" xfId="2843"/>
    <cellStyle name="Normal 5 3 4 3 2 2" xfId="12133"/>
    <cellStyle name="Normal 5 3 4 3 2 2 2" xfId="22206"/>
    <cellStyle name="Normal 5 3 4 3 2 3" xfId="8538"/>
    <cellStyle name="Normal 5 3 4 3 2 4" xfId="17199"/>
    <cellStyle name="Normal 5 3 4 3 3" xfId="4628"/>
    <cellStyle name="Normal 5 3 4 3 3 2" xfId="13468"/>
    <cellStyle name="Normal 5 3 4 3 3 2 2" xfId="23719"/>
    <cellStyle name="Normal 5 3 4 3 3 3" xfId="9889"/>
    <cellStyle name="Normal 5 3 4 3 3 4" xfId="18712"/>
    <cellStyle name="Normal 5 3 4 3 4" xfId="1952"/>
    <cellStyle name="Normal 5 3 4 3 4 2" xfId="11319"/>
    <cellStyle name="Normal 5 3 4 3 4 3" xfId="21323"/>
    <cellStyle name="Normal 5 3 4 3 5" xfId="6086"/>
    <cellStyle name="Normal 5 3 4 3 5 2" xfId="14913"/>
    <cellStyle name="Normal 5 3 4 3 5 3" xfId="25164"/>
    <cellStyle name="Normal 5 3 4 3 6" xfId="7531"/>
    <cellStyle name="Normal 5 3 4 3 6 2" xfId="19805"/>
    <cellStyle name="Normal 5 3 4 3 7" xfId="16316"/>
    <cellStyle name="Normal 5 3 4 4" xfId="813"/>
    <cellStyle name="Normal 5 3 4 4 2" xfId="3299"/>
    <cellStyle name="Normal 5 3 4 4 2 2" xfId="12443"/>
    <cellStyle name="Normal 5 3 4 4 2 2 2" xfId="22662"/>
    <cellStyle name="Normal 5 3 4 4 2 3" xfId="8865"/>
    <cellStyle name="Normal 5 3 4 4 2 4" xfId="17655"/>
    <cellStyle name="Normal 5 3 4 4 3" xfId="4977"/>
    <cellStyle name="Normal 5 3 4 4 3 2" xfId="13816"/>
    <cellStyle name="Normal 5 3 4 4 3 2 2" xfId="24067"/>
    <cellStyle name="Normal 5 3 4 4 3 3" xfId="10237"/>
    <cellStyle name="Normal 5 3 4 4 3 4" xfId="19060"/>
    <cellStyle name="Normal 5 3 4 4 4" xfId="2408"/>
    <cellStyle name="Normal 5 3 4 4 4 2" xfId="11775"/>
    <cellStyle name="Normal 5 3 4 4 4 3" xfId="21779"/>
    <cellStyle name="Normal 5 3 4 4 5" xfId="6434"/>
    <cellStyle name="Normal 5 3 4 4 5 2" xfId="15261"/>
    <cellStyle name="Normal 5 3 4 4 5 3" xfId="25512"/>
    <cellStyle name="Normal 5 3 4 4 6" xfId="7880"/>
    <cellStyle name="Normal 5 3 4 4 6 2" xfId="20261"/>
    <cellStyle name="Normal 5 3 4 4 7" xfId="16772"/>
    <cellStyle name="Normal 5 3 4 5" xfId="1128"/>
    <cellStyle name="Normal 5 3 4 5 2" xfId="3558"/>
    <cellStyle name="Normal 5 3 4 5 2 2" xfId="12696"/>
    <cellStyle name="Normal 5 3 4 5 2 2 2" xfId="22915"/>
    <cellStyle name="Normal 5 3 4 5 2 3" xfId="9117"/>
    <cellStyle name="Normal 5 3 4 5 2 4" xfId="17908"/>
    <cellStyle name="Normal 5 3 4 5 3" xfId="5221"/>
    <cellStyle name="Normal 5 3 4 5 3 2" xfId="14060"/>
    <cellStyle name="Normal 5 3 4 5 3 2 2" xfId="24311"/>
    <cellStyle name="Normal 5 3 4 5 3 3" xfId="10481"/>
    <cellStyle name="Normal 5 3 4 5 3 4" xfId="19304"/>
    <cellStyle name="Normal 5 3 4 5 4" xfId="1837"/>
    <cellStyle name="Normal 5 3 4 5 4 2" xfId="11207"/>
    <cellStyle name="Normal 5 3 4 5 4 3" xfId="21211"/>
    <cellStyle name="Normal 5 3 4 5 5" xfId="6678"/>
    <cellStyle name="Normal 5 3 4 5 5 2" xfId="15505"/>
    <cellStyle name="Normal 5 3 4 5 5 3" xfId="25756"/>
    <cellStyle name="Normal 5 3 4 5 6" xfId="8124"/>
    <cellStyle name="Normal 5 3 4 5 6 2" xfId="20514"/>
    <cellStyle name="Normal 5 3 4 5 7" xfId="16204"/>
    <cellStyle name="Normal 5 3 4 6" xfId="2731"/>
    <cellStyle name="Normal 5 3 4 6 2" xfId="12050"/>
    <cellStyle name="Normal 5 3 4 6 2 2" xfId="22094"/>
    <cellStyle name="Normal 5 3 4 6 3" xfId="8645"/>
    <cellStyle name="Normal 5 3 4 6 4" xfId="17087"/>
    <cellStyle name="Normal 5 3 4 7" xfId="4177"/>
    <cellStyle name="Normal 5 3 4 7 2" xfId="13017"/>
    <cellStyle name="Normal 5 3 4 7 2 2" xfId="23268"/>
    <cellStyle name="Normal 5 3 4 7 3" xfId="9438"/>
    <cellStyle name="Normal 5 3 4 7 4" xfId="18261"/>
    <cellStyle name="Normal 5 3 4 8" xfId="1449"/>
    <cellStyle name="Normal 5 3 4 8 2" xfId="10828"/>
    <cellStyle name="Normal 5 3 4 8 3" xfId="20832"/>
    <cellStyle name="Normal 5 3 4 9" xfId="5635"/>
    <cellStyle name="Normal 5 3 4 9 2" xfId="14462"/>
    <cellStyle name="Normal 5 3 4 9 3" xfId="24713"/>
    <cellStyle name="Normal 5 3 4_Degree data" xfId="3881"/>
    <cellStyle name="Normal 5 3 5" xfId="456"/>
    <cellStyle name="Normal 5 3 5 2" xfId="815"/>
    <cellStyle name="Normal 5 3 5 2 2" xfId="3301"/>
    <cellStyle name="Normal 5 3 5 2 2 2" xfId="12445"/>
    <cellStyle name="Normal 5 3 5 2 2 2 2" xfId="22664"/>
    <cellStyle name="Normal 5 3 5 2 2 3" xfId="8867"/>
    <cellStyle name="Normal 5 3 5 2 2 4" xfId="17657"/>
    <cellStyle name="Normal 5 3 5 2 3" xfId="4630"/>
    <cellStyle name="Normal 5 3 5 2 3 2" xfId="13470"/>
    <cellStyle name="Normal 5 3 5 2 3 2 2" xfId="23721"/>
    <cellStyle name="Normal 5 3 5 2 3 3" xfId="9891"/>
    <cellStyle name="Normal 5 3 5 2 3 4" xfId="18714"/>
    <cellStyle name="Normal 5 3 5 2 4" xfId="2410"/>
    <cellStyle name="Normal 5 3 5 2 4 2" xfId="11777"/>
    <cellStyle name="Normal 5 3 5 2 4 3" xfId="21781"/>
    <cellStyle name="Normal 5 3 5 2 5" xfId="6088"/>
    <cellStyle name="Normal 5 3 5 2 5 2" xfId="14915"/>
    <cellStyle name="Normal 5 3 5 2 5 3" xfId="25166"/>
    <cellStyle name="Normal 5 3 5 2 6" xfId="7533"/>
    <cellStyle name="Normal 5 3 5 2 6 2" xfId="20263"/>
    <cellStyle name="Normal 5 3 5 2 7" xfId="16774"/>
    <cellStyle name="Normal 5 3 5 3" xfId="1228"/>
    <cellStyle name="Normal 5 3 5 3 2" xfId="3658"/>
    <cellStyle name="Normal 5 3 5 3 2 2" xfId="12796"/>
    <cellStyle name="Normal 5 3 5 3 2 2 2" xfId="23015"/>
    <cellStyle name="Normal 5 3 5 3 2 3" xfId="9217"/>
    <cellStyle name="Normal 5 3 5 3 2 4" xfId="18008"/>
    <cellStyle name="Normal 5 3 5 3 3" xfId="4979"/>
    <cellStyle name="Normal 5 3 5 3 3 2" xfId="13818"/>
    <cellStyle name="Normal 5 3 5 3 3 2 2" xfId="24069"/>
    <cellStyle name="Normal 5 3 5 3 3 3" xfId="10239"/>
    <cellStyle name="Normal 5 3 5 3 3 4" xfId="19062"/>
    <cellStyle name="Normal 5 3 5 3 4" xfId="2052"/>
    <cellStyle name="Normal 5 3 5 3 4 2" xfId="11419"/>
    <cellStyle name="Normal 5 3 5 3 4 3" xfId="21423"/>
    <cellStyle name="Normal 5 3 5 3 5" xfId="6436"/>
    <cellStyle name="Normal 5 3 5 3 5 2" xfId="15263"/>
    <cellStyle name="Normal 5 3 5 3 5 3" xfId="25514"/>
    <cellStyle name="Normal 5 3 5 3 6" xfId="7882"/>
    <cellStyle name="Normal 5 3 5 3 6 2" xfId="20614"/>
    <cellStyle name="Normal 5 3 5 3 7" xfId="16416"/>
    <cellStyle name="Normal 5 3 5 4" xfId="2943"/>
    <cellStyle name="Normal 5 3 5 4 2" xfId="5321"/>
    <cellStyle name="Normal 5 3 5 4 2 2" xfId="14160"/>
    <cellStyle name="Normal 5 3 5 4 2 2 2" xfId="24411"/>
    <cellStyle name="Normal 5 3 5 4 2 3" xfId="10581"/>
    <cellStyle name="Normal 5 3 5 4 2 4" xfId="19404"/>
    <cellStyle name="Normal 5 3 5 4 3" xfId="6778"/>
    <cellStyle name="Normal 5 3 5 4 3 2" xfId="15605"/>
    <cellStyle name="Normal 5 3 5 4 3 3" xfId="25856"/>
    <cellStyle name="Normal 5 3 5 4 4" xfId="8224"/>
    <cellStyle name="Normal 5 3 5 4 4 2" xfId="22306"/>
    <cellStyle name="Normal 5 3 5 4 5" xfId="17299"/>
    <cellStyle name="Normal 5 3 5 5" xfId="4277"/>
    <cellStyle name="Normal 5 3 5 5 2" xfId="13117"/>
    <cellStyle name="Normal 5 3 5 5 2 2" xfId="23368"/>
    <cellStyle name="Normal 5 3 5 5 3" xfId="9538"/>
    <cellStyle name="Normal 5 3 5 5 4" xfId="18361"/>
    <cellStyle name="Normal 5 3 5 6" xfId="1549"/>
    <cellStyle name="Normal 5 3 5 6 2" xfId="10928"/>
    <cellStyle name="Normal 5 3 5 6 3" xfId="20932"/>
    <cellStyle name="Normal 5 3 5 7" xfId="5735"/>
    <cellStyle name="Normal 5 3 5 7 2" xfId="14562"/>
    <cellStyle name="Normal 5 3 5 7 3" xfId="24813"/>
    <cellStyle name="Normal 5 3 5 8" xfId="7179"/>
    <cellStyle name="Normal 5 3 5 8 2" xfId="19905"/>
    <cellStyle name="Normal 5 3 5 9" xfId="15925"/>
    <cellStyle name="Normal 5 3 5_Degree data" xfId="3885"/>
    <cellStyle name="Normal 5 3 6" xfId="309"/>
    <cellStyle name="Normal 5 3 6 2" xfId="816"/>
    <cellStyle name="Normal 5 3 6 2 2" xfId="3302"/>
    <cellStyle name="Normal 5 3 6 2 2 2" xfId="12446"/>
    <cellStyle name="Normal 5 3 6 2 2 2 2" xfId="22665"/>
    <cellStyle name="Normal 5 3 6 2 2 3" xfId="8868"/>
    <cellStyle name="Normal 5 3 6 2 2 4" xfId="17658"/>
    <cellStyle name="Normal 5 3 6 2 3" xfId="4631"/>
    <cellStyle name="Normal 5 3 6 2 3 2" xfId="13471"/>
    <cellStyle name="Normal 5 3 6 2 3 2 2" xfId="23722"/>
    <cellStyle name="Normal 5 3 6 2 3 3" xfId="9892"/>
    <cellStyle name="Normal 5 3 6 2 3 4" xfId="18715"/>
    <cellStyle name="Normal 5 3 6 2 4" xfId="2411"/>
    <cellStyle name="Normal 5 3 6 2 4 2" xfId="11778"/>
    <cellStyle name="Normal 5 3 6 2 4 3" xfId="21782"/>
    <cellStyle name="Normal 5 3 6 2 5" xfId="6089"/>
    <cellStyle name="Normal 5 3 6 2 5 2" xfId="14916"/>
    <cellStyle name="Normal 5 3 6 2 5 3" xfId="25167"/>
    <cellStyle name="Normal 5 3 6 2 6" xfId="7534"/>
    <cellStyle name="Normal 5 3 6 2 6 2" xfId="20264"/>
    <cellStyle name="Normal 5 3 6 2 7" xfId="16775"/>
    <cellStyle name="Normal 5 3 6 3" xfId="1081"/>
    <cellStyle name="Normal 5 3 6 3 2" xfId="3511"/>
    <cellStyle name="Normal 5 3 6 3 2 2" xfId="12649"/>
    <cellStyle name="Normal 5 3 6 3 2 2 2" xfId="22868"/>
    <cellStyle name="Normal 5 3 6 3 2 3" xfId="9071"/>
    <cellStyle name="Normal 5 3 6 3 2 4" xfId="17861"/>
    <cellStyle name="Normal 5 3 6 3 3" xfId="4980"/>
    <cellStyle name="Normal 5 3 6 3 3 2" xfId="13819"/>
    <cellStyle name="Normal 5 3 6 3 3 2 2" xfId="24070"/>
    <cellStyle name="Normal 5 3 6 3 3 3" xfId="10240"/>
    <cellStyle name="Normal 5 3 6 3 3 4" xfId="19063"/>
    <cellStyle name="Normal 5 3 6 3 4" xfId="1715"/>
    <cellStyle name="Normal 5 3 6 3 4 2" xfId="11094"/>
    <cellStyle name="Normal 5 3 6 3 4 3" xfId="21098"/>
    <cellStyle name="Normal 5 3 6 3 5" xfId="6437"/>
    <cellStyle name="Normal 5 3 6 3 5 2" xfId="15264"/>
    <cellStyle name="Normal 5 3 6 3 5 3" xfId="25515"/>
    <cellStyle name="Normal 5 3 6 3 6" xfId="7883"/>
    <cellStyle name="Normal 5 3 6 3 6 2" xfId="20467"/>
    <cellStyle name="Normal 5 3 6 3 7" xfId="16091"/>
    <cellStyle name="Normal 5 3 6 4" xfId="2796"/>
    <cellStyle name="Normal 5 3 6 4 2" xfId="5174"/>
    <cellStyle name="Normal 5 3 6 4 2 2" xfId="14013"/>
    <cellStyle name="Normal 5 3 6 4 2 2 2" xfId="24264"/>
    <cellStyle name="Normal 5 3 6 4 2 3" xfId="10434"/>
    <cellStyle name="Normal 5 3 6 4 2 4" xfId="19257"/>
    <cellStyle name="Normal 5 3 6 4 3" xfId="6631"/>
    <cellStyle name="Normal 5 3 6 4 3 2" xfId="15458"/>
    <cellStyle name="Normal 5 3 6 4 3 3" xfId="25709"/>
    <cellStyle name="Normal 5 3 6 4 4" xfId="8077"/>
    <cellStyle name="Normal 5 3 6 4 4 2" xfId="22159"/>
    <cellStyle name="Normal 5 3 6 4 5" xfId="17152"/>
    <cellStyle name="Normal 5 3 6 5" xfId="4128"/>
    <cellStyle name="Normal 5 3 6 5 2" xfId="12968"/>
    <cellStyle name="Normal 5 3 6 5 2 2" xfId="23219"/>
    <cellStyle name="Normal 5 3 6 5 3" xfId="9389"/>
    <cellStyle name="Normal 5 3 6 5 4" xfId="18212"/>
    <cellStyle name="Normal 5 3 6 6" xfId="1905"/>
    <cellStyle name="Normal 5 3 6 6 2" xfId="11272"/>
    <cellStyle name="Normal 5 3 6 6 3" xfId="21276"/>
    <cellStyle name="Normal 5 3 6 7" xfId="5588"/>
    <cellStyle name="Normal 5 3 6 7 2" xfId="14415"/>
    <cellStyle name="Normal 5 3 6 7 3" xfId="24666"/>
    <cellStyle name="Normal 5 3 6 8" xfId="7032"/>
    <cellStyle name="Normal 5 3 6 8 2" xfId="19758"/>
    <cellStyle name="Normal 5 3 6 9" xfId="16269"/>
    <cellStyle name="Normal 5 3 6_Degree data" xfId="3913"/>
    <cellStyle name="Normal 5 3 7" xfId="805"/>
    <cellStyle name="Normal 5 3 7 2" xfId="3291"/>
    <cellStyle name="Normal 5 3 7 2 2" xfId="12435"/>
    <cellStyle name="Normal 5 3 7 2 2 2" xfId="22654"/>
    <cellStyle name="Normal 5 3 7 2 3" xfId="8857"/>
    <cellStyle name="Normal 5 3 7 2 4" xfId="17647"/>
    <cellStyle name="Normal 5 3 7 3" xfId="4620"/>
    <cellStyle name="Normal 5 3 7 3 2" xfId="13460"/>
    <cellStyle name="Normal 5 3 7 3 2 2" xfId="23711"/>
    <cellStyle name="Normal 5 3 7 3 3" xfId="9881"/>
    <cellStyle name="Normal 5 3 7 3 4" xfId="18704"/>
    <cellStyle name="Normal 5 3 7 4" xfId="2400"/>
    <cellStyle name="Normal 5 3 7 4 2" xfId="11767"/>
    <cellStyle name="Normal 5 3 7 4 3" xfId="21771"/>
    <cellStyle name="Normal 5 3 7 5" xfId="6078"/>
    <cellStyle name="Normal 5 3 7 5 2" xfId="14905"/>
    <cellStyle name="Normal 5 3 7 5 3" xfId="25156"/>
    <cellStyle name="Normal 5 3 7 6" xfId="7523"/>
    <cellStyle name="Normal 5 3 7 6 2" xfId="20253"/>
    <cellStyle name="Normal 5 3 7 7" xfId="16764"/>
    <cellStyle name="Normal 5 3 8" xfId="1061"/>
    <cellStyle name="Normal 5 3 8 2" xfId="3491"/>
    <cellStyle name="Normal 5 3 8 2 2" xfId="12629"/>
    <cellStyle name="Normal 5 3 8 2 2 2" xfId="22848"/>
    <cellStyle name="Normal 5 3 8 2 3" xfId="9051"/>
    <cellStyle name="Normal 5 3 8 2 4" xfId="17841"/>
    <cellStyle name="Normal 5 3 8 3" xfId="4969"/>
    <cellStyle name="Normal 5 3 8 3 2" xfId="13808"/>
    <cellStyle name="Normal 5 3 8 3 2 2" xfId="24059"/>
    <cellStyle name="Normal 5 3 8 3 3" xfId="10229"/>
    <cellStyle name="Normal 5 3 8 3 4" xfId="19052"/>
    <cellStyle name="Normal 5 3 8 4" xfId="1725"/>
    <cellStyle name="Normal 5 3 8 4 2" xfId="11101"/>
    <cellStyle name="Normal 5 3 8 4 3" xfId="21105"/>
    <cellStyle name="Normal 5 3 8 5" xfId="6426"/>
    <cellStyle name="Normal 5 3 8 5 2" xfId="15253"/>
    <cellStyle name="Normal 5 3 8 5 3" xfId="25504"/>
    <cellStyle name="Normal 5 3 8 6" xfId="7872"/>
    <cellStyle name="Normal 5 3 8 6 2" xfId="20447"/>
    <cellStyle name="Normal 5 3 8 7" xfId="16098"/>
    <cellStyle name="Normal 5 3 9" xfId="2623"/>
    <cellStyle name="Normal 5 3 9 2" xfId="5154"/>
    <cellStyle name="Normal 5 3 9 2 2" xfId="13993"/>
    <cellStyle name="Normal 5 3 9 2 2 2" xfId="24244"/>
    <cellStyle name="Normal 5 3 9 2 3" xfId="10414"/>
    <cellStyle name="Normal 5 3 9 2 4" xfId="19237"/>
    <cellStyle name="Normal 5 3 9 3" xfId="6611"/>
    <cellStyle name="Normal 5 3 9 3 2" xfId="15438"/>
    <cellStyle name="Normal 5 3 9 3 3" xfId="25689"/>
    <cellStyle name="Normal 5 3 9 4" xfId="8057"/>
    <cellStyle name="Normal 5 3 9 4 2" xfId="21988"/>
    <cellStyle name="Normal 5 3 9 5" xfId="16981"/>
    <cellStyle name="Normal 5 3_Degree data" xfId="3902"/>
    <cellStyle name="Normal 5 4" xfId="155"/>
    <cellStyle name="Normal 5 4 10" xfId="1424"/>
    <cellStyle name="Normal 5 4 10 2" xfId="10803"/>
    <cellStyle name="Normal 5 4 10 3" xfId="20807"/>
    <cellStyle name="Normal 5 4 11" xfId="5535"/>
    <cellStyle name="Normal 5 4 11 2" xfId="14364"/>
    <cellStyle name="Normal 5 4 11 3" xfId="24615"/>
    <cellStyle name="Normal 5 4 12" xfId="6978"/>
    <cellStyle name="Normal 5 4 12 2" xfId="19622"/>
    <cellStyle name="Normal 5 4 13" xfId="15800"/>
    <cellStyle name="Normal 5 4 2" xfId="205"/>
    <cellStyle name="Normal 5 4 2 10" xfId="7156"/>
    <cellStyle name="Normal 5 4 2 10 2" xfId="19665"/>
    <cellStyle name="Normal 5 4 2 11" xfId="15902"/>
    <cellStyle name="Normal 5 4 2 2" xfId="533"/>
    <cellStyle name="Normal 5 4 2 2 2" xfId="819"/>
    <cellStyle name="Normal 5 4 2 2 2 2" xfId="3305"/>
    <cellStyle name="Normal 5 4 2 2 2 2 2" xfId="12449"/>
    <cellStyle name="Normal 5 4 2 2 2 2 2 2" xfId="22668"/>
    <cellStyle name="Normal 5 4 2 2 2 2 3" xfId="8871"/>
    <cellStyle name="Normal 5 4 2 2 2 2 4" xfId="17661"/>
    <cellStyle name="Normal 5 4 2 2 2 3" xfId="4634"/>
    <cellStyle name="Normal 5 4 2 2 2 3 2" xfId="13474"/>
    <cellStyle name="Normal 5 4 2 2 2 3 2 2" xfId="23725"/>
    <cellStyle name="Normal 5 4 2 2 2 3 3" xfId="9895"/>
    <cellStyle name="Normal 5 4 2 2 2 3 4" xfId="18718"/>
    <cellStyle name="Normal 5 4 2 2 2 4" xfId="2414"/>
    <cellStyle name="Normal 5 4 2 2 2 4 2" xfId="11781"/>
    <cellStyle name="Normal 5 4 2 2 2 4 3" xfId="21785"/>
    <cellStyle name="Normal 5 4 2 2 2 5" xfId="6092"/>
    <cellStyle name="Normal 5 4 2 2 2 5 2" xfId="14919"/>
    <cellStyle name="Normal 5 4 2 2 2 5 3" xfId="25170"/>
    <cellStyle name="Normal 5 4 2 2 2 6" xfId="7537"/>
    <cellStyle name="Normal 5 4 2 2 2 6 2" xfId="20267"/>
    <cellStyle name="Normal 5 4 2 2 2 7" xfId="16778"/>
    <cellStyle name="Normal 5 4 2 2 3" xfId="1305"/>
    <cellStyle name="Normal 5 4 2 2 3 2" xfId="3735"/>
    <cellStyle name="Normal 5 4 2 2 3 2 2" xfId="12873"/>
    <cellStyle name="Normal 5 4 2 2 3 2 2 2" xfId="23092"/>
    <cellStyle name="Normal 5 4 2 2 3 2 3" xfId="9294"/>
    <cellStyle name="Normal 5 4 2 2 3 2 4" xfId="18085"/>
    <cellStyle name="Normal 5 4 2 2 3 3" xfId="4983"/>
    <cellStyle name="Normal 5 4 2 2 3 3 2" xfId="13822"/>
    <cellStyle name="Normal 5 4 2 2 3 3 2 2" xfId="24073"/>
    <cellStyle name="Normal 5 4 2 2 3 3 3" xfId="10243"/>
    <cellStyle name="Normal 5 4 2 2 3 3 4" xfId="19066"/>
    <cellStyle name="Normal 5 4 2 2 3 4" xfId="2129"/>
    <cellStyle name="Normal 5 4 2 2 3 4 2" xfId="11496"/>
    <cellStyle name="Normal 5 4 2 2 3 4 3" xfId="21500"/>
    <cellStyle name="Normal 5 4 2 2 3 5" xfId="6440"/>
    <cellStyle name="Normal 5 4 2 2 3 5 2" xfId="15267"/>
    <cellStyle name="Normal 5 4 2 2 3 5 3" xfId="25518"/>
    <cellStyle name="Normal 5 4 2 2 3 6" xfId="7886"/>
    <cellStyle name="Normal 5 4 2 2 3 6 2" xfId="20691"/>
    <cellStyle name="Normal 5 4 2 2 3 7" xfId="16493"/>
    <cellStyle name="Normal 5 4 2 2 4" xfId="3020"/>
    <cellStyle name="Normal 5 4 2 2 4 2" xfId="5398"/>
    <cellStyle name="Normal 5 4 2 2 4 2 2" xfId="14237"/>
    <cellStyle name="Normal 5 4 2 2 4 2 2 2" xfId="24488"/>
    <cellStyle name="Normal 5 4 2 2 4 2 3" xfId="10658"/>
    <cellStyle name="Normal 5 4 2 2 4 2 4" xfId="19481"/>
    <cellStyle name="Normal 5 4 2 2 4 3" xfId="6855"/>
    <cellStyle name="Normal 5 4 2 2 4 3 2" xfId="15682"/>
    <cellStyle name="Normal 5 4 2 2 4 3 3" xfId="25933"/>
    <cellStyle name="Normal 5 4 2 2 4 4" xfId="8301"/>
    <cellStyle name="Normal 5 4 2 2 4 4 2" xfId="22383"/>
    <cellStyle name="Normal 5 4 2 2 4 5" xfId="17376"/>
    <cellStyle name="Normal 5 4 2 2 5" xfId="4354"/>
    <cellStyle name="Normal 5 4 2 2 5 2" xfId="13194"/>
    <cellStyle name="Normal 5 4 2 2 5 2 2" xfId="23445"/>
    <cellStyle name="Normal 5 4 2 2 5 3" xfId="9615"/>
    <cellStyle name="Normal 5 4 2 2 5 4" xfId="18438"/>
    <cellStyle name="Normal 5 4 2 2 6" xfId="1626"/>
    <cellStyle name="Normal 5 4 2 2 6 2" xfId="11005"/>
    <cellStyle name="Normal 5 4 2 2 6 3" xfId="21009"/>
    <cellStyle name="Normal 5 4 2 2 7" xfId="5812"/>
    <cellStyle name="Normal 5 4 2 2 7 2" xfId="14639"/>
    <cellStyle name="Normal 5 4 2 2 7 3" xfId="24890"/>
    <cellStyle name="Normal 5 4 2 2 8" xfId="7256"/>
    <cellStyle name="Normal 5 4 2 2 8 2" xfId="19982"/>
    <cellStyle name="Normal 5 4 2 2 9" xfId="16002"/>
    <cellStyle name="Normal 5 4 2 2_Degree data" xfId="3869"/>
    <cellStyle name="Normal 5 4 2 3" xfId="433"/>
    <cellStyle name="Normal 5 4 2 3 2" xfId="2920"/>
    <cellStyle name="Normal 5 4 2 3 2 2" xfId="12210"/>
    <cellStyle name="Normal 5 4 2 3 2 2 2" xfId="22283"/>
    <cellStyle name="Normal 5 4 2 3 2 3" xfId="8632"/>
    <cellStyle name="Normal 5 4 2 3 2 4" xfId="17276"/>
    <cellStyle name="Normal 5 4 2 3 3" xfId="4633"/>
    <cellStyle name="Normal 5 4 2 3 3 2" xfId="13473"/>
    <cellStyle name="Normal 5 4 2 3 3 2 2" xfId="23724"/>
    <cellStyle name="Normal 5 4 2 3 3 3" xfId="9894"/>
    <cellStyle name="Normal 5 4 2 3 3 4" xfId="18717"/>
    <cellStyle name="Normal 5 4 2 3 4" xfId="2029"/>
    <cellStyle name="Normal 5 4 2 3 4 2" xfId="11396"/>
    <cellStyle name="Normal 5 4 2 3 4 3" xfId="21400"/>
    <cellStyle name="Normal 5 4 2 3 5" xfId="6091"/>
    <cellStyle name="Normal 5 4 2 3 5 2" xfId="14918"/>
    <cellStyle name="Normal 5 4 2 3 5 3" xfId="25169"/>
    <cellStyle name="Normal 5 4 2 3 6" xfId="7536"/>
    <cellStyle name="Normal 5 4 2 3 6 2" xfId="19882"/>
    <cellStyle name="Normal 5 4 2 3 7" xfId="16393"/>
    <cellStyle name="Normal 5 4 2 4" xfId="818"/>
    <cellStyle name="Normal 5 4 2 4 2" xfId="3304"/>
    <cellStyle name="Normal 5 4 2 4 2 2" xfId="12448"/>
    <cellStyle name="Normal 5 4 2 4 2 2 2" xfId="22667"/>
    <cellStyle name="Normal 5 4 2 4 2 3" xfId="8870"/>
    <cellStyle name="Normal 5 4 2 4 2 4" xfId="17660"/>
    <cellStyle name="Normal 5 4 2 4 3" xfId="4982"/>
    <cellStyle name="Normal 5 4 2 4 3 2" xfId="13821"/>
    <cellStyle name="Normal 5 4 2 4 3 2 2" xfId="24072"/>
    <cellStyle name="Normal 5 4 2 4 3 3" xfId="10242"/>
    <cellStyle name="Normal 5 4 2 4 3 4" xfId="19065"/>
    <cellStyle name="Normal 5 4 2 4 4" xfId="2413"/>
    <cellStyle name="Normal 5 4 2 4 4 2" xfId="11780"/>
    <cellStyle name="Normal 5 4 2 4 4 3" xfId="21784"/>
    <cellStyle name="Normal 5 4 2 4 5" xfId="6439"/>
    <cellStyle name="Normal 5 4 2 4 5 2" xfId="15266"/>
    <cellStyle name="Normal 5 4 2 4 5 3" xfId="25517"/>
    <cellStyle name="Normal 5 4 2 4 6" xfId="7885"/>
    <cellStyle name="Normal 5 4 2 4 6 2" xfId="20266"/>
    <cellStyle name="Normal 5 4 2 4 7" xfId="16777"/>
    <cellStyle name="Normal 5 4 2 5" xfId="1205"/>
    <cellStyle name="Normal 5 4 2 5 2" xfId="3635"/>
    <cellStyle name="Normal 5 4 2 5 2 2" xfId="12773"/>
    <cellStyle name="Normal 5 4 2 5 2 2 2" xfId="22992"/>
    <cellStyle name="Normal 5 4 2 5 2 3" xfId="9194"/>
    <cellStyle name="Normal 5 4 2 5 2 4" xfId="17985"/>
    <cellStyle name="Normal 5 4 2 5 3" xfId="5298"/>
    <cellStyle name="Normal 5 4 2 5 3 2" xfId="14137"/>
    <cellStyle name="Normal 5 4 2 5 3 2 2" xfId="24388"/>
    <cellStyle name="Normal 5 4 2 5 3 3" xfId="10558"/>
    <cellStyle name="Normal 5 4 2 5 3 4" xfId="19381"/>
    <cellStyle name="Normal 5 4 2 5 4" xfId="1808"/>
    <cellStyle name="Normal 5 4 2 5 4 2" xfId="11179"/>
    <cellStyle name="Normal 5 4 2 5 4 3" xfId="21183"/>
    <cellStyle name="Normal 5 4 2 5 5" xfId="6755"/>
    <cellStyle name="Normal 5 4 2 5 5 2" xfId="15582"/>
    <cellStyle name="Normal 5 4 2 5 5 3" xfId="25833"/>
    <cellStyle name="Normal 5 4 2 5 6" xfId="8201"/>
    <cellStyle name="Normal 5 4 2 5 6 2" xfId="20591"/>
    <cellStyle name="Normal 5 4 2 5 7" xfId="16176"/>
    <cellStyle name="Normal 5 4 2 6" xfId="2703"/>
    <cellStyle name="Normal 5 4 2 6 2" xfId="12022"/>
    <cellStyle name="Normal 5 4 2 6 2 2" xfId="22066"/>
    <cellStyle name="Normal 5 4 2 6 3" xfId="8620"/>
    <cellStyle name="Normal 5 4 2 6 4" xfId="17059"/>
    <cellStyle name="Normal 5 4 2 7" xfId="4254"/>
    <cellStyle name="Normal 5 4 2 7 2" xfId="13094"/>
    <cellStyle name="Normal 5 4 2 7 2 2" xfId="23345"/>
    <cellStyle name="Normal 5 4 2 7 3" xfId="9515"/>
    <cellStyle name="Normal 5 4 2 7 4" xfId="18338"/>
    <cellStyle name="Normal 5 4 2 8" xfId="1526"/>
    <cellStyle name="Normal 5 4 2 8 2" xfId="10905"/>
    <cellStyle name="Normal 5 4 2 8 3" xfId="20909"/>
    <cellStyle name="Normal 5 4 2 9" xfId="5712"/>
    <cellStyle name="Normal 5 4 2 9 2" xfId="14539"/>
    <cellStyle name="Normal 5 4 2 9 3" xfId="24790"/>
    <cellStyle name="Normal 5 4 2_Degree data" xfId="3864"/>
    <cellStyle name="Normal 5 4 3" xfId="271"/>
    <cellStyle name="Normal 5 4 3 10" xfId="7113"/>
    <cellStyle name="Normal 5 4 3 10 2" xfId="19726"/>
    <cellStyle name="Normal 5 4 3 11" xfId="15859"/>
    <cellStyle name="Normal 5 4 3 2" xfId="594"/>
    <cellStyle name="Normal 5 4 3 2 2" xfId="821"/>
    <cellStyle name="Normal 5 4 3 2 2 2" xfId="3307"/>
    <cellStyle name="Normal 5 4 3 2 2 2 2" xfId="12451"/>
    <cellStyle name="Normal 5 4 3 2 2 2 2 2" xfId="22670"/>
    <cellStyle name="Normal 5 4 3 2 2 2 3" xfId="8873"/>
    <cellStyle name="Normal 5 4 3 2 2 2 4" xfId="17663"/>
    <cellStyle name="Normal 5 4 3 2 2 3" xfId="4636"/>
    <cellStyle name="Normal 5 4 3 2 2 3 2" xfId="13476"/>
    <cellStyle name="Normal 5 4 3 2 2 3 2 2" xfId="23727"/>
    <cellStyle name="Normal 5 4 3 2 2 3 3" xfId="9897"/>
    <cellStyle name="Normal 5 4 3 2 2 3 4" xfId="18720"/>
    <cellStyle name="Normal 5 4 3 2 2 4" xfId="2416"/>
    <cellStyle name="Normal 5 4 3 2 2 4 2" xfId="11783"/>
    <cellStyle name="Normal 5 4 3 2 2 4 3" xfId="21787"/>
    <cellStyle name="Normal 5 4 3 2 2 5" xfId="6094"/>
    <cellStyle name="Normal 5 4 3 2 2 5 2" xfId="14921"/>
    <cellStyle name="Normal 5 4 3 2 2 5 3" xfId="25172"/>
    <cellStyle name="Normal 5 4 3 2 2 6" xfId="7539"/>
    <cellStyle name="Normal 5 4 3 2 2 6 2" xfId="20269"/>
    <cellStyle name="Normal 5 4 3 2 2 7" xfId="16780"/>
    <cellStyle name="Normal 5 4 3 2 3" xfId="1366"/>
    <cellStyle name="Normal 5 4 3 2 3 2" xfId="3796"/>
    <cellStyle name="Normal 5 4 3 2 3 2 2" xfId="12934"/>
    <cellStyle name="Normal 5 4 3 2 3 2 2 2" xfId="23153"/>
    <cellStyle name="Normal 5 4 3 2 3 2 3" xfId="9355"/>
    <cellStyle name="Normal 5 4 3 2 3 2 4" xfId="18146"/>
    <cellStyle name="Normal 5 4 3 2 3 3" xfId="4985"/>
    <cellStyle name="Normal 5 4 3 2 3 3 2" xfId="13824"/>
    <cellStyle name="Normal 5 4 3 2 3 3 2 2" xfId="24075"/>
    <cellStyle name="Normal 5 4 3 2 3 3 3" xfId="10245"/>
    <cellStyle name="Normal 5 4 3 2 3 3 4" xfId="19068"/>
    <cellStyle name="Normal 5 4 3 2 3 4" xfId="2190"/>
    <cellStyle name="Normal 5 4 3 2 3 4 2" xfId="11557"/>
    <cellStyle name="Normal 5 4 3 2 3 4 3" xfId="21561"/>
    <cellStyle name="Normal 5 4 3 2 3 5" xfId="6442"/>
    <cellStyle name="Normal 5 4 3 2 3 5 2" xfId="15269"/>
    <cellStyle name="Normal 5 4 3 2 3 5 3" xfId="25520"/>
    <cellStyle name="Normal 5 4 3 2 3 6" xfId="7888"/>
    <cellStyle name="Normal 5 4 3 2 3 6 2" xfId="20752"/>
    <cellStyle name="Normal 5 4 3 2 3 7" xfId="16554"/>
    <cellStyle name="Normal 5 4 3 2 4" xfId="3081"/>
    <cellStyle name="Normal 5 4 3 2 4 2" xfId="5459"/>
    <cellStyle name="Normal 5 4 3 2 4 2 2" xfId="14298"/>
    <cellStyle name="Normal 5 4 3 2 4 2 2 2" xfId="24549"/>
    <cellStyle name="Normal 5 4 3 2 4 2 3" xfId="10719"/>
    <cellStyle name="Normal 5 4 3 2 4 2 4" xfId="19542"/>
    <cellStyle name="Normal 5 4 3 2 4 3" xfId="6916"/>
    <cellStyle name="Normal 5 4 3 2 4 3 2" xfId="15743"/>
    <cellStyle name="Normal 5 4 3 2 4 3 3" xfId="25994"/>
    <cellStyle name="Normal 5 4 3 2 4 4" xfId="8362"/>
    <cellStyle name="Normal 5 4 3 2 4 4 2" xfId="22444"/>
    <cellStyle name="Normal 5 4 3 2 4 5" xfId="17437"/>
    <cellStyle name="Normal 5 4 3 2 5" xfId="4415"/>
    <cellStyle name="Normal 5 4 3 2 5 2" xfId="13255"/>
    <cellStyle name="Normal 5 4 3 2 5 2 2" xfId="23506"/>
    <cellStyle name="Normal 5 4 3 2 5 3" xfId="9676"/>
    <cellStyle name="Normal 5 4 3 2 5 4" xfId="18499"/>
    <cellStyle name="Normal 5 4 3 2 6" xfId="1687"/>
    <cellStyle name="Normal 5 4 3 2 6 2" xfId="11066"/>
    <cellStyle name="Normal 5 4 3 2 6 3" xfId="21070"/>
    <cellStyle name="Normal 5 4 3 2 7" xfId="5873"/>
    <cellStyle name="Normal 5 4 3 2 7 2" xfId="14700"/>
    <cellStyle name="Normal 5 4 3 2 7 3" xfId="24951"/>
    <cellStyle name="Normal 5 4 3 2 8" xfId="7317"/>
    <cellStyle name="Normal 5 4 3 2 8 2" xfId="20043"/>
    <cellStyle name="Normal 5 4 3 2 9" xfId="16063"/>
    <cellStyle name="Normal 5 4 3 2_Degree data" xfId="3473"/>
    <cellStyle name="Normal 5 4 3 3" xfId="390"/>
    <cellStyle name="Normal 5 4 3 3 2" xfId="2877"/>
    <cellStyle name="Normal 5 4 3 3 2 2" xfId="12167"/>
    <cellStyle name="Normal 5 4 3 3 2 2 2" xfId="22240"/>
    <cellStyle name="Normal 5 4 3 3 2 3" xfId="8470"/>
    <cellStyle name="Normal 5 4 3 3 2 4" xfId="17233"/>
    <cellStyle name="Normal 5 4 3 3 3" xfId="4635"/>
    <cellStyle name="Normal 5 4 3 3 3 2" xfId="13475"/>
    <cellStyle name="Normal 5 4 3 3 3 2 2" xfId="23726"/>
    <cellStyle name="Normal 5 4 3 3 3 3" xfId="9896"/>
    <cellStyle name="Normal 5 4 3 3 3 4" xfId="18719"/>
    <cellStyle name="Normal 5 4 3 3 4" xfId="1986"/>
    <cellStyle name="Normal 5 4 3 3 4 2" xfId="11353"/>
    <cellStyle name="Normal 5 4 3 3 4 3" xfId="21357"/>
    <cellStyle name="Normal 5 4 3 3 5" xfId="6093"/>
    <cellStyle name="Normal 5 4 3 3 5 2" xfId="14920"/>
    <cellStyle name="Normal 5 4 3 3 5 3" xfId="25171"/>
    <cellStyle name="Normal 5 4 3 3 6" xfId="7538"/>
    <cellStyle name="Normal 5 4 3 3 6 2" xfId="19839"/>
    <cellStyle name="Normal 5 4 3 3 7" xfId="16350"/>
    <cellStyle name="Normal 5 4 3 4" xfId="820"/>
    <cellStyle name="Normal 5 4 3 4 2" xfId="3306"/>
    <cellStyle name="Normal 5 4 3 4 2 2" xfId="12450"/>
    <cellStyle name="Normal 5 4 3 4 2 2 2" xfId="22669"/>
    <cellStyle name="Normal 5 4 3 4 2 3" xfId="8872"/>
    <cellStyle name="Normal 5 4 3 4 2 4" xfId="17662"/>
    <cellStyle name="Normal 5 4 3 4 3" xfId="4984"/>
    <cellStyle name="Normal 5 4 3 4 3 2" xfId="13823"/>
    <cellStyle name="Normal 5 4 3 4 3 2 2" xfId="24074"/>
    <cellStyle name="Normal 5 4 3 4 3 3" xfId="10244"/>
    <cellStyle name="Normal 5 4 3 4 3 4" xfId="19067"/>
    <cellStyle name="Normal 5 4 3 4 4" xfId="2415"/>
    <cellStyle name="Normal 5 4 3 4 4 2" xfId="11782"/>
    <cellStyle name="Normal 5 4 3 4 4 3" xfId="21786"/>
    <cellStyle name="Normal 5 4 3 4 5" xfId="6441"/>
    <cellStyle name="Normal 5 4 3 4 5 2" xfId="15268"/>
    <cellStyle name="Normal 5 4 3 4 5 3" xfId="25519"/>
    <cellStyle name="Normal 5 4 3 4 6" xfId="7887"/>
    <cellStyle name="Normal 5 4 3 4 6 2" xfId="20268"/>
    <cellStyle name="Normal 5 4 3 4 7" xfId="16779"/>
    <cellStyle name="Normal 5 4 3 5" xfId="1162"/>
    <cellStyle name="Normal 5 4 3 5 2" xfId="3592"/>
    <cellStyle name="Normal 5 4 3 5 2 2" xfId="12730"/>
    <cellStyle name="Normal 5 4 3 5 2 2 2" xfId="22949"/>
    <cellStyle name="Normal 5 4 3 5 2 3" xfId="9151"/>
    <cellStyle name="Normal 5 4 3 5 2 4" xfId="17942"/>
    <cellStyle name="Normal 5 4 3 5 3" xfId="5255"/>
    <cellStyle name="Normal 5 4 3 5 3 2" xfId="14094"/>
    <cellStyle name="Normal 5 4 3 5 3 2 2" xfId="24345"/>
    <cellStyle name="Normal 5 4 3 5 3 3" xfId="10515"/>
    <cellStyle name="Normal 5 4 3 5 3 4" xfId="19338"/>
    <cellStyle name="Normal 5 4 3 5 4" xfId="1870"/>
    <cellStyle name="Normal 5 4 3 5 4 2" xfId="11240"/>
    <cellStyle name="Normal 5 4 3 5 4 3" xfId="21244"/>
    <cellStyle name="Normal 5 4 3 5 5" xfId="6712"/>
    <cellStyle name="Normal 5 4 3 5 5 2" xfId="15539"/>
    <cellStyle name="Normal 5 4 3 5 5 3" xfId="25790"/>
    <cellStyle name="Normal 5 4 3 5 6" xfId="8158"/>
    <cellStyle name="Normal 5 4 3 5 6 2" xfId="20548"/>
    <cellStyle name="Normal 5 4 3 5 7" xfId="16237"/>
    <cellStyle name="Normal 5 4 3 6" xfId="2764"/>
    <cellStyle name="Normal 5 4 3 6 2" xfId="12083"/>
    <cellStyle name="Normal 5 4 3 6 2 2" xfId="22127"/>
    <cellStyle name="Normal 5 4 3 6 3" xfId="8391"/>
    <cellStyle name="Normal 5 4 3 6 4" xfId="17120"/>
    <cellStyle name="Normal 5 4 3 7" xfId="4211"/>
    <cellStyle name="Normal 5 4 3 7 2" xfId="13051"/>
    <cellStyle name="Normal 5 4 3 7 2 2" xfId="23302"/>
    <cellStyle name="Normal 5 4 3 7 3" xfId="9472"/>
    <cellStyle name="Normal 5 4 3 7 4" xfId="18295"/>
    <cellStyle name="Normal 5 4 3 8" xfId="1483"/>
    <cellStyle name="Normal 5 4 3 8 2" xfId="10862"/>
    <cellStyle name="Normal 5 4 3 8 3" xfId="20866"/>
    <cellStyle name="Normal 5 4 3 9" xfId="5669"/>
    <cellStyle name="Normal 5 4 3 9 2" xfId="14496"/>
    <cellStyle name="Normal 5 4 3 9 3" xfId="24747"/>
    <cellStyle name="Normal 5 4 3_Degree data" xfId="3846"/>
    <cellStyle name="Normal 5 4 4" xfId="490"/>
    <cellStyle name="Normal 5 4 4 2" xfId="822"/>
    <cellStyle name="Normal 5 4 4 2 2" xfId="3308"/>
    <cellStyle name="Normal 5 4 4 2 2 2" xfId="12452"/>
    <cellStyle name="Normal 5 4 4 2 2 2 2" xfId="22671"/>
    <cellStyle name="Normal 5 4 4 2 2 3" xfId="8874"/>
    <cellStyle name="Normal 5 4 4 2 2 4" xfId="17664"/>
    <cellStyle name="Normal 5 4 4 2 3" xfId="4637"/>
    <cellStyle name="Normal 5 4 4 2 3 2" xfId="13477"/>
    <cellStyle name="Normal 5 4 4 2 3 2 2" xfId="23728"/>
    <cellStyle name="Normal 5 4 4 2 3 3" xfId="9898"/>
    <cellStyle name="Normal 5 4 4 2 3 4" xfId="18721"/>
    <cellStyle name="Normal 5 4 4 2 4" xfId="2417"/>
    <cellStyle name="Normal 5 4 4 2 4 2" xfId="11784"/>
    <cellStyle name="Normal 5 4 4 2 4 3" xfId="21788"/>
    <cellStyle name="Normal 5 4 4 2 5" xfId="6095"/>
    <cellStyle name="Normal 5 4 4 2 5 2" xfId="14922"/>
    <cellStyle name="Normal 5 4 4 2 5 3" xfId="25173"/>
    <cellStyle name="Normal 5 4 4 2 6" xfId="7540"/>
    <cellStyle name="Normal 5 4 4 2 6 2" xfId="20270"/>
    <cellStyle name="Normal 5 4 4 2 7" xfId="16781"/>
    <cellStyle name="Normal 5 4 4 3" xfId="1262"/>
    <cellStyle name="Normal 5 4 4 3 2" xfId="3692"/>
    <cellStyle name="Normal 5 4 4 3 2 2" xfId="12830"/>
    <cellStyle name="Normal 5 4 4 3 2 2 2" xfId="23049"/>
    <cellStyle name="Normal 5 4 4 3 2 3" xfId="9251"/>
    <cellStyle name="Normal 5 4 4 3 2 4" xfId="18042"/>
    <cellStyle name="Normal 5 4 4 3 3" xfId="4986"/>
    <cellStyle name="Normal 5 4 4 3 3 2" xfId="13825"/>
    <cellStyle name="Normal 5 4 4 3 3 2 2" xfId="24076"/>
    <cellStyle name="Normal 5 4 4 3 3 3" xfId="10246"/>
    <cellStyle name="Normal 5 4 4 3 3 4" xfId="19069"/>
    <cellStyle name="Normal 5 4 4 3 4" xfId="2086"/>
    <cellStyle name="Normal 5 4 4 3 4 2" xfId="11453"/>
    <cellStyle name="Normal 5 4 4 3 4 3" xfId="21457"/>
    <cellStyle name="Normal 5 4 4 3 5" xfId="6443"/>
    <cellStyle name="Normal 5 4 4 3 5 2" xfId="15270"/>
    <cellStyle name="Normal 5 4 4 3 5 3" xfId="25521"/>
    <cellStyle name="Normal 5 4 4 3 6" xfId="7889"/>
    <cellStyle name="Normal 5 4 4 3 6 2" xfId="20648"/>
    <cellStyle name="Normal 5 4 4 3 7" xfId="16450"/>
    <cellStyle name="Normal 5 4 4 4" xfId="2977"/>
    <cellStyle name="Normal 5 4 4 4 2" xfId="5355"/>
    <cellStyle name="Normal 5 4 4 4 2 2" xfId="14194"/>
    <cellStyle name="Normal 5 4 4 4 2 2 2" xfId="24445"/>
    <cellStyle name="Normal 5 4 4 4 2 3" xfId="10615"/>
    <cellStyle name="Normal 5 4 4 4 2 4" xfId="19438"/>
    <cellStyle name="Normal 5 4 4 4 3" xfId="6812"/>
    <cellStyle name="Normal 5 4 4 4 3 2" xfId="15639"/>
    <cellStyle name="Normal 5 4 4 4 3 3" xfId="25890"/>
    <cellStyle name="Normal 5 4 4 4 4" xfId="8258"/>
    <cellStyle name="Normal 5 4 4 4 4 2" xfId="22340"/>
    <cellStyle name="Normal 5 4 4 4 5" xfId="17333"/>
    <cellStyle name="Normal 5 4 4 5" xfId="4311"/>
    <cellStyle name="Normal 5 4 4 5 2" xfId="13151"/>
    <cellStyle name="Normal 5 4 4 5 2 2" xfId="23402"/>
    <cellStyle name="Normal 5 4 4 5 3" xfId="9572"/>
    <cellStyle name="Normal 5 4 4 5 4" xfId="18395"/>
    <cellStyle name="Normal 5 4 4 6" xfId="1583"/>
    <cellStyle name="Normal 5 4 4 6 2" xfId="10962"/>
    <cellStyle name="Normal 5 4 4 6 3" xfId="20966"/>
    <cellStyle name="Normal 5 4 4 7" xfId="5769"/>
    <cellStyle name="Normal 5 4 4 7 2" xfId="14596"/>
    <cellStyle name="Normal 5 4 4 7 3" xfId="24847"/>
    <cellStyle name="Normal 5 4 4 8" xfId="7213"/>
    <cellStyle name="Normal 5 4 4 8 2" xfId="19939"/>
    <cellStyle name="Normal 5 4 4 9" xfId="15959"/>
    <cellStyle name="Normal 5 4 4_Degree data" xfId="3852"/>
    <cellStyle name="Normal 5 4 5" xfId="331"/>
    <cellStyle name="Normal 5 4 5 2" xfId="823"/>
    <cellStyle name="Normal 5 4 5 2 2" xfId="3309"/>
    <cellStyle name="Normal 5 4 5 2 2 2" xfId="12453"/>
    <cellStyle name="Normal 5 4 5 2 2 2 2" xfId="22672"/>
    <cellStyle name="Normal 5 4 5 2 2 3" xfId="8875"/>
    <cellStyle name="Normal 5 4 5 2 2 4" xfId="17665"/>
    <cellStyle name="Normal 5 4 5 2 3" xfId="4638"/>
    <cellStyle name="Normal 5 4 5 2 3 2" xfId="13478"/>
    <cellStyle name="Normal 5 4 5 2 3 2 2" xfId="23729"/>
    <cellStyle name="Normal 5 4 5 2 3 3" xfId="9899"/>
    <cellStyle name="Normal 5 4 5 2 3 4" xfId="18722"/>
    <cellStyle name="Normal 5 4 5 2 4" xfId="2418"/>
    <cellStyle name="Normal 5 4 5 2 4 2" xfId="11785"/>
    <cellStyle name="Normal 5 4 5 2 4 3" xfId="21789"/>
    <cellStyle name="Normal 5 4 5 2 5" xfId="6096"/>
    <cellStyle name="Normal 5 4 5 2 5 2" xfId="14923"/>
    <cellStyle name="Normal 5 4 5 2 5 3" xfId="25174"/>
    <cellStyle name="Normal 5 4 5 2 6" xfId="7541"/>
    <cellStyle name="Normal 5 4 5 2 6 2" xfId="20271"/>
    <cellStyle name="Normal 5 4 5 2 7" xfId="16782"/>
    <cellStyle name="Normal 5 4 5 3" xfId="1103"/>
    <cellStyle name="Normal 5 4 5 3 2" xfId="3533"/>
    <cellStyle name="Normal 5 4 5 3 2 2" xfId="12671"/>
    <cellStyle name="Normal 5 4 5 3 2 2 2" xfId="22890"/>
    <cellStyle name="Normal 5 4 5 3 2 3" xfId="9093"/>
    <cellStyle name="Normal 5 4 5 3 2 4" xfId="17883"/>
    <cellStyle name="Normal 5 4 5 3 3" xfId="4987"/>
    <cellStyle name="Normal 5 4 5 3 3 2" xfId="13826"/>
    <cellStyle name="Normal 5 4 5 3 3 2 2" xfId="24077"/>
    <cellStyle name="Normal 5 4 5 3 3 3" xfId="10247"/>
    <cellStyle name="Normal 5 4 5 3 3 4" xfId="19070"/>
    <cellStyle name="Normal 5 4 5 3 4" xfId="2586"/>
    <cellStyle name="Normal 5 4 5 3 4 2" xfId="11952"/>
    <cellStyle name="Normal 5 4 5 3 4 3" xfId="21956"/>
    <cellStyle name="Normal 5 4 5 3 5" xfId="6444"/>
    <cellStyle name="Normal 5 4 5 3 5 2" xfId="15271"/>
    <cellStyle name="Normal 5 4 5 3 5 3" xfId="25522"/>
    <cellStyle name="Normal 5 4 5 3 6" xfId="7890"/>
    <cellStyle name="Normal 5 4 5 3 6 2" xfId="20489"/>
    <cellStyle name="Normal 5 4 5 3 7" xfId="16949"/>
    <cellStyle name="Normal 5 4 5 4" xfId="2818"/>
    <cellStyle name="Normal 5 4 5 4 2" xfId="5196"/>
    <cellStyle name="Normal 5 4 5 4 2 2" xfId="14035"/>
    <cellStyle name="Normal 5 4 5 4 2 2 2" xfId="24286"/>
    <cellStyle name="Normal 5 4 5 4 2 3" xfId="10456"/>
    <cellStyle name="Normal 5 4 5 4 2 4" xfId="19279"/>
    <cellStyle name="Normal 5 4 5 4 3" xfId="6653"/>
    <cellStyle name="Normal 5 4 5 4 3 2" xfId="15480"/>
    <cellStyle name="Normal 5 4 5 4 3 3" xfId="25731"/>
    <cellStyle name="Normal 5 4 5 4 4" xfId="8099"/>
    <cellStyle name="Normal 5 4 5 4 4 2" xfId="22181"/>
    <cellStyle name="Normal 5 4 5 4 5" xfId="17174"/>
    <cellStyle name="Normal 5 4 5 5" xfId="4150"/>
    <cellStyle name="Normal 5 4 5 5 2" xfId="12990"/>
    <cellStyle name="Normal 5 4 5 5 2 2" xfId="23241"/>
    <cellStyle name="Normal 5 4 5 5 3" xfId="9411"/>
    <cellStyle name="Normal 5 4 5 5 4" xfId="18234"/>
    <cellStyle name="Normal 5 4 5 6" xfId="1927"/>
    <cellStyle name="Normal 5 4 5 6 2" xfId="11294"/>
    <cellStyle name="Normal 5 4 5 6 3" xfId="21298"/>
    <cellStyle name="Normal 5 4 5 7" xfId="5610"/>
    <cellStyle name="Normal 5 4 5 7 2" xfId="14437"/>
    <cellStyle name="Normal 5 4 5 7 3" xfId="24688"/>
    <cellStyle name="Normal 5 4 5 8" xfId="7054"/>
    <cellStyle name="Normal 5 4 5 8 2" xfId="19780"/>
    <cellStyle name="Normal 5 4 5 9" xfId="16291"/>
    <cellStyle name="Normal 5 4 5_Degree data" xfId="3931"/>
    <cellStyle name="Normal 5 4 6" xfId="817"/>
    <cellStyle name="Normal 5 4 6 2" xfId="3303"/>
    <cellStyle name="Normal 5 4 6 2 2" xfId="12447"/>
    <cellStyle name="Normal 5 4 6 2 2 2" xfId="22666"/>
    <cellStyle name="Normal 5 4 6 2 3" xfId="8869"/>
    <cellStyle name="Normal 5 4 6 2 4" xfId="17659"/>
    <cellStyle name="Normal 5 4 6 3" xfId="4632"/>
    <cellStyle name="Normal 5 4 6 3 2" xfId="13472"/>
    <cellStyle name="Normal 5 4 6 3 2 2" xfId="23723"/>
    <cellStyle name="Normal 5 4 6 3 3" xfId="9893"/>
    <cellStyle name="Normal 5 4 6 3 4" xfId="18716"/>
    <cellStyle name="Normal 5 4 6 4" xfId="2412"/>
    <cellStyle name="Normal 5 4 6 4 2" xfId="11779"/>
    <cellStyle name="Normal 5 4 6 4 3" xfId="21783"/>
    <cellStyle name="Normal 5 4 6 5" xfId="6090"/>
    <cellStyle name="Normal 5 4 6 5 2" xfId="14917"/>
    <cellStyle name="Normal 5 4 6 5 3" xfId="25168"/>
    <cellStyle name="Normal 5 4 6 6" xfId="7535"/>
    <cellStyle name="Normal 5 4 6 6 2" xfId="20265"/>
    <cellStyle name="Normal 5 4 6 7" xfId="16776"/>
    <cellStyle name="Normal 5 4 7" xfId="1060"/>
    <cellStyle name="Normal 5 4 7 2" xfId="3490"/>
    <cellStyle name="Normal 5 4 7 2 2" xfId="12628"/>
    <cellStyle name="Normal 5 4 7 2 2 2" xfId="22847"/>
    <cellStyle name="Normal 5 4 7 2 3" xfId="9050"/>
    <cellStyle name="Normal 5 4 7 2 4" xfId="17840"/>
    <cellStyle name="Normal 5 4 7 3" xfId="4981"/>
    <cellStyle name="Normal 5 4 7 3 2" xfId="13820"/>
    <cellStyle name="Normal 5 4 7 3 2 2" xfId="24071"/>
    <cellStyle name="Normal 5 4 7 3 3" xfId="10241"/>
    <cellStyle name="Normal 5 4 7 3 4" xfId="19064"/>
    <cellStyle name="Normal 5 4 7 4" xfId="1762"/>
    <cellStyle name="Normal 5 4 7 4 2" xfId="11135"/>
    <cellStyle name="Normal 5 4 7 4 3" xfId="21139"/>
    <cellStyle name="Normal 5 4 7 5" xfId="6438"/>
    <cellStyle name="Normal 5 4 7 5 2" xfId="15265"/>
    <cellStyle name="Normal 5 4 7 5 3" xfId="25516"/>
    <cellStyle name="Normal 5 4 7 6" xfId="7884"/>
    <cellStyle name="Normal 5 4 7 6 2" xfId="20446"/>
    <cellStyle name="Normal 5 4 7 7" xfId="16132"/>
    <cellStyle name="Normal 5 4 8" xfId="2660"/>
    <cellStyle name="Normal 5 4 8 2" xfId="5153"/>
    <cellStyle name="Normal 5 4 8 2 2" xfId="13992"/>
    <cellStyle name="Normal 5 4 8 2 2 2" xfId="24243"/>
    <cellStyle name="Normal 5 4 8 2 3" xfId="10413"/>
    <cellStyle name="Normal 5 4 8 2 4" xfId="19236"/>
    <cellStyle name="Normal 5 4 8 3" xfId="6610"/>
    <cellStyle name="Normal 5 4 8 3 2" xfId="15437"/>
    <cellStyle name="Normal 5 4 8 3 3" xfId="25688"/>
    <cellStyle name="Normal 5 4 8 4" xfId="8056"/>
    <cellStyle name="Normal 5 4 8 4 2" xfId="22023"/>
    <cellStyle name="Normal 5 4 8 5" xfId="17016"/>
    <cellStyle name="Normal 5 4 9" xfId="4107"/>
    <cellStyle name="Normal 5 4 9 2" xfId="5567"/>
    <cellStyle name="Normal 5 4 9 2 2" xfId="14394"/>
    <cellStyle name="Normal 5 4 9 2 3" xfId="24645"/>
    <cellStyle name="Normal 5 4 9 3" xfId="7011"/>
    <cellStyle name="Normal 5 4 9 3 2" xfId="23198"/>
    <cellStyle name="Normal 5 4 9 4" xfId="18191"/>
    <cellStyle name="Normal 5 4_Degree data" xfId="3830"/>
    <cellStyle name="Normal 5 5" xfId="143"/>
    <cellStyle name="Normal 5 5 10" xfId="1412"/>
    <cellStyle name="Normal 5 5 10 2" xfId="10791"/>
    <cellStyle name="Normal 5 5 10 3" xfId="20795"/>
    <cellStyle name="Normal 5 5 11" xfId="5523"/>
    <cellStyle name="Normal 5 5 11 2" xfId="14352"/>
    <cellStyle name="Normal 5 5 11 3" xfId="24603"/>
    <cellStyle name="Normal 5 5 12" xfId="6965"/>
    <cellStyle name="Normal 5 5 12 2" xfId="19610"/>
    <cellStyle name="Normal 5 5 13" xfId="15788"/>
    <cellStyle name="Normal 5 5 2" xfId="193"/>
    <cellStyle name="Normal 5 5 2 10" xfId="7144"/>
    <cellStyle name="Normal 5 5 2 10 2" xfId="19653"/>
    <cellStyle name="Normal 5 5 2 11" xfId="15890"/>
    <cellStyle name="Normal 5 5 2 2" xfId="521"/>
    <cellStyle name="Normal 5 5 2 2 2" xfId="826"/>
    <cellStyle name="Normal 5 5 2 2 2 2" xfId="3312"/>
    <cellStyle name="Normal 5 5 2 2 2 2 2" xfId="12456"/>
    <cellStyle name="Normal 5 5 2 2 2 2 2 2" xfId="22675"/>
    <cellStyle name="Normal 5 5 2 2 2 2 3" xfId="8878"/>
    <cellStyle name="Normal 5 5 2 2 2 2 4" xfId="17668"/>
    <cellStyle name="Normal 5 5 2 2 2 3" xfId="4641"/>
    <cellStyle name="Normal 5 5 2 2 2 3 2" xfId="13481"/>
    <cellStyle name="Normal 5 5 2 2 2 3 2 2" xfId="23732"/>
    <cellStyle name="Normal 5 5 2 2 2 3 3" xfId="9902"/>
    <cellStyle name="Normal 5 5 2 2 2 3 4" xfId="18725"/>
    <cellStyle name="Normal 5 5 2 2 2 4" xfId="2421"/>
    <cellStyle name="Normal 5 5 2 2 2 4 2" xfId="11788"/>
    <cellStyle name="Normal 5 5 2 2 2 4 3" xfId="21792"/>
    <cellStyle name="Normal 5 5 2 2 2 5" xfId="6099"/>
    <cellStyle name="Normal 5 5 2 2 2 5 2" xfId="14926"/>
    <cellStyle name="Normal 5 5 2 2 2 5 3" xfId="25177"/>
    <cellStyle name="Normal 5 5 2 2 2 6" xfId="7544"/>
    <cellStyle name="Normal 5 5 2 2 2 6 2" xfId="20274"/>
    <cellStyle name="Normal 5 5 2 2 2 7" xfId="16785"/>
    <cellStyle name="Normal 5 5 2 2 3" xfId="1293"/>
    <cellStyle name="Normal 5 5 2 2 3 2" xfId="3723"/>
    <cellStyle name="Normal 5 5 2 2 3 2 2" xfId="12861"/>
    <cellStyle name="Normal 5 5 2 2 3 2 2 2" xfId="23080"/>
    <cellStyle name="Normal 5 5 2 2 3 2 3" xfId="9282"/>
    <cellStyle name="Normal 5 5 2 2 3 2 4" xfId="18073"/>
    <cellStyle name="Normal 5 5 2 2 3 3" xfId="4990"/>
    <cellStyle name="Normal 5 5 2 2 3 3 2" xfId="13829"/>
    <cellStyle name="Normal 5 5 2 2 3 3 2 2" xfId="24080"/>
    <cellStyle name="Normal 5 5 2 2 3 3 3" xfId="10250"/>
    <cellStyle name="Normal 5 5 2 2 3 3 4" xfId="19073"/>
    <cellStyle name="Normal 5 5 2 2 3 4" xfId="2117"/>
    <cellStyle name="Normal 5 5 2 2 3 4 2" xfId="11484"/>
    <cellStyle name="Normal 5 5 2 2 3 4 3" xfId="21488"/>
    <cellStyle name="Normal 5 5 2 2 3 5" xfId="6447"/>
    <cellStyle name="Normal 5 5 2 2 3 5 2" xfId="15274"/>
    <cellStyle name="Normal 5 5 2 2 3 5 3" xfId="25525"/>
    <cellStyle name="Normal 5 5 2 2 3 6" xfId="7893"/>
    <cellStyle name="Normal 5 5 2 2 3 6 2" xfId="20679"/>
    <cellStyle name="Normal 5 5 2 2 3 7" xfId="16481"/>
    <cellStyle name="Normal 5 5 2 2 4" xfId="3008"/>
    <cellStyle name="Normal 5 5 2 2 4 2" xfId="5386"/>
    <cellStyle name="Normal 5 5 2 2 4 2 2" xfId="14225"/>
    <cellStyle name="Normal 5 5 2 2 4 2 2 2" xfId="24476"/>
    <cellStyle name="Normal 5 5 2 2 4 2 3" xfId="10646"/>
    <cellStyle name="Normal 5 5 2 2 4 2 4" xfId="19469"/>
    <cellStyle name="Normal 5 5 2 2 4 3" xfId="6843"/>
    <cellStyle name="Normal 5 5 2 2 4 3 2" xfId="15670"/>
    <cellStyle name="Normal 5 5 2 2 4 3 3" xfId="25921"/>
    <cellStyle name="Normal 5 5 2 2 4 4" xfId="8289"/>
    <cellStyle name="Normal 5 5 2 2 4 4 2" xfId="22371"/>
    <cellStyle name="Normal 5 5 2 2 4 5" xfId="17364"/>
    <cellStyle name="Normal 5 5 2 2 5" xfId="4342"/>
    <cellStyle name="Normal 5 5 2 2 5 2" xfId="13182"/>
    <cellStyle name="Normal 5 5 2 2 5 2 2" xfId="23433"/>
    <cellStyle name="Normal 5 5 2 2 5 3" xfId="9603"/>
    <cellStyle name="Normal 5 5 2 2 5 4" xfId="18426"/>
    <cellStyle name="Normal 5 5 2 2 6" xfId="1614"/>
    <cellStyle name="Normal 5 5 2 2 6 2" xfId="10993"/>
    <cellStyle name="Normal 5 5 2 2 6 3" xfId="20997"/>
    <cellStyle name="Normal 5 5 2 2 7" xfId="5800"/>
    <cellStyle name="Normal 5 5 2 2 7 2" xfId="14627"/>
    <cellStyle name="Normal 5 5 2 2 7 3" xfId="24878"/>
    <cellStyle name="Normal 5 5 2 2 8" xfId="7244"/>
    <cellStyle name="Normal 5 5 2 2 8 2" xfId="19970"/>
    <cellStyle name="Normal 5 5 2 2 9" xfId="15990"/>
    <cellStyle name="Normal 5 5 2 2_Degree data" xfId="3906"/>
    <cellStyle name="Normal 5 5 2 3" xfId="421"/>
    <cellStyle name="Normal 5 5 2 3 2" xfId="2908"/>
    <cellStyle name="Normal 5 5 2 3 2 2" xfId="12198"/>
    <cellStyle name="Normal 5 5 2 3 2 2 2" xfId="22271"/>
    <cellStyle name="Normal 5 5 2 3 2 3" xfId="8454"/>
    <cellStyle name="Normal 5 5 2 3 2 4" xfId="17264"/>
    <cellStyle name="Normal 5 5 2 3 3" xfId="4640"/>
    <cellStyle name="Normal 5 5 2 3 3 2" xfId="13480"/>
    <cellStyle name="Normal 5 5 2 3 3 2 2" xfId="23731"/>
    <cellStyle name="Normal 5 5 2 3 3 3" xfId="9901"/>
    <cellStyle name="Normal 5 5 2 3 3 4" xfId="18724"/>
    <cellStyle name="Normal 5 5 2 3 4" xfId="2017"/>
    <cellStyle name="Normal 5 5 2 3 4 2" xfId="11384"/>
    <cellStyle name="Normal 5 5 2 3 4 3" xfId="21388"/>
    <cellStyle name="Normal 5 5 2 3 5" xfId="6098"/>
    <cellStyle name="Normal 5 5 2 3 5 2" xfId="14925"/>
    <cellStyle name="Normal 5 5 2 3 5 3" xfId="25176"/>
    <cellStyle name="Normal 5 5 2 3 6" xfId="7543"/>
    <cellStyle name="Normal 5 5 2 3 6 2" xfId="19870"/>
    <cellStyle name="Normal 5 5 2 3 7" xfId="16381"/>
    <cellStyle name="Normal 5 5 2 4" xfId="825"/>
    <cellStyle name="Normal 5 5 2 4 2" xfId="3311"/>
    <cellStyle name="Normal 5 5 2 4 2 2" xfId="12455"/>
    <cellStyle name="Normal 5 5 2 4 2 2 2" xfId="22674"/>
    <cellStyle name="Normal 5 5 2 4 2 3" xfId="8877"/>
    <cellStyle name="Normal 5 5 2 4 2 4" xfId="17667"/>
    <cellStyle name="Normal 5 5 2 4 3" xfId="4989"/>
    <cellStyle name="Normal 5 5 2 4 3 2" xfId="13828"/>
    <cellStyle name="Normal 5 5 2 4 3 2 2" xfId="24079"/>
    <cellStyle name="Normal 5 5 2 4 3 3" xfId="10249"/>
    <cellStyle name="Normal 5 5 2 4 3 4" xfId="19072"/>
    <cellStyle name="Normal 5 5 2 4 4" xfId="2420"/>
    <cellStyle name="Normal 5 5 2 4 4 2" xfId="11787"/>
    <cellStyle name="Normal 5 5 2 4 4 3" xfId="21791"/>
    <cellStyle name="Normal 5 5 2 4 5" xfId="6446"/>
    <cellStyle name="Normal 5 5 2 4 5 2" xfId="15273"/>
    <cellStyle name="Normal 5 5 2 4 5 3" xfId="25524"/>
    <cellStyle name="Normal 5 5 2 4 6" xfId="7892"/>
    <cellStyle name="Normal 5 5 2 4 6 2" xfId="20273"/>
    <cellStyle name="Normal 5 5 2 4 7" xfId="16784"/>
    <cellStyle name="Normal 5 5 2 5" xfId="1193"/>
    <cellStyle name="Normal 5 5 2 5 2" xfId="3623"/>
    <cellStyle name="Normal 5 5 2 5 2 2" xfId="12761"/>
    <cellStyle name="Normal 5 5 2 5 2 2 2" xfId="22980"/>
    <cellStyle name="Normal 5 5 2 5 2 3" xfId="9182"/>
    <cellStyle name="Normal 5 5 2 5 2 4" xfId="17973"/>
    <cellStyle name="Normal 5 5 2 5 3" xfId="5286"/>
    <cellStyle name="Normal 5 5 2 5 3 2" xfId="14125"/>
    <cellStyle name="Normal 5 5 2 5 3 2 2" xfId="24376"/>
    <cellStyle name="Normal 5 5 2 5 3 3" xfId="10546"/>
    <cellStyle name="Normal 5 5 2 5 3 4" xfId="19369"/>
    <cellStyle name="Normal 5 5 2 5 4" xfId="1796"/>
    <cellStyle name="Normal 5 5 2 5 4 2" xfId="11167"/>
    <cellStyle name="Normal 5 5 2 5 4 3" xfId="21171"/>
    <cellStyle name="Normal 5 5 2 5 5" xfId="6743"/>
    <cellStyle name="Normal 5 5 2 5 5 2" xfId="15570"/>
    <cellStyle name="Normal 5 5 2 5 5 3" xfId="25821"/>
    <cellStyle name="Normal 5 5 2 5 6" xfId="8189"/>
    <cellStyle name="Normal 5 5 2 5 6 2" xfId="20579"/>
    <cellStyle name="Normal 5 5 2 5 7" xfId="16164"/>
    <cellStyle name="Normal 5 5 2 6" xfId="2691"/>
    <cellStyle name="Normal 5 5 2 6 2" xfId="12010"/>
    <cellStyle name="Normal 5 5 2 6 2 2" xfId="22054"/>
    <cellStyle name="Normal 5 5 2 6 3" xfId="8430"/>
    <cellStyle name="Normal 5 5 2 6 4" xfId="17047"/>
    <cellStyle name="Normal 5 5 2 7" xfId="4242"/>
    <cellStyle name="Normal 5 5 2 7 2" xfId="13082"/>
    <cellStyle name="Normal 5 5 2 7 2 2" xfId="23333"/>
    <cellStyle name="Normal 5 5 2 7 3" xfId="9503"/>
    <cellStyle name="Normal 5 5 2 7 4" xfId="18326"/>
    <cellStyle name="Normal 5 5 2 8" xfId="1514"/>
    <cellStyle name="Normal 5 5 2 8 2" xfId="10893"/>
    <cellStyle name="Normal 5 5 2 8 3" xfId="20897"/>
    <cellStyle name="Normal 5 5 2 9" xfId="5700"/>
    <cellStyle name="Normal 5 5 2 9 2" xfId="14527"/>
    <cellStyle name="Normal 5 5 2 9 3" xfId="24778"/>
    <cellStyle name="Normal 5 5 2_Degree data" xfId="3892"/>
    <cellStyle name="Normal 5 5 3" xfId="260"/>
    <cellStyle name="Normal 5 5 3 10" xfId="7101"/>
    <cellStyle name="Normal 5 5 3 10 2" xfId="19715"/>
    <cellStyle name="Normal 5 5 3 11" xfId="15847"/>
    <cellStyle name="Normal 5 5 3 2" xfId="583"/>
    <cellStyle name="Normal 5 5 3 2 2" xfId="828"/>
    <cellStyle name="Normal 5 5 3 2 2 2" xfId="3314"/>
    <cellStyle name="Normal 5 5 3 2 2 2 2" xfId="12458"/>
    <cellStyle name="Normal 5 5 3 2 2 2 2 2" xfId="22677"/>
    <cellStyle name="Normal 5 5 3 2 2 2 3" xfId="8880"/>
    <cellStyle name="Normal 5 5 3 2 2 2 4" xfId="17670"/>
    <cellStyle name="Normal 5 5 3 2 2 3" xfId="4643"/>
    <cellStyle name="Normal 5 5 3 2 2 3 2" xfId="13483"/>
    <cellStyle name="Normal 5 5 3 2 2 3 2 2" xfId="23734"/>
    <cellStyle name="Normal 5 5 3 2 2 3 3" xfId="9904"/>
    <cellStyle name="Normal 5 5 3 2 2 3 4" xfId="18727"/>
    <cellStyle name="Normal 5 5 3 2 2 4" xfId="2423"/>
    <cellStyle name="Normal 5 5 3 2 2 4 2" xfId="11790"/>
    <cellStyle name="Normal 5 5 3 2 2 4 3" xfId="21794"/>
    <cellStyle name="Normal 5 5 3 2 2 5" xfId="6101"/>
    <cellStyle name="Normal 5 5 3 2 2 5 2" xfId="14928"/>
    <cellStyle name="Normal 5 5 3 2 2 5 3" xfId="25179"/>
    <cellStyle name="Normal 5 5 3 2 2 6" xfId="7546"/>
    <cellStyle name="Normal 5 5 3 2 2 6 2" xfId="20276"/>
    <cellStyle name="Normal 5 5 3 2 2 7" xfId="16787"/>
    <cellStyle name="Normal 5 5 3 2 3" xfId="1355"/>
    <cellStyle name="Normal 5 5 3 2 3 2" xfId="3785"/>
    <cellStyle name="Normal 5 5 3 2 3 2 2" xfId="12923"/>
    <cellStyle name="Normal 5 5 3 2 3 2 2 2" xfId="23142"/>
    <cellStyle name="Normal 5 5 3 2 3 2 3" xfId="9344"/>
    <cellStyle name="Normal 5 5 3 2 3 2 4" xfId="18135"/>
    <cellStyle name="Normal 5 5 3 2 3 3" xfId="4992"/>
    <cellStyle name="Normal 5 5 3 2 3 3 2" xfId="13831"/>
    <cellStyle name="Normal 5 5 3 2 3 3 2 2" xfId="24082"/>
    <cellStyle name="Normal 5 5 3 2 3 3 3" xfId="10252"/>
    <cellStyle name="Normal 5 5 3 2 3 3 4" xfId="19075"/>
    <cellStyle name="Normal 5 5 3 2 3 4" xfId="2179"/>
    <cellStyle name="Normal 5 5 3 2 3 4 2" xfId="11546"/>
    <cellStyle name="Normal 5 5 3 2 3 4 3" xfId="21550"/>
    <cellStyle name="Normal 5 5 3 2 3 5" xfId="6449"/>
    <cellStyle name="Normal 5 5 3 2 3 5 2" xfId="15276"/>
    <cellStyle name="Normal 5 5 3 2 3 5 3" xfId="25527"/>
    <cellStyle name="Normal 5 5 3 2 3 6" xfId="7895"/>
    <cellStyle name="Normal 5 5 3 2 3 6 2" xfId="20741"/>
    <cellStyle name="Normal 5 5 3 2 3 7" xfId="16543"/>
    <cellStyle name="Normal 5 5 3 2 4" xfId="3070"/>
    <cellStyle name="Normal 5 5 3 2 4 2" xfId="5448"/>
    <cellStyle name="Normal 5 5 3 2 4 2 2" xfId="14287"/>
    <cellStyle name="Normal 5 5 3 2 4 2 2 2" xfId="24538"/>
    <cellStyle name="Normal 5 5 3 2 4 2 3" xfId="10708"/>
    <cellStyle name="Normal 5 5 3 2 4 2 4" xfId="19531"/>
    <cellStyle name="Normal 5 5 3 2 4 3" xfId="6905"/>
    <cellStyle name="Normal 5 5 3 2 4 3 2" xfId="15732"/>
    <cellStyle name="Normal 5 5 3 2 4 3 3" xfId="25983"/>
    <cellStyle name="Normal 5 5 3 2 4 4" xfId="8351"/>
    <cellStyle name="Normal 5 5 3 2 4 4 2" xfId="22433"/>
    <cellStyle name="Normal 5 5 3 2 4 5" xfId="17426"/>
    <cellStyle name="Normal 5 5 3 2 5" xfId="4404"/>
    <cellStyle name="Normal 5 5 3 2 5 2" xfId="13244"/>
    <cellStyle name="Normal 5 5 3 2 5 2 2" xfId="23495"/>
    <cellStyle name="Normal 5 5 3 2 5 3" xfId="9665"/>
    <cellStyle name="Normal 5 5 3 2 5 4" xfId="18488"/>
    <cellStyle name="Normal 5 5 3 2 6" xfId="1676"/>
    <cellStyle name="Normal 5 5 3 2 6 2" xfId="11055"/>
    <cellStyle name="Normal 5 5 3 2 6 3" xfId="21059"/>
    <cellStyle name="Normal 5 5 3 2 7" xfId="5862"/>
    <cellStyle name="Normal 5 5 3 2 7 2" xfId="14689"/>
    <cellStyle name="Normal 5 5 3 2 7 3" xfId="24940"/>
    <cellStyle name="Normal 5 5 3 2 8" xfId="7306"/>
    <cellStyle name="Normal 5 5 3 2 8 2" xfId="20032"/>
    <cellStyle name="Normal 5 5 3 2 9" xfId="16052"/>
    <cellStyle name="Normal 5 5 3 2_Degree data" xfId="3861"/>
    <cellStyle name="Normal 5 5 3 3" xfId="378"/>
    <cellStyle name="Normal 5 5 3 3 2" xfId="2865"/>
    <cellStyle name="Normal 5 5 3 3 2 2" xfId="12155"/>
    <cellStyle name="Normal 5 5 3 3 2 2 2" xfId="22228"/>
    <cellStyle name="Normal 5 5 3 3 2 3" xfId="8474"/>
    <cellStyle name="Normal 5 5 3 3 2 4" xfId="17221"/>
    <cellStyle name="Normal 5 5 3 3 3" xfId="4642"/>
    <cellStyle name="Normal 5 5 3 3 3 2" xfId="13482"/>
    <cellStyle name="Normal 5 5 3 3 3 2 2" xfId="23733"/>
    <cellStyle name="Normal 5 5 3 3 3 3" xfId="9903"/>
    <cellStyle name="Normal 5 5 3 3 3 4" xfId="18726"/>
    <cellStyle name="Normal 5 5 3 3 4" xfId="1974"/>
    <cellStyle name="Normal 5 5 3 3 4 2" xfId="11341"/>
    <cellStyle name="Normal 5 5 3 3 4 3" xfId="21345"/>
    <cellStyle name="Normal 5 5 3 3 5" xfId="6100"/>
    <cellStyle name="Normal 5 5 3 3 5 2" xfId="14927"/>
    <cellStyle name="Normal 5 5 3 3 5 3" xfId="25178"/>
    <cellStyle name="Normal 5 5 3 3 6" xfId="7545"/>
    <cellStyle name="Normal 5 5 3 3 6 2" xfId="19827"/>
    <cellStyle name="Normal 5 5 3 3 7" xfId="16338"/>
    <cellStyle name="Normal 5 5 3 4" xfId="827"/>
    <cellStyle name="Normal 5 5 3 4 2" xfId="3313"/>
    <cellStyle name="Normal 5 5 3 4 2 2" xfId="12457"/>
    <cellStyle name="Normal 5 5 3 4 2 2 2" xfId="22676"/>
    <cellStyle name="Normal 5 5 3 4 2 3" xfId="8879"/>
    <cellStyle name="Normal 5 5 3 4 2 4" xfId="17669"/>
    <cellStyle name="Normal 5 5 3 4 3" xfId="4991"/>
    <cellStyle name="Normal 5 5 3 4 3 2" xfId="13830"/>
    <cellStyle name="Normal 5 5 3 4 3 2 2" xfId="24081"/>
    <cellStyle name="Normal 5 5 3 4 3 3" xfId="10251"/>
    <cellStyle name="Normal 5 5 3 4 3 4" xfId="19074"/>
    <cellStyle name="Normal 5 5 3 4 4" xfId="2422"/>
    <cellStyle name="Normal 5 5 3 4 4 2" xfId="11789"/>
    <cellStyle name="Normal 5 5 3 4 4 3" xfId="21793"/>
    <cellStyle name="Normal 5 5 3 4 5" xfId="6448"/>
    <cellStyle name="Normal 5 5 3 4 5 2" xfId="15275"/>
    <cellStyle name="Normal 5 5 3 4 5 3" xfId="25526"/>
    <cellStyle name="Normal 5 5 3 4 6" xfId="7894"/>
    <cellStyle name="Normal 5 5 3 4 6 2" xfId="20275"/>
    <cellStyle name="Normal 5 5 3 4 7" xfId="16786"/>
    <cellStyle name="Normal 5 5 3 5" xfId="1150"/>
    <cellStyle name="Normal 5 5 3 5 2" xfId="3580"/>
    <cellStyle name="Normal 5 5 3 5 2 2" xfId="12718"/>
    <cellStyle name="Normal 5 5 3 5 2 2 2" xfId="22937"/>
    <cellStyle name="Normal 5 5 3 5 2 3" xfId="9139"/>
    <cellStyle name="Normal 5 5 3 5 2 4" xfId="17930"/>
    <cellStyle name="Normal 5 5 3 5 3" xfId="5243"/>
    <cellStyle name="Normal 5 5 3 5 3 2" xfId="14082"/>
    <cellStyle name="Normal 5 5 3 5 3 2 2" xfId="24333"/>
    <cellStyle name="Normal 5 5 3 5 3 3" xfId="10503"/>
    <cellStyle name="Normal 5 5 3 5 3 4" xfId="19326"/>
    <cellStyle name="Normal 5 5 3 5 4" xfId="1859"/>
    <cellStyle name="Normal 5 5 3 5 4 2" xfId="11229"/>
    <cellStyle name="Normal 5 5 3 5 4 3" xfId="21233"/>
    <cellStyle name="Normal 5 5 3 5 5" xfId="6700"/>
    <cellStyle name="Normal 5 5 3 5 5 2" xfId="15527"/>
    <cellStyle name="Normal 5 5 3 5 5 3" xfId="25778"/>
    <cellStyle name="Normal 5 5 3 5 6" xfId="8146"/>
    <cellStyle name="Normal 5 5 3 5 6 2" xfId="20536"/>
    <cellStyle name="Normal 5 5 3 5 7" xfId="16226"/>
    <cellStyle name="Normal 5 5 3 6" xfId="2753"/>
    <cellStyle name="Normal 5 5 3 6 2" xfId="12072"/>
    <cellStyle name="Normal 5 5 3 6 2 2" xfId="22116"/>
    <cellStyle name="Normal 5 5 3 6 3" xfId="8495"/>
    <cellStyle name="Normal 5 5 3 6 4" xfId="17109"/>
    <cellStyle name="Normal 5 5 3 7" xfId="4199"/>
    <cellStyle name="Normal 5 5 3 7 2" xfId="13039"/>
    <cellStyle name="Normal 5 5 3 7 2 2" xfId="23290"/>
    <cellStyle name="Normal 5 5 3 7 3" xfId="9460"/>
    <cellStyle name="Normal 5 5 3 7 4" xfId="18283"/>
    <cellStyle name="Normal 5 5 3 8" xfId="1471"/>
    <cellStyle name="Normal 5 5 3 8 2" xfId="10850"/>
    <cellStyle name="Normal 5 5 3 8 3" xfId="20854"/>
    <cellStyle name="Normal 5 5 3 9" xfId="5657"/>
    <cellStyle name="Normal 5 5 3 9 2" xfId="14484"/>
    <cellStyle name="Normal 5 5 3 9 3" xfId="24735"/>
    <cellStyle name="Normal 5 5 3_Degree data" xfId="3890"/>
    <cellStyle name="Normal 5 5 4" xfId="478"/>
    <cellStyle name="Normal 5 5 4 2" xfId="829"/>
    <cellStyle name="Normal 5 5 4 2 2" xfId="3315"/>
    <cellStyle name="Normal 5 5 4 2 2 2" xfId="12459"/>
    <cellStyle name="Normal 5 5 4 2 2 2 2" xfId="22678"/>
    <cellStyle name="Normal 5 5 4 2 2 3" xfId="8881"/>
    <cellStyle name="Normal 5 5 4 2 2 4" xfId="17671"/>
    <cellStyle name="Normal 5 5 4 2 3" xfId="4644"/>
    <cellStyle name="Normal 5 5 4 2 3 2" xfId="13484"/>
    <cellStyle name="Normal 5 5 4 2 3 2 2" xfId="23735"/>
    <cellStyle name="Normal 5 5 4 2 3 3" xfId="9905"/>
    <cellStyle name="Normal 5 5 4 2 3 4" xfId="18728"/>
    <cellStyle name="Normal 5 5 4 2 4" xfId="2424"/>
    <cellStyle name="Normal 5 5 4 2 4 2" xfId="11791"/>
    <cellStyle name="Normal 5 5 4 2 4 3" xfId="21795"/>
    <cellStyle name="Normal 5 5 4 2 5" xfId="6102"/>
    <cellStyle name="Normal 5 5 4 2 5 2" xfId="14929"/>
    <cellStyle name="Normal 5 5 4 2 5 3" xfId="25180"/>
    <cellStyle name="Normal 5 5 4 2 6" xfId="7547"/>
    <cellStyle name="Normal 5 5 4 2 6 2" xfId="20277"/>
    <cellStyle name="Normal 5 5 4 2 7" xfId="16788"/>
    <cellStyle name="Normal 5 5 4 3" xfId="1250"/>
    <cellStyle name="Normal 5 5 4 3 2" xfId="3680"/>
    <cellStyle name="Normal 5 5 4 3 2 2" xfId="12818"/>
    <cellStyle name="Normal 5 5 4 3 2 2 2" xfId="23037"/>
    <cellStyle name="Normal 5 5 4 3 2 3" xfId="9239"/>
    <cellStyle name="Normal 5 5 4 3 2 4" xfId="18030"/>
    <cellStyle name="Normal 5 5 4 3 3" xfId="4993"/>
    <cellStyle name="Normal 5 5 4 3 3 2" xfId="13832"/>
    <cellStyle name="Normal 5 5 4 3 3 2 2" xfId="24083"/>
    <cellStyle name="Normal 5 5 4 3 3 3" xfId="10253"/>
    <cellStyle name="Normal 5 5 4 3 3 4" xfId="19076"/>
    <cellStyle name="Normal 5 5 4 3 4" xfId="2074"/>
    <cellStyle name="Normal 5 5 4 3 4 2" xfId="11441"/>
    <cellStyle name="Normal 5 5 4 3 4 3" xfId="21445"/>
    <cellStyle name="Normal 5 5 4 3 5" xfId="6450"/>
    <cellStyle name="Normal 5 5 4 3 5 2" xfId="15277"/>
    <cellStyle name="Normal 5 5 4 3 5 3" xfId="25528"/>
    <cellStyle name="Normal 5 5 4 3 6" xfId="7896"/>
    <cellStyle name="Normal 5 5 4 3 6 2" xfId="20636"/>
    <cellStyle name="Normal 5 5 4 3 7" xfId="16438"/>
    <cellStyle name="Normal 5 5 4 4" xfId="2965"/>
    <cellStyle name="Normal 5 5 4 4 2" xfId="5343"/>
    <cellStyle name="Normal 5 5 4 4 2 2" xfId="14182"/>
    <cellStyle name="Normal 5 5 4 4 2 2 2" xfId="24433"/>
    <cellStyle name="Normal 5 5 4 4 2 3" xfId="10603"/>
    <cellStyle name="Normal 5 5 4 4 2 4" xfId="19426"/>
    <cellStyle name="Normal 5 5 4 4 3" xfId="6800"/>
    <cellStyle name="Normal 5 5 4 4 3 2" xfId="15627"/>
    <cellStyle name="Normal 5 5 4 4 3 3" xfId="25878"/>
    <cellStyle name="Normal 5 5 4 4 4" xfId="8246"/>
    <cellStyle name="Normal 5 5 4 4 4 2" xfId="22328"/>
    <cellStyle name="Normal 5 5 4 4 5" xfId="17321"/>
    <cellStyle name="Normal 5 5 4 5" xfId="4299"/>
    <cellStyle name="Normal 5 5 4 5 2" xfId="13139"/>
    <cellStyle name="Normal 5 5 4 5 2 2" xfId="23390"/>
    <cellStyle name="Normal 5 5 4 5 3" xfId="9560"/>
    <cellStyle name="Normal 5 5 4 5 4" xfId="18383"/>
    <cellStyle name="Normal 5 5 4 6" xfId="1571"/>
    <cellStyle name="Normal 5 5 4 6 2" xfId="10950"/>
    <cellStyle name="Normal 5 5 4 6 3" xfId="20954"/>
    <cellStyle name="Normal 5 5 4 7" xfId="5757"/>
    <cellStyle name="Normal 5 5 4 7 2" xfId="14584"/>
    <cellStyle name="Normal 5 5 4 7 3" xfId="24835"/>
    <cellStyle name="Normal 5 5 4 8" xfId="7201"/>
    <cellStyle name="Normal 5 5 4 8 2" xfId="19927"/>
    <cellStyle name="Normal 5 5 4 9" xfId="15947"/>
    <cellStyle name="Normal 5 5 4_Degree data" xfId="3899"/>
    <cellStyle name="Normal 5 5 5" xfId="319"/>
    <cellStyle name="Normal 5 5 5 2" xfId="2806"/>
    <cellStyle name="Normal 5 5 5 2 2" xfId="12112"/>
    <cellStyle name="Normal 5 5 5 2 2 2" xfId="22169"/>
    <cellStyle name="Normal 5 5 5 2 3" xfId="8616"/>
    <cellStyle name="Normal 5 5 5 2 4" xfId="17162"/>
    <cellStyle name="Normal 5 5 5 3" xfId="4639"/>
    <cellStyle name="Normal 5 5 5 3 2" xfId="13479"/>
    <cellStyle name="Normal 5 5 5 3 2 2" xfId="23730"/>
    <cellStyle name="Normal 5 5 5 3 3" xfId="9900"/>
    <cellStyle name="Normal 5 5 5 3 4" xfId="18723"/>
    <cellStyle name="Normal 5 5 5 4" xfId="1915"/>
    <cellStyle name="Normal 5 5 5 4 2" xfId="11282"/>
    <cellStyle name="Normal 5 5 5 4 3" xfId="21286"/>
    <cellStyle name="Normal 5 5 5 5" xfId="6097"/>
    <cellStyle name="Normal 5 5 5 5 2" xfId="14924"/>
    <cellStyle name="Normal 5 5 5 5 3" xfId="25175"/>
    <cellStyle name="Normal 5 5 5 6" xfId="7542"/>
    <cellStyle name="Normal 5 5 5 6 2" xfId="19768"/>
    <cellStyle name="Normal 5 5 5 7" xfId="16279"/>
    <cellStyle name="Normal 5 5 6" xfId="824"/>
    <cellStyle name="Normal 5 5 6 2" xfId="3310"/>
    <cellStyle name="Normal 5 5 6 2 2" xfId="12454"/>
    <cellStyle name="Normal 5 5 6 2 2 2" xfId="22673"/>
    <cellStyle name="Normal 5 5 6 2 3" xfId="8876"/>
    <cellStyle name="Normal 5 5 6 2 4" xfId="17666"/>
    <cellStyle name="Normal 5 5 6 3" xfId="4988"/>
    <cellStyle name="Normal 5 5 6 3 2" xfId="13827"/>
    <cellStyle name="Normal 5 5 6 3 2 2" xfId="24078"/>
    <cellStyle name="Normal 5 5 6 3 3" xfId="10248"/>
    <cellStyle name="Normal 5 5 6 3 4" xfId="19071"/>
    <cellStyle name="Normal 5 5 6 4" xfId="2419"/>
    <cellStyle name="Normal 5 5 6 4 2" xfId="11786"/>
    <cellStyle name="Normal 5 5 6 4 3" xfId="21790"/>
    <cellStyle name="Normal 5 5 6 5" xfId="6445"/>
    <cellStyle name="Normal 5 5 6 5 2" xfId="15272"/>
    <cellStyle name="Normal 5 5 6 5 3" xfId="25523"/>
    <cellStyle name="Normal 5 5 6 6" xfId="7891"/>
    <cellStyle name="Normal 5 5 6 6 2" xfId="20272"/>
    <cellStyle name="Normal 5 5 6 7" xfId="16783"/>
    <cellStyle name="Normal 5 5 7" xfId="1091"/>
    <cellStyle name="Normal 5 5 7 2" xfId="3521"/>
    <cellStyle name="Normal 5 5 7 2 2" xfId="12659"/>
    <cellStyle name="Normal 5 5 7 2 2 2" xfId="22878"/>
    <cellStyle name="Normal 5 5 7 2 3" xfId="9081"/>
    <cellStyle name="Normal 5 5 7 2 4" xfId="17871"/>
    <cellStyle name="Normal 5 5 7 3" xfId="5184"/>
    <cellStyle name="Normal 5 5 7 3 2" xfId="14023"/>
    <cellStyle name="Normal 5 5 7 3 2 2" xfId="24274"/>
    <cellStyle name="Normal 5 5 7 3 3" xfId="10444"/>
    <cellStyle name="Normal 5 5 7 3 4" xfId="19267"/>
    <cellStyle name="Normal 5 5 7 4" xfId="1750"/>
    <cellStyle name="Normal 5 5 7 4 2" xfId="11123"/>
    <cellStyle name="Normal 5 5 7 4 3" xfId="21127"/>
    <cellStyle name="Normal 5 5 7 5" xfId="6641"/>
    <cellStyle name="Normal 5 5 7 5 2" xfId="15468"/>
    <cellStyle name="Normal 5 5 7 5 3" xfId="25719"/>
    <cellStyle name="Normal 5 5 7 6" xfId="8087"/>
    <cellStyle name="Normal 5 5 7 6 2" xfId="20477"/>
    <cellStyle name="Normal 5 5 7 7" xfId="16120"/>
    <cellStyle name="Normal 5 5 8" xfId="2648"/>
    <cellStyle name="Normal 5 5 8 2" xfId="5598"/>
    <cellStyle name="Normal 5 5 8 2 2" xfId="14425"/>
    <cellStyle name="Normal 5 5 8 2 3" xfId="24676"/>
    <cellStyle name="Normal 5 5 8 3" xfId="7042"/>
    <cellStyle name="Normal 5 5 8 3 2" xfId="22011"/>
    <cellStyle name="Normal 5 5 8 4" xfId="17004"/>
    <cellStyle name="Normal 5 5 9" xfId="4138"/>
    <cellStyle name="Normal 5 5 9 2" xfId="12978"/>
    <cellStyle name="Normal 5 5 9 2 2" xfId="23229"/>
    <cellStyle name="Normal 5 5 9 3" xfId="9399"/>
    <cellStyle name="Normal 5 5 9 4" xfId="18222"/>
    <cellStyle name="Normal 5 5_Degree data" xfId="3834"/>
    <cellStyle name="Normal 5 6" xfId="184"/>
    <cellStyle name="Normal 5 6 10" xfId="7135"/>
    <cellStyle name="Normal 5 6 10 2" xfId="19644"/>
    <cellStyle name="Normal 5 6 11" xfId="15881"/>
    <cellStyle name="Normal 5 6 2" xfId="512"/>
    <cellStyle name="Normal 5 6 2 2" xfId="831"/>
    <cellStyle name="Normal 5 6 2 2 2" xfId="3317"/>
    <cellStyle name="Normal 5 6 2 2 2 2" xfId="12461"/>
    <cellStyle name="Normal 5 6 2 2 2 2 2" xfId="22680"/>
    <cellStyle name="Normal 5 6 2 2 2 3" xfId="8883"/>
    <cellStyle name="Normal 5 6 2 2 2 4" xfId="17673"/>
    <cellStyle name="Normal 5 6 2 2 3" xfId="4646"/>
    <cellStyle name="Normal 5 6 2 2 3 2" xfId="13486"/>
    <cellStyle name="Normal 5 6 2 2 3 2 2" xfId="23737"/>
    <cellStyle name="Normal 5 6 2 2 3 3" xfId="9907"/>
    <cellStyle name="Normal 5 6 2 2 3 4" xfId="18730"/>
    <cellStyle name="Normal 5 6 2 2 4" xfId="2426"/>
    <cellStyle name="Normal 5 6 2 2 4 2" xfId="11793"/>
    <cellStyle name="Normal 5 6 2 2 4 3" xfId="21797"/>
    <cellStyle name="Normal 5 6 2 2 5" xfId="6104"/>
    <cellStyle name="Normal 5 6 2 2 5 2" xfId="14931"/>
    <cellStyle name="Normal 5 6 2 2 5 3" xfId="25182"/>
    <cellStyle name="Normal 5 6 2 2 6" xfId="7549"/>
    <cellStyle name="Normal 5 6 2 2 6 2" xfId="20279"/>
    <cellStyle name="Normal 5 6 2 2 7" xfId="16790"/>
    <cellStyle name="Normal 5 6 2 3" xfId="1284"/>
    <cellStyle name="Normal 5 6 2 3 2" xfId="3714"/>
    <cellStyle name="Normal 5 6 2 3 2 2" xfId="12852"/>
    <cellStyle name="Normal 5 6 2 3 2 2 2" xfId="23071"/>
    <cellStyle name="Normal 5 6 2 3 2 3" xfId="9273"/>
    <cellStyle name="Normal 5 6 2 3 2 4" xfId="18064"/>
    <cellStyle name="Normal 5 6 2 3 3" xfId="4995"/>
    <cellStyle name="Normal 5 6 2 3 3 2" xfId="13834"/>
    <cellStyle name="Normal 5 6 2 3 3 2 2" xfId="24085"/>
    <cellStyle name="Normal 5 6 2 3 3 3" xfId="10255"/>
    <cellStyle name="Normal 5 6 2 3 3 4" xfId="19078"/>
    <cellStyle name="Normal 5 6 2 3 4" xfId="2108"/>
    <cellStyle name="Normal 5 6 2 3 4 2" xfId="11475"/>
    <cellStyle name="Normal 5 6 2 3 4 3" xfId="21479"/>
    <cellStyle name="Normal 5 6 2 3 5" xfId="6452"/>
    <cellStyle name="Normal 5 6 2 3 5 2" xfId="15279"/>
    <cellStyle name="Normal 5 6 2 3 5 3" xfId="25530"/>
    <cellStyle name="Normal 5 6 2 3 6" xfId="7898"/>
    <cellStyle name="Normal 5 6 2 3 6 2" xfId="20670"/>
    <cellStyle name="Normal 5 6 2 3 7" xfId="16472"/>
    <cellStyle name="Normal 5 6 2 4" xfId="2999"/>
    <cellStyle name="Normal 5 6 2 4 2" xfId="5377"/>
    <cellStyle name="Normal 5 6 2 4 2 2" xfId="14216"/>
    <cellStyle name="Normal 5 6 2 4 2 2 2" xfId="24467"/>
    <cellStyle name="Normal 5 6 2 4 2 3" xfId="10637"/>
    <cellStyle name="Normal 5 6 2 4 2 4" xfId="19460"/>
    <cellStyle name="Normal 5 6 2 4 3" xfId="6834"/>
    <cellStyle name="Normal 5 6 2 4 3 2" xfId="15661"/>
    <cellStyle name="Normal 5 6 2 4 3 3" xfId="25912"/>
    <cellStyle name="Normal 5 6 2 4 4" xfId="8280"/>
    <cellStyle name="Normal 5 6 2 4 4 2" xfId="22362"/>
    <cellStyle name="Normal 5 6 2 4 5" xfId="17355"/>
    <cellStyle name="Normal 5 6 2 5" xfId="4333"/>
    <cellStyle name="Normal 5 6 2 5 2" xfId="13173"/>
    <cellStyle name="Normal 5 6 2 5 2 2" xfId="23424"/>
    <cellStyle name="Normal 5 6 2 5 3" xfId="9594"/>
    <cellStyle name="Normal 5 6 2 5 4" xfId="18417"/>
    <cellStyle name="Normal 5 6 2 6" xfId="1605"/>
    <cellStyle name="Normal 5 6 2 6 2" xfId="10984"/>
    <cellStyle name="Normal 5 6 2 6 3" xfId="20988"/>
    <cellStyle name="Normal 5 6 2 7" xfId="5791"/>
    <cellStyle name="Normal 5 6 2 7 2" xfId="14618"/>
    <cellStyle name="Normal 5 6 2 7 3" xfId="24869"/>
    <cellStyle name="Normal 5 6 2 8" xfId="7235"/>
    <cellStyle name="Normal 5 6 2 8 2" xfId="19961"/>
    <cellStyle name="Normal 5 6 2 9" xfId="15981"/>
    <cellStyle name="Normal 5 6 2_Degree data" xfId="3870"/>
    <cellStyle name="Normal 5 6 3" xfId="412"/>
    <cellStyle name="Normal 5 6 3 2" xfId="2899"/>
    <cellStyle name="Normal 5 6 3 2 2" xfId="12189"/>
    <cellStyle name="Normal 5 6 3 2 2 2" xfId="22262"/>
    <cellStyle name="Normal 5 6 3 2 3" xfId="8465"/>
    <cellStyle name="Normal 5 6 3 2 4" xfId="17255"/>
    <cellStyle name="Normal 5 6 3 3" xfId="4645"/>
    <cellStyle name="Normal 5 6 3 3 2" xfId="13485"/>
    <cellStyle name="Normal 5 6 3 3 2 2" xfId="23736"/>
    <cellStyle name="Normal 5 6 3 3 3" xfId="9906"/>
    <cellStyle name="Normal 5 6 3 3 4" xfId="18729"/>
    <cellStyle name="Normal 5 6 3 4" xfId="2008"/>
    <cellStyle name="Normal 5 6 3 4 2" xfId="11375"/>
    <cellStyle name="Normal 5 6 3 4 3" xfId="21379"/>
    <cellStyle name="Normal 5 6 3 5" xfId="6103"/>
    <cellStyle name="Normal 5 6 3 5 2" xfId="14930"/>
    <cellStyle name="Normal 5 6 3 5 3" xfId="25181"/>
    <cellStyle name="Normal 5 6 3 6" xfId="7548"/>
    <cellStyle name="Normal 5 6 3 6 2" xfId="19861"/>
    <cellStyle name="Normal 5 6 3 7" xfId="16372"/>
    <cellStyle name="Normal 5 6 4" xfId="830"/>
    <cellStyle name="Normal 5 6 4 2" xfId="3316"/>
    <cellStyle name="Normal 5 6 4 2 2" xfId="12460"/>
    <cellStyle name="Normal 5 6 4 2 2 2" xfId="22679"/>
    <cellStyle name="Normal 5 6 4 2 3" xfId="8882"/>
    <cellStyle name="Normal 5 6 4 2 4" xfId="17672"/>
    <cellStyle name="Normal 5 6 4 3" xfId="4994"/>
    <cellStyle name="Normal 5 6 4 3 2" xfId="13833"/>
    <cellStyle name="Normal 5 6 4 3 2 2" xfId="24084"/>
    <cellStyle name="Normal 5 6 4 3 3" xfId="10254"/>
    <cellStyle name="Normal 5 6 4 3 4" xfId="19077"/>
    <cellStyle name="Normal 5 6 4 4" xfId="2425"/>
    <cellStyle name="Normal 5 6 4 4 2" xfId="11792"/>
    <cellStyle name="Normal 5 6 4 4 3" xfId="21796"/>
    <cellStyle name="Normal 5 6 4 5" xfId="6451"/>
    <cellStyle name="Normal 5 6 4 5 2" xfId="15278"/>
    <cellStyle name="Normal 5 6 4 5 3" xfId="25529"/>
    <cellStyle name="Normal 5 6 4 6" xfId="7897"/>
    <cellStyle name="Normal 5 6 4 6 2" xfId="20278"/>
    <cellStyle name="Normal 5 6 4 7" xfId="16789"/>
    <cellStyle name="Normal 5 6 5" xfId="1184"/>
    <cellStyle name="Normal 5 6 5 2" xfId="3614"/>
    <cellStyle name="Normal 5 6 5 2 2" xfId="12752"/>
    <cellStyle name="Normal 5 6 5 2 2 2" xfId="22971"/>
    <cellStyle name="Normal 5 6 5 2 3" xfId="9173"/>
    <cellStyle name="Normal 5 6 5 2 4" xfId="17964"/>
    <cellStyle name="Normal 5 6 5 3" xfId="5277"/>
    <cellStyle name="Normal 5 6 5 3 2" xfId="14116"/>
    <cellStyle name="Normal 5 6 5 3 2 2" xfId="24367"/>
    <cellStyle name="Normal 5 6 5 3 3" xfId="10537"/>
    <cellStyle name="Normal 5 6 5 3 4" xfId="19360"/>
    <cellStyle name="Normal 5 6 5 4" xfId="1787"/>
    <cellStyle name="Normal 5 6 5 4 2" xfId="11158"/>
    <cellStyle name="Normal 5 6 5 4 3" xfId="21162"/>
    <cellStyle name="Normal 5 6 5 5" xfId="6734"/>
    <cellStyle name="Normal 5 6 5 5 2" xfId="15561"/>
    <cellStyle name="Normal 5 6 5 5 3" xfId="25812"/>
    <cellStyle name="Normal 5 6 5 6" xfId="8180"/>
    <cellStyle name="Normal 5 6 5 6 2" xfId="20570"/>
    <cellStyle name="Normal 5 6 5 7" xfId="16155"/>
    <cellStyle name="Normal 5 6 6" xfId="2682"/>
    <cellStyle name="Normal 5 6 6 2" xfId="12001"/>
    <cellStyle name="Normal 5 6 6 2 2" xfId="22045"/>
    <cellStyle name="Normal 5 6 6 3" xfId="8578"/>
    <cellStyle name="Normal 5 6 6 4" xfId="17038"/>
    <cellStyle name="Normal 5 6 7" xfId="4233"/>
    <cellStyle name="Normal 5 6 7 2" xfId="13073"/>
    <cellStyle name="Normal 5 6 7 2 2" xfId="23324"/>
    <cellStyle name="Normal 5 6 7 3" xfId="9494"/>
    <cellStyle name="Normal 5 6 7 4" xfId="18317"/>
    <cellStyle name="Normal 5 6 8" xfId="1505"/>
    <cellStyle name="Normal 5 6 8 2" xfId="10884"/>
    <cellStyle name="Normal 5 6 8 3" xfId="20888"/>
    <cellStyle name="Normal 5 6 9" xfId="5691"/>
    <cellStyle name="Normal 5 6 9 2" xfId="14518"/>
    <cellStyle name="Normal 5 6 9 3" xfId="24769"/>
    <cellStyle name="Normal 5 6_Degree data" xfId="3863"/>
    <cellStyle name="Normal 5 7" xfId="296"/>
    <cellStyle name="Normal 5 7 10" xfId="16086"/>
    <cellStyle name="Normal 5 7 2" xfId="617"/>
    <cellStyle name="Normal 5 7 2 2" xfId="3104"/>
    <cellStyle name="Normal 5 7 2 2 2" xfId="12249"/>
    <cellStyle name="Normal 5 7 2 2 2 2" xfId="22467"/>
    <cellStyle name="Normal 5 7 2 2 3" xfId="8671"/>
    <cellStyle name="Normal 5 7 2 2 4" xfId="17460"/>
    <cellStyle name="Normal 5 7 2 3" xfId="4647"/>
    <cellStyle name="Normal 5 7 2 3 2" xfId="13487"/>
    <cellStyle name="Normal 5 7 2 3 2 2" xfId="23738"/>
    <cellStyle name="Normal 5 7 2 3 3" xfId="9908"/>
    <cellStyle name="Normal 5 7 2 3 4" xfId="18731"/>
    <cellStyle name="Normal 5 7 2 4" xfId="2213"/>
    <cellStyle name="Normal 5 7 2 4 2" xfId="11580"/>
    <cellStyle name="Normal 5 7 2 4 3" xfId="21584"/>
    <cellStyle name="Normal 5 7 2 5" xfId="6105"/>
    <cellStyle name="Normal 5 7 2 5 2" xfId="14932"/>
    <cellStyle name="Normal 5 7 2 5 3" xfId="25183"/>
    <cellStyle name="Normal 5 7 2 6" xfId="7550"/>
    <cellStyle name="Normal 5 7 2 6 2" xfId="20066"/>
    <cellStyle name="Normal 5 7 2 7" xfId="16577"/>
    <cellStyle name="Normal 5 7 3" xfId="832"/>
    <cellStyle name="Normal 5 7 3 2" xfId="3318"/>
    <cellStyle name="Normal 5 7 3 2 2" xfId="12462"/>
    <cellStyle name="Normal 5 7 3 2 2 2" xfId="22681"/>
    <cellStyle name="Normal 5 7 3 2 3" xfId="8884"/>
    <cellStyle name="Normal 5 7 3 2 4" xfId="17674"/>
    <cellStyle name="Normal 5 7 3 3" xfId="4996"/>
    <cellStyle name="Normal 5 7 3 3 2" xfId="13835"/>
    <cellStyle name="Normal 5 7 3 3 2 2" xfId="24086"/>
    <cellStyle name="Normal 5 7 3 3 3" xfId="10256"/>
    <cellStyle name="Normal 5 7 3 3 4" xfId="19079"/>
    <cellStyle name="Normal 5 7 3 4" xfId="2427"/>
    <cellStyle name="Normal 5 7 3 4 2" xfId="11794"/>
    <cellStyle name="Normal 5 7 3 4 3" xfId="21798"/>
    <cellStyle name="Normal 5 7 3 5" xfId="6453"/>
    <cellStyle name="Normal 5 7 3 5 2" xfId="15280"/>
    <cellStyle name="Normal 5 7 3 5 3" xfId="25531"/>
    <cellStyle name="Normal 5 7 3 6" xfId="7899"/>
    <cellStyle name="Normal 5 7 3 6 2" xfId="20280"/>
    <cellStyle name="Normal 5 7 3 7" xfId="16791"/>
    <cellStyle name="Normal 5 7 4" xfId="1389"/>
    <cellStyle name="Normal 5 7 4 2" xfId="3819"/>
    <cellStyle name="Normal 5 7 4 2 2" xfId="12957"/>
    <cellStyle name="Normal 5 7 4 2 2 2" xfId="23176"/>
    <cellStyle name="Normal 5 7 4 2 3" xfId="9378"/>
    <cellStyle name="Normal 5 7 4 2 4" xfId="18169"/>
    <cellStyle name="Normal 5 7 4 3" xfId="5482"/>
    <cellStyle name="Normal 5 7 4 3 2" xfId="14321"/>
    <cellStyle name="Normal 5 7 4 3 2 2" xfId="24572"/>
    <cellStyle name="Normal 5 7 4 3 3" xfId="10742"/>
    <cellStyle name="Normal 5 7 4 3 4" xfId="19565"/>
    <cellStyle name="Normal 5 7 4 4" xfId="1893"/>
    <cellStyle name="Normal 5 7 4 4 2" xfId="11263"/>
    <cellStyle name="Normal 5 7 4 4 3" xfId="21267"/>
    <cellStyle name="Normal 5 7 4 5" xfId="6939"/>
    <cellStyle name="Normal 5 7 4 5 2" xfId="15766"/>
    <cellStyle name="Normal 5 7 4 5 3" xfId="26017"/>
    <cellStyle name="Normal 5 7 4 6" xfId="8385"/>
    <cellStyle name="Normal 5 7 4 6 2" xfId="20775"/>
    <cellStyle name="Normal 5 7 4 7" xfId="16260"/>
    <cellStyle name="Normal 5 7 5" xfId="2787"/>
    <cellStyle name="Normal 5 7 5 2" xfId="12106"/>
    <cellStyle name="Normal 5 7 5 2 2" xfId="22150"/>
    <cellStyle name="Normal 5 7 5 3" xfId="8486"/>
    <cellStyle name="Normal 5 7 5 4" xfId="17143"/>
    <cellStyle name="Normal 5 7 6" xfId="4438"/>
    <cellStyle name="Normal 5 7 6 2" xfId="13278"/>
    <cellStyle name="Normal 5 7 6 2 2" xfId="23529"/>
    <cellStyle name="Normal 5 7 6 3" xfId="9699"/>
    <cellStyle name="Normal 5 7 6 4" xfId="18522"/>
    <cellStyle name="Normal 5 7 7" xfId="1710"/>
    <cellStyle name="Normal 5 7 7 2" xfId="11089"/>
    <cellStyle name="Normal 5 7 7 3" xfId="21093"/>
    <cellStyle name="Normal 5 7 8" xfId="5896"/>
    <cellStyle name="Normal 5 7 8 2" xfId="14723"/>
    <cellStyle name="Normal 5 7 8 3" xfId="24974"/>
    <cellStyle name="Normal 5 7 9" xfId="7340"/>
    <cellStyle name="Normal 5 7 9 2" xfId="19749"/>
    <cellStyle name="Normal 5 7_Degree data" xfId="3907"/>
    <cellStyle name="Normal 5 8" xfId="308"/>
    <cellStyle name="Normal 5 8 2" xfId="833"/>
    <cellStyle name="Normal 5 8 2 2" xfId="3319"/>
    <cellStyle name="Normal 5 8 2 2 2" xfId="12463"/>
    <cellStyle name="Normal 5 8 2 2 2 2" xfId="22682"/>
    <cellStyle name="Normal 5 8 2 2 3" xfId="8885"/>
    <cellStyle name="Normal 5 8 2 2 4" xfId="17675"/>
    <cellStyle name="Normal 5 8 2 3" xfId="4648"/>
    <cellStyle name="Normal 5 8 2 3 2" xfId="13488"/>
    <cellStyle name="Normal 5 8 2 3 2 2" xfId="23739"/>
    <cellStyle name="Normal 5 8 2 3 3" xfId="9909"/>
    <cellStyle name="Normal 5 8 2 3 4" xfId="18732"/>
    <cellStyle name="Normal 5 8 2 4" xfId="2428"/>
    <cellStyle name="Normal 5 8 2 4 2" xfId="11795"/>
    <cellStyle name="Normal 5 8 2 4 3" xfId="21799"/>
    <cellStyle name="Normal 5 8 2 5" xfId="6106"/>
    <cellStyle name="Normal 5 8 2 5 2" xfId="14933"/>
    <cellStyle name="Normal 5 8 2 5 3" xfId="25184"/>
    <cellStyle name="Normal 5 8 2 6" xfId="7551"/>
    <cellStyle name="Normal 5 8 2 6 2" xfId="20281"/>
    <cellStyle name="Normal 5 8 2 7" xfId="16792"/>
    <cellStyle name="Normal 5 8 3" xfId="1080"/>
    <cellStyle name="Normal 5 8 3 2" xfId="3510"/>
    <cellStyle name="Normal 5 8 3 2 2" xfId="12648"/>
    <cellStyle name="Normal 5 8 3 2 2 2" xfId="22867"/>
    <cellStyle name="Normal 5 8 3 2 3" xfId="9070"/>
    <cellStyle name="Normal 5 8 3 2 4" xfId="17860"/>
    <cellStyle name="Normal 5 8 3 3" xfId="4997"/>
    <cellStyle name="Normal 5 8 3 3 2" xfId="13836"/>
    <cellStyle name="Normal 5 8 3 3 2 2" xfId="24087"/>
    <cellStyle name="Normal 5 8 3 3 3" xfId="10257"/>
    <cellStyle name="Normal 5 8 3 3 4" xfId="19080"/>
    <cellStyle name="Normal 5 8 3 4" xfId="2590"/>
    <cellStyle name="Normal 5 8 3 4 2" xfId="11956"/>
    <cellStyle name="Normal 5 8 3 4 3" xfId="21960"/>
    <cellStyle name="Normal 5 8 3 5" xfId="6454"/>
    <cellStyle name="Normal 5 8 3 5 2" xfId="15281"/>
    <cellStyle name="Normal 5 8 3 5 3" xfId="25532"/>
    <cellStyle name="Normal 5 8 3 6" xfId="7900"/>
    <cellStyle name="Normal 5 8 3 6 2" xfId="20466"/>
    <cellStyle name="Normal 5 8 3 7" xfId="16953"/>
    <cellStyle name="Normal 5 8 4" xfId="2795"/>
    <cellStyle name="Normal 5 8 4 2" xfId="5173"/>
    <cellStyle name="Normal 5 8 4 2 2" xfId="14012"/>
    <cellStyle name="Normal 5 8 4 2 2 2" xfId="24263"/>
    <cellStyle name="Normal 5 8 4 2 3" xfId="10433"/>
    <cellStyle name="Normal 5 8 4 2 4" xfId="19256"/>
    <cellStyle name="Normal 5 8 4 3" xfId="6630"/>
    <cellStyle name="Normal 5 8 4 3 2" xfId="15457"/>
    <cellStyle name="Normal 5 8 4 3 3" xfId="25708"/>
    <cellStyle name="Normal 5 8 4 4" xfId="8076"/>
    <cellStyle name="Normal 5 8 4 4 2" xfId="22158"/>
    <cellStyle name="Normal 5 8 4 5" xfId="17151"/>
    <cellStyle name="Normal 5 8 5" xfId="4127"/>
    <cellStyle name="Normal 5 8 5 2" xfId="12967"/>
    <cellStyle name="Normal 5 8 5 2 2" xfId="23218"/>
    <cellStyle name="Normal 5 8 5 3" xfId="9388"/>
    <cellStyle name="Normal 5 8 5 4" xfId="18211"/>
    <cellStyle name="Normal 5 8 6" xfId="1904"/>
    <cellStyle name="Normal 5 8 6 2" xfId="11271"/>
    <cellStyle name="Normal 5 8 6 3" xfId="21275"/>
    <cellStyle name="Normal 5 8 7" xfId="5587"/>
    <cellStyle name="Normal 5 8 7 2" xfId="14414"/>
    <cellStyle name="Normal 5 8 7 3" xfId="24665"/>
    <cellStyle name="Normal 5 8 8" xfId="7031"/>
    <cellStyle name="Normal 5 8 8 2" xfId="19757"/>
    <cellStyle name="Normal 5 8 9" xfId="16268"/>
    <cellStyle name="Normal 5 8_Degree data" xfId="3940"/>
    <cellStyle name="Normal 5 9" xfId="791"/>
    <cellStyle name="Normal 5 9 2" xfId="3277"/>
    <cellStyle name="Normal 5 9 2 2" xfId="12421"/>
    <cellStyle name="Normal 5 9 2 2 2" xfId="22640"/>
    <cellStyle name="Normal 5 9 2 3" xfId="8843"/>
    <cellStyle name="Normal 5 9 2 4" xfId="17633"/>
    <cellStyle name="Normal 5 9 3" xfId="4606"/>
    <cellStyle name="Normal 5 9 3 2" xfId="13446"/>
    <cellStyle name="Normal 5 9 3 2 2" xfId="23697"/>
    <cellStyle name="Normal 5 9 3 3" xfId="9867"/>
    <cellStyle name="Normal 5 9 3 4" xfId="18690"/>
    <cellStyle name="Normal 5 9 4" xfId="2386"/>
    <cellStyle name="Normal 5 9 4 2" xfId="11753"/>
    <cellStyle name="Normal 5 9 4 3" xfId="21757"/>
    <cellStyle name="Normal 5 9 5" xfId="6064"/>
    <cellStyle name="Normal 5 9 5 2" xfId="14891"/>
    <cellStyle name="Normal 5 9 5 3" xfId="25142"/>
    <cellStyle name="Normal 5 9 6" xfId="7509"/>
    <cellStyle name="Normal 5 9 6 2" xfId="20239"/>
    <cellStyle name="Normal 5 9 7" xfId="16750"/>
    <cellStyle name="Normal 5_Degree data" xfId="3843"/>
    <cellStyle name="Normal 50" xfId="99"/>
    <cellStyle name="Normal 51" xfId="100"/>
    <cellStyle name="Normal 52" xfId="95"/>
    <cellStyle name="Normal 53" xfId="14"/>
    <cellStyle name="Normal 54" xfId="15"/>
    <cellStyle name="Normal 55" xfId="16"/>
    <cellStyle name="Normal 56" xfId="52"/>
    <cellStyle name="Normal 57" xfId="35"/>
    <cellStyle name="Normal 57 10" xfId="288"/>
    <cellStyle name="Normal 57 10 10" xfId="16079"/>
    <cellStyle name="Normal 57 10 2" xfId="610"/>
    <cellStyle name="Normal 57 10 2 2" xfId="3097"/>
    <cellStyle name="Normal 57 10 2 2 2" xfId="12242"/>
    <cellStyle name="Normal 57 10 2 2 2 2" xfId="22460"/>
    <cellStyle name="Normal 57 10 2 2 3" xfId="8664"/>
    <cellStyle name="Normal 57 10 2 2 4" xfId="17453"/>
    <cellStyle name="Normal 57 10 2 3" xfId="4650"/>
    <cellStyle name="Normal 57 10 2 3 2" xfId="13490"/>
    <cellStyle name="Normal 57 10 2 3 2 2" xfId="23741"/>
    <cellStyle name="Normal 57 10 2 3 3" xfId="9911"/>
    <cellStyle name="Normal 57 10 2 3 4" xfId="18734"/>
    <cellStyle name="Normal 57 10 2 4" xfId="2206"/>
    <cellStyle name="Normal 57 10 2 4 2" xfId="11573"/>
    <cellStyle name="Normal 57 10 2 4 3" xfId="21577"/>
    <cellStyle name="Normal 57 10 2 5" xfId="6108"/>
    <cellStyle name="Normal 57 10 2 5 2" xfId="14935"/>
    <cellStyle name="Normal 57 10 2 5 3" xfId="25186"/>
    <cellStyle name="Normal 57 10 2 6" xfId="7553"/>
    <cellStyle name="Normal 57 10 2 6 2" xfId="20059"/>
    <cellStyle name="Normal 57 10 2 7" xfId="16570"/>
    <cellStyle name="Normal 57 10 3" xfId="835"/>
    <cellStyle name="Normal 57 10 3 2" xfId="3321"/>
    <cellStyle name="Normal 57 10 3 2 2" xfId="12465"/>
    <cellStyle name="Normal 57 10 3 2 2 2" xfId="22684"/>
    <cellStyle name="Normal 57 10 3 2 3" xfId="8887"/>
    <cellStyle name="Normal 57 10 3 2 4" xfId="17677"/>
    <cellStyle name="Normal 57 10 3 3" xfId="4999"/>
    <cellStyle name="Normal 57 10 3 3 2" xfId="13838"/>
    <cellStyle name="Normal 57 10 3 3 2 2" xfId="24089"/>
    <cellStyle name="Normal 57 10 3 3 3" xfId="10259"/>
    <cellStyle name="Normal 57 10 3 3 4" xfId="19082"/>
    <cellStyle name="Normal 57 10 3 4" xfId="2430"/>
    <cellStyle name="Normal 57 10 3 4 2" xfId="11797"/>
    <cellStyle name="Normal 57 10 3 4 3" xfId="21801"/>
    <cellStyle name="Normal 57 10 3 5" xfId="6456"/>
    <cellStyle name="Normal 57 10 3 5 2" xfId="15283"/>
    <cellStyle name="Normal 57 10 3 5 3" xfId="25534"/>
    <cellStyle name="Normal 57 10 3 6" xfId="7902"/>
    <cellStyle name="Normal 57 10 3 6 2" xfId="20283"/>
    <cellStyle name="Normal 57 10 3 7" xfId="16794"/>
    <cellStyle name="Normal 57 10 4" xfId="1382"/>
    <cellStyle name="Normal 57 10 4 2" xfId="3812"/>
    <cellStyle name="Normal 57 10 4 2 2" xfId="12950"/>
    <cellStyle name="Normal 57 10 4 2 2 2" xfId="23169"/>
    <cellStyle name="Normal 57 10 4 2 3" xfId="9371"/>
    <cellStyle name="Normal 57 10 4 2 4" xfId="18162"/>
    <cellStyle name="Normal 57 10 4 3" xfId="5475"/>
    <cellStyle name="Normal 57 10 4 3 2" xfId="14314"/>
    <cellStyle name="Normal 57 10 4 3 2 2" xfId="24565"/>
    <cellStyle name="Normal 57 10 4 3 3" xfId="10735"/>
    <cellStyle name="Normal 57 10 4 3 4" xfId="19558"/>
    <cellStyle name="Normal 57 10 4 4" xfId="1886"/>
    <cellStyle name="Normal 57 10 4 4 2" xfId="11256"/>
    <cellStyle name="Normal 57 10 4 4 3" xfId="21260"/>
    <cellStyle name="Normal 57 10 4 5" xfId="6932"/>
    <cellStyle name="Normal 57 10 4 5 2" xfId="15759"/>
    <cellStyle name="Normal 57 10 4 5 3" xfId="26010"/>
    <cellStyle name="Normal 57 10 4 6" xfId="8378"/>
    <cellStyle name="Normal 57 10 4 6 2" xfId="20768"/>
    <cellStyle name="Normal 57 10 4 7" xfId="16253"/>
    <cellStyle name="Normal 57 10 5" xfId="2780"/>
    <cellStyle name="Normal 57 10 5 2" xfId="12099"/>
    <cellStyle name="Normal 57 10 5 2 2" xfId="22143"/>
    <cellStyle name="Normal 57 10 5 3" xfId="8441"/>
    <cellStyle name="Normal 57 10 5 4" xfId="17136"/>
    <cellStyle name="Normal 57 10 6" xfId="4431"/>
    <cellStyle name="Normal 57 10 6 2" xfId="13271"/>
    <cellStyle name="Normal 57 10 6 2 2" xfId="23522"/>
    <cellStyle name="Normal 57 10 6 3" xfId="9692"/>
    <cellStyle name="Normal 57 10 6 4" xfId="18515"/>
    <cellStyle name="Normal 57 10 7" xfId="1703"/>
    <cellStyle name="Normal 57 10 7 2" xfId="11082"/>
    <cellStyle name="Normal 57 10 7 3" xfId="21086"/>
    <cellStyle name="Normal 57 10 8" xfId="5889"/>
    <cellStyle name="Normal 57 10 8 2" xfId="14716"/>
    <cellStyle name="Normal 57 10 8 3" xfId="24967"/>
    <cellStyle name="Normal 57 10 9" xfId="7333"/>
    <cellStyle name="Normal 57 10 9 2" xfId="19742"/>
    <cellStyle name="Normal 57 10_Degree data" xfId="3942"/>
    <cellStyle name="Normal 57 11" xfId="449"/>
    <cellStyle name="Normal 57 11 2" xfId="836"/>
    <cellStyle name="Normal 57 11 2 2" xfId="3322"/>
    <cellStyle name="Normal 57 11 2 2 2" xfId="12466"/>
    <cellStyle name="Normal 57 11 2 2 2 2" xfId="22685"/>
    <cellStyle name="Normal 57 11 2 2 3" xfId="8888"/>
    <cellStyle name="Normal 57 11 2 2 4" xfId="17678"/>
    <cellStyle name="Normal 57 11 2 3" xfId="4651"/>
    <cellStyle name="Normal 57 11 2 3 2" xfId="13491"/>
    <cellStyle name="Normal 57 11 2 3 2 2" xfId="23742"/>
    <cellStyle name="Normal 57 11 2 3 3" xfId="9912"/>
    <cellStyle name="Normal 57 11 2 3 4" xfId="18735"/>
    <cellStyle name="Normal 57 11 2 4" xfId="2431"/>
    <cellStyle name="Normal 57 11 2 4 2" xfId="11798"/>
    <cellStyle name="Normal 57 11 2 4 3" xfId="21802"/>
    <cellStyle name="Normal 57 11 2 5" xfId="6109"/>
    <cellStyle name="Normal 57 11 2 5 2" xfId="14936"/>
    <cellStyle name="Normal 57 11 2 5 3" xfId="25187"/>
    <cellStyle name="Normal 57 11 2 6" xfId="7554"/>
    <cellStyle name="Normal 57 11 2 6 2" xfId="20284"/>
    <cellStyle name="Normal 57 11 2 7" xfId="16795"/>
    <cellStyle name="Normal 57 11 3" xfId="1221"/>
    <cellStyle name="Normal 57 11 3 2" xfId="3651"/>
    <cellStyle name="Normal 57 11 3 2 2" xfId="12789"/>
    <cellStyle name="Normal 57 11 3 2 2 2" xfId="23008"/>
    <cellStyle name="Normal 57 11 3 2 3" xfId="9210"/>
    <cellStyle name="Normal 57 11 3 2 4" xfId="18001"/>
    <cellStyle name="Normal 57 11 3 3" xfId="5000"/>
    <cellStyle name="Normal 57 11 3 3 2" xfId="13839"/>
    <cellStyle name="Normal 57 11 3 3 2 2" xfId="24090"/>
    <cellStyle name="Normal 57 11 3 3 3" xfId="10260"/>
    <cellStyle name="Normal 57 11 3 3 4" xfId="19083"/>
    <cellStyle name="Normal 57 11 3 4" xfId="2045"/>
    <cellStyle name="Normal 57 11 3 4 2" xfId="11412"/>
    <cellStyle name="Normal 57 11 3 4 3" xfId="21416"/>
    <cellStyle name="Normal 57 11 3 5" xfId="6457"/>
    <cellStyle name="Normal 57 11 3 5 2" xfId="15284"/>
    <cellStyle name="Normal 57 11 3 5 3" xfId="25535"/>
    <cellStyle name="Normal 57 11 3 6" xfId="7903"/>
    <cellStyle name="Normal 57 11 3 6 2" xfId="20607"/>
    <cellStyle name="Normal 57 11 3 7" xfId="16409"/>
    <cellStyle name="Normal 57 11 4" xfId="2936"/>
    <cellStyle name="Normal 57 11 4 2" xfId="5314"/>
    <cellStyle name="Normal 57 11 4 2 2" xfId="14153"/>
    <cellStyle name="Normal 57 11 4 2 2 2" xfId="24404"/>
    <cellStyle name="Normal 57 11 4 2 3" xfId="10574"/>
    <cellStyle name="Normal 57 11 4 2 4" xfId="19397"/>
    <cellStyle name="Normal 57 11 4 3" xfId="6771"/>
    <cellStyle name="Normal 57 11 4 3 2" xfId="15598"/>
    <cellStyle name="Normal 57 11 4 3 3" xfId="25849"/>
    <cellStyle name="Normal 57 11 4 4" xfId="8217"/>
    <cellStyle name="Normal 57 11 4 4 2" xfId="22299"/>
    <cellStyle name="Normal 57 11 4 5" xfId="17292"/>
    <cellStyle name="Normal 57 11 5" xfId="4270"/>
    <cellStyle name="Normal 57 11 5 2" xfId="13110"/>
    <cellStyle name="Normal 57 11 5 2 2" xfId="23361"/>
    <cellStyle name="Normal 57 11 5 3" xfId="9531"/>
    <cellStyle name="Normal 57 11 5 4" xfId="18354"/>
    <cellStyle name="Normal 57 11 6" xfId="1542"/>
    <cellStyle name="Normal 57 11 6 2" xfId="10921"/>
    <cellStyle name="Normal 57 11 6 3" xfId="20925"/>
    <cellStyle name="Normal 57 11 7" xfId="5728"/>
    <cellStyle name="Normal 57 11 7 2" xfId="14555"/>
    <cellStyle name="Normal 57 11 7 3" xfId="24806"/>
    <cellStyle name="Normal 57 11 8" xfId="7172"/>
    <cellStyle name="Normal 57 11 8 2" xfId="19898"/>
    <cellStyle name="Normal 57 11 9" xfId="15918"/>
    <cellStyle name="Normal 57 11_Degree data" xfId="3943"/>
    <cellStyle name="Normal 57 12" xfId="304"/>
    <cellStyle name="Normal 57 12 2" xfId="837"/>
    <cellStyle name="Normal 57 12 2 2" xfId="3323"/>
    <cellStyle name="Normal 57 12 2 2 2" xfId="12467"/>
    <cellStyle name="Normal 57 12 2 2 2 2" xfId="22686"/>
    <cellStyle name="Normal 57 12 2 2 3" xfId="8889"/>
    <cellStyle name="Normal 57 12 2 2 4" xfId="17679"/>
    <cellStyle name="Normal 57 12 2 3" xfId="4652"/>
    <cellStyle name="Normal 57 12 2 3 2" xfId="13492"/>
    <cellStyle name="Normal 57 12 2 3 2 2" xfId="23743"/>
    <cellStyle name="Normal 57 12 2 3 3" xfId="9913"/>
    <cellStyle name="Normal 57 12 2 3 4" xfId="18736"/>
    <cellStyle name="Normal 57 12 2 4" xfId="2432"/>
    <cellStyle name="Normal 57 12 2 4 2" xfId="11799"/>
    <cellStyle name="Normal 57 12 2 4 3" xfId="21803"/>
    <cellStyle name="Normal 57 12 2 5" xfId="6110"/>
    <cellStyle name="Normal 57 12 2 5 2" xfId="14937"/>
    <cellStyle name="Normal 57 12 2 5 3" xfId="25188"/>
    <cellStyle name="Normal 57 12 2 6" xfId="7555"/>
    <cellStyle name="Normal 57 12 2 6 2" xfId="20285"/>
    <cellStyle name="Normal 57 12 2 7" xfId="16796"/>
    <cellStyle name="Normal 57 12 3" xfId="1076"/>
    <cellStyle name="Normal 57 12 3 2" xfId="3506"/>
    <cellStyle name="Normal 57 12 3 2 2" xfId="12644"/>
    <cellStyle name="Normal 57 12 3 2 2 2" xfId="22863"/>
    <cellStyle name="Normal 57 12 3 2 3" xfId="9066"/>
    <cellStyle name="Normal 57 12 3 2 4" xfId="17856"/>
    <cellStyle name="Normal 57 12 3 3" xfId="5001"/>
    <cellStyle name="Normal 57 12 3 3 2" xfId="13840"/>
    <cellStyle name="Normal 57 12 3 3 2 2" xfId="24091"/>
    <cellStyle name="Normal 57 12 3 3 3" xfId="10261"/>
    <cellStyle name="Normal 57 12 3 3 4" xfId="19084"/>
    <cellStyle name="Normal 57 12 3 4" xfId="2584"/>
    <cellStyle name="Normal 57 12 3 4 2" xfId="11950"/>
    <cellStyle name="Normal 57 12 3 4 3" xfId="21954"/>
    <cellStyle name="Normal 57 12 3 5" xfId="6458"/>
    <cellStyle name="Normal 57 12 3 5 2" xfId="15285"/>
    <cellStyle name="Normal 57 12 3 5 3" xfId="25536"/>
    <cellStyle name="Normal 57 12 3 6" xfId="7904"/>
    <cellStyle name="Normal 57 12 3 6 2" xfId="20462"/>
    <cellStyle name="Normal 57 12 3 7" xfId="16947"/>
    <cellStyle name="Normal 57 12 4" xfId="2791"/>
    <cellStyle name="Normal 57 12 4 2" xfId="5169"/>
    <cellStyle name="Normal 57 12 4 2 2" xfId="14008"/>
    <cellStyle name="Normal 57 12 4 2 2 2" xfId="24259"/>
    <cellStyle name="Normal 57 12 4 2 3" xfId="10429"/>
    <cellStyle name="Normal 57 12 4 2 4" xfId="19252"/>
    <cellStyle name="Normal 57 12 4 3" xfId="6626"/>
    <cellStyle name="Normal 57 12 4 3 2" xfId="15453"/>
    <cellStyle name="Normal 57 12 4 3 3" xfId="25704"/>
    <cellStyle name="Normal 57 12 4 4" xfId="8072"/>
    <cellStyle name="Normal 57 12 4 4 2" xfId="22154"/>
    <cellStyle name="Normal 57 12 4 5" xfId="17147"/>
    <cellStyle name="Normal 57 12 5" xfId="4123"/>
    <cellStyle name="Normal 57 12 5 2" xfId="12963"/>
    <cellStyle name="Normal 57 12 5 2 2" xfId="23214"/>
    <cellStyle name="Normal 57 12 5 3" xfId="9384"/>
    <cellStyle name="Normal 57 12 5 4" xfId="18207"/>
    <cellStyle name="Normal 57 12 6" xfId="1900"/>
    <cellStyle name="Normal 57 12 6 2" xfId="11267"/>
    <cellStyle name="Normal 57 12 6 3" xfId="21271"/>
    <cellStyle name="Normal 57 12 7" xfId="5583"/>
    <cellStyle name="Normal 57 12 7 2" xfId="14410"/>
    <cellStyle name="Normal 57 12 7 3" xfId="24661"/>
    <cellStyle name="Normal 57 12 8" xfId="7027"/>
    <cellStyle name="Normal 57 12 8 2" xfId="19753"/>
    <cellStyle name="Normal 57 12 9" xfId="16264"/>
    <cellStyle name="Normal 57 12_Degree data" xfId="3944"/>
    <cellStyle name="Normal 57 13" xfId="834"/>
    <cellStyle name="Normal 57 13 2" xfId="3320"/>
    <cellStyle name="Normal 57 13 2 2" xfId="12464"/>
    <cellStyle name="Normal 57 13 2 2 2" xfId="22683"/>
    <cellStyle name="Normal 57 13 2 3" xfId="8886"/>
    <cellStyle name="Normal 57 13 2 4" xfId="17676"/>
    <cellStyle name="Normal 57 13 3" xfId="4649"/>
    <cellStyle name="Normal 57 13 3 2" xfId="13489"/>
    <cellStyle name="Normal 57 13 3 2 2" xfId="23740"/>
    <cellStyle name="Normal 57 13 3 3" xfId="9910"/>
    <cellStyle name="Normal 57 13 3 4" xfId="18733"/>
    <cellStyle name="Normal 57 13 4" xfId="2429"/>
    <cellStyle name="Normal 57 13 4 2" xfId="11796"/>
    <cellStyle name="Normal 57 13 4 3" xfId="21800"/>
    <cellStyle name="Normal 57 13 5" xfId="6107"/>
    <cellStyle name="Normal 57 13 5 2" xfId="14934"/>
    <cellStyle name="Normal 57 13 5 3" xfId="25185"/>
    <cellStyle name="Normal 57 13 6" xfId="7552"/>
    <cellStyle name="Normal 57 13 6 2" xfId="20282"/>
    <cellStyle name="Normal 57 13 7" xfId="16793"/>
    <cellStyle name="Normal 57 14" xfId="1046"/>
    <cellStyle name="Normal 57 14 2" xfId="3476"/>
    <cellStyle name="Normal 57 14 2 2" xfId="12614"/>
    <cellStyle name="Normal 57 14 2 2 2" xfId="22833"/>
    <cellStyle name="Normal 57 14 2 3" xfId="9036"/>
    <cellStyle name="Normal 57 14 2 4" xfId="17826"/>
    <cellStyle name="Normal 57 14 3" xfId="4998"/>
    <cellStyle name="Normal 57 14 3 2" xfId="13837"/>
    <cellStyle name="Normal 57 14 3 2 2" xfId="24088"/>
    <cellStyle name="Normal 57 14 3 3" xfId="10258"/>
    <cellStyle name="Normal 57 14 3 4" xfId="19081"/>
    <cellStyle name="Normal 57 14 4" xfId="1714"/>
    <cellStyle name="Normal 57 14 4 2" xfId="11093"/>
    <cellStyle name="Normal 57 14 4 3" xfId="21097"/>
    <cellStyle name="Normal 57 14 5" xfId="6455"/>
    <cellStyle name="Normal 57 14 5 2" xfId="15282"/>
    <cellStyle name="Normal 57 14 5 3" xfId="25533"/>
    <cellStyle name="Normal 57 14 6" xfId="7901"/>
    <cellStyle name="Normal 57 14 6 2" xfId="20432"/>
    <cellStyle name="Normal 57 14 7" xfId="16090"/>
    <cellStyle name="Normal 57 15" xfId="2614"/>
    <cellStyle name="Normal 57 15 2" xfId="5139"/>
    <cellStyle name="Normal 57 15 2 2" xfId="13978"/>
    <cellStyle name="Normal 57 15 2 2 2" xfId="24229"/>
    <cellStyle name="Normal 57 15 2 3" xfId="10399"/>
    <cellStyle name="Normal 57 15 2 4" xfId="19222"/>
    <cellStyle name="Normal 57 15 3" xfId="6596"/>
    <cellStyle name="Normal 57 15 3 2" xfId="15423"/>
    <cellStyle name="Normal 57 15 3 3" xfId="25674"/>
    <cellStyle name="Normal 57 15 4" xfId="8042"/>
    <cellStyle name="Normal 57 15 4 2" xfId="21981"/>
    <cellStyle name="Normal 57 15 5" xfId="16974"/>
    <cellStyle name="Normal 57 16" xfId="4092"/>
    <cellStyle name="Normal 57 16 2" xfId="5553"/>
    <cellStyle name="Normal 57 16 2 2" xfId="14380"/>
    <cellStyle name="Normal 57 16 2 3" xfId="24631"/>
    <cellStyle name="Normal 57 16 3" xfId="6997"/>
    <cellStyle name="Normal 57 16 3 2" xfId="23183"/>
    <cellStyle name="Normal 57 16 4" xfId="18176"/>
    <cellStyle name="Normal 57 17" xfId="1396"/>
    <cellStyle name="Normal 57 17 2" xfId="10776"/>
    <cellStyle name="Normal 57 17 3" xfId="20780"/>
    <cellStyle name="Normal 57 18" xfId="5508"/>
    <cellStyle name="Normal 57 18 2" xfId="14337"/>
    <cellStyle name="Normal 57 18 3" xfId="24588"/>
    <cellStyle name="Normal 57 19" xfId="6948"/>
    <cellStyle name="Normal 57 19 2" xfId="19581"/>
    <cellStyle name="Normal 57 2" xfId="45"/>
    <cellStyle name="Normal 57 20" xfId="15773"/>
    <cellStyle name="Normal 57 3" xfId="118"/>
    <cellStyle name="Normal 57 3 10" xfId="2629"/>
    <cellStyle name="Normal 57 3 10 2" xfId="5143"/>
    <cellStyle name="Normal 57 3 10 2 2" xfId="13982"/>
    <cellStyle name="Normal 57 3 10 2 2 2" xfId="24233"/>
    <cellStyle name="Normal 57 3 10 2 3" xfId="10403"/>
    <cellStyle name="Normal 57 3 10 2 4" xfId="19226"/>
    <cellStyle name="Normal 57 3 10 3" xfId="6600"/>
    <cellStyle name="Normal 57 3 10 3 2" xfId="15427"/>
    <cellStyle name="Normal 57 3 10 3 3" xfId="25678"/>
    <cellStyle name="Normal 57 3 10 4" xfId="8046"/>
    <cellStyle name="Normal 57 3 10 4 2" xfId="21994"/>
    <cellStyle name="Normal 57 3 10 5" xfId="16987"/>
    <cellStyle name="Normal 57 3 11" xfId="4096"/>
    <cellStyle name="Normal 57 3 11 2" xfId="5557"/>
    <cellStyle name="Normal 57 3 11 2 2" xfId="14384"/>
    <cellStyle name="Normal 57 3 11 2 3" xfId="24635"/>
    <cellStyle name="Normal 57 3 11 3" xfId="7001"/>
    <cellStyle name="Normal 57 3 11 3 2" xfId="23187"/>
    <cellStyle name="Normal 57 3 11 4" xfId="18180"/>
    <cellStyle name="Normal 57 3 12" xfId="1403"/>
    <cellStyle name="Normal 57 3 12 2" xfId="10782"/>
    <cellStyle name="Normal 57 3 12 3" xfId="20786"/>
    <cellStyle name="Normal 57 3 13" xfId="5515"/>
    <cellStyle name="Normal 57 3 13 2" xfId="14344"/>
    <cellStyle name="Normal 57 3 13 3" xfId="24595"/>
    <cellStyle name="Normal 57 3 14" xfId="6956"/>
    <cellStyle name="Normal 57 3 14 2" xfId="19594"/>
    <cellStyle name="Normal 57 3 15" xfId="15779"/>
    <cellStyle name="Normal 57 3 2" xfId="162"/>
    <cellStyle name="Normal 57 3 2 10" xfId="1428"/>
    <cellStyle name="Normal 57 3 2 10 2" xfId="10807"/>
    <cellStyle name="Normal 57 3 2 10 3" xfId="20811"/>
    <cellStyle name="Normal 57 3 2 11" xfId="5537"/>
    <cellStyle name="Normal 57 3 2 11 2" xfId="14366"/>
    <cellStyle name="Normal 57 3 2 11 3" xfId="24617"/>
    <cellStyle name="Normal 57 3 2 12" xfId="6983"/>
    <cellStyle name="Normal 57 3 2 12 2" xfId="19624"/>
    <cellStyle name="Normal 57 3 2 13" xfId="15804"/>
    <cellStyle name="Normal 57 3 2 2" xfId="209"/>
    <cellStyle name="Normal 57 3 2 2 10" xfId="7158"/>
    <cellStyle name="Normal 57 3 2 2 10 2" xfId="19667"/>
    <cellStyle name="Normal 57 3 2 2 11" xfId="15904"/>
    <cellStyle name="Normal 57 3 2 2 2" xfId="535"/>
    <cellStyle name="Normal 57 3 2 2 2 2" xfId="841"/>
    <cellStyle name="Normal 57 3 2 2 2 2 2" xfId="3327"/>
    <cellStyle name="Normal 57 3 2 2 2 2 2 2" xfId="12471"/>
    <cellStyle name="Normal 57 3 2 2 2 2 2 2 2" xfId="22690"/>
    <cellStyle name="Normal 57 3 2 2 2 2 2 3" xfId="8893"/>
    <cellStyle name="Normal 57 3 2 2 2 2 2 4" xfId="17683"/>
    <cellStyle name="Normal 57 3 2 2 2 2 3" xfId="4656"/>
    <cellStyle name="Normal 57 3 2 2 2 2 3 2" xfId="13496"/>
    <cellStyle name="Normal 57 3 2 2 2 2 3 2 2" xfId="23747"/>
    <cellStyle name="Normal 57 3 2 2 2 2 3 3" xfId="9917"/>
    <cellStyle name="Normal 57 3 2 2 2 2 3 4" xfId="18740"/>
    <cellStyle name="Normal 57 3 2 2 2 2 4" xfId="2436"/>
    <cellStyle name="Normal 57 3 2 2 2 2 4 2" xfId="11803"/>
    <cellStyle name="Normal 57 3 2 2 2 2 4 3" xfId="21807"/>
    <cellStyle name="Normal 57 3 2 2 2 2 5" xfId="6114"/>
    <cellStyle name="Normal 57 3 2 2 2 2 5 2" xfId="14941"/>
    <cellStyle name="Normal 57 3 2 2 2 2 5 3" xfId="25192"/>
    <cellStyle name="Normal 57 3 2 2 2 2 6" xfId="7559"/>
    <cellStyle name="Normal 57 3 2 2 2 2 6 2" xfId="20289"/>
    <cellStyle name="Normal 57 3 2 2 2 2 7" xfId="16800"/>
    <cellStyle name="Normal 57 3 2 2 2 3" xfId="1307"/>
    <cellStyle name="Normal 57 3 2 2 2 3 2" xfId="3737"/>
    <cellStyle name="Normal 57 3 2 2 2 3 2 2" xfId="12875"/>
    <cellStyle name="Normal 57 3 2 2 2 3 2 2 2" xfId="23094"/>
    <cellStyle name="Normal 57 3 2 2 2 3 2 3" xfId="9296"/>
    <cellStyle name="Normal 57 3 2 2 2 3 2 4" xfId="18087"/>
    <cellStyle name="Normal 57 3 2 2 2 3 3" xfId="5005"/>
    <cellStyle name="Normal 57 3 2 2 2 3 3 2" xfId="13844"/>
    <cellStyle name="Normal 57 3 2 2 2 3 3 2 2" xfId="24095"/>
    <cellStyle name="Normal 57 3 2 2 2 3 3 3" xfId="10265"/>
    <cellStyle name="Normal 57 3 2 2 2 3 3 4" xfId="19088"/>
    <cellStyle name="Normal 57 3 2 2 2 3 4" xfId="2131"/>
    <cellStyle name="Normal 57 3 2 2 2 3 4 2" xfId="11498"/>
    <cellStyle name="Normal 57 3 2 2 2 3 4 3" xfId="21502"/>
    <cellStyle name="Normal 57 3 2 2 2 3 5" xfId="6462"/>
    <cellStyle name="Normal 57 3 2 2 2 3 5 2" xfId="15289"/>
    <cellStyle name="Normal 57 3 2 2 2 3 5 3" xfId="25540"/>
    <cellStyle name="Normal 57 3 2 2 2 3 6" xfId="7908"/>
    <cellStyle name="Normal 57 3 2 2 2 3 6 2" xfId="20693"/>
    <cellStyle name="Normal 57 3 2 2 2 3 7" xfId="16495"/>
    <cellStyle name="Normal 57 3 2 2 2 4" xfId="3022"/>
    <cellStyle name="Normal 57 3 2 2 2 4 2" xfId="5400"/>
    <cellStyle name="Normal 57 3 2 2 2 4 2 2" xfId="14239"/>
    <cellStyle name="Normal 57 3 2 2 2 4 2 2 2" xfId="24490"/>
    <cellStyle name="Normal 57 3 2 2 2 4 2 3" xfId="10660"/>
    <cellStyle name="Normal 57 3 2 2 2 4 2 4" xfId="19483"/>
    <cellStyle name="Normal 57 3 2 2 2 4 3" xfId="6857"/>
    <cellStyle name="Normal 57 3 2 2 2 4 3 2" xfId="15684"/>
    <cellStyle name="Normal 57 3 2 2 2 4 3 3" xfId="25935"/>
    <cellStyle name="Normal 57 3 2 2 2 4 4" xfId="8303"/>
    <cellStyle name="Normal 57 3 2 2 2 4 4 2" xfId="22385"/>
    <cellStyle name="Normal 57 3 2 2 2 4 5" xfId="17378"/>
    <cellStyle name="Normal 57 3 2 2 2 5" xfId="4356"/>
    <cellStyle name="Normal 57 3 2 2 2 5 2" xfId="13196"/>
    <cellStyle name="Normal 57 3 2 2 2 5 2 2" xfId="23447"/>
    <cellStyle name="Normal 57 3 2 2 2 5 3" xfId="9617"/>
    <cellStyle name="Normal 57 3 2 2 2 5 4" xfId="18440"/>
    <cellStyle name="Normal 57 3 2 2 2 6" xfId="1628"/>
    <cellStyle name="Normal 57 3 2 2 2 6 2" xfId="11007"/>
    <cellStyle name="Normal 57 3 2 2 2 6 3" xfId="21011"/>
    <cellStyle name="Normal 57 3 2 2 2 7" xfId="5814"/>
    <cellStyle name="Normal 57 3 2 2 2 7 2" xfId="14641"/>
    <cellStyle name="Normal 57 3 2 2 2 7 3" xfId="24892"/>
    <cellStyle name="Normal 57 3 2 2 2 8" xfId="7258"/>
    <cellStyle name="Normal 57 3 2 2 2 8 2" xfId="19984"/>
    <cellStyle name="Normal 57 3 2 2 2 9" xfId="16004"/>
    <cellStyle name="Normal 57 3 2 2 2_Degree data" xfId="3948"/>
    <cellStyle name="Normal 57 3 2 2 3" xfId="435"/>
    <cellStyle name="Normal 57 3 2 2 3 2" xfId="2922"/>
    <cellStyle name="Normal 57 3 2 2 3 2 2" xfId="12212"/>
    <cellStyle name="Normal 57 3 2 2 3 2 2 2" xfId="22285"/>
    <cellStyle name="Normal 57 3 2 2 3 2 3" xfId="8460"/>
    <cellStyle name="Normal 57 3 2 2 3 2 4" xfId="17278"/>
    <cellStyle name="Normal 57 3 2 2 3 3" xfId="4655"/>
    <cellStyle name="Normal 57 3 2 2 3 3 2" xfId="13495"/>
    <cellStyle name="Normal 57 3 2 2 3 3 2 2" xfId="23746"/>
    <cellStyle name="Normal 57 3 2 2 3 3 3" xfId="9916"/>
    <cellStyle name="Normal 57 3 2 2 3 3 4" xfId="18739"/>
    <cellStyle name="Normal 57 3 2 2 3 4" xfId="2031"/>
    <cellStyle name="Normal 57 3 2 2 3 4 2" xfId="11398"/>
    <cellStyle name="Normal 57 3 2 2 3 4 3" xfId="21402"/>
    <cellStyle name="Normal 57 3 2 2 3 5" xfId="6113"/>
    <cellStyle name="Normal 57 3 2 2 3 5 2" xfId="14940"/>
    <cellStyle name="Normal 57 3 2 2 3 5 3" xfId="25191"/>
    <cellStyle name="Normal 57 3 2 2 3 6" xfId="7558"/>
    <cellStyle name="Normal 57 3 2 2 3 6 2" xfId="19884"/>
    <cellStyle name="Normal 57 3 2 2 3 7" xfId="16395"/>
    <cellStyle name="Normal 57 3 2 2 4" xfId="840"/>
    <cellStyle name="Normal 57 3 2 2 4 2" xfId="3326"/>
    <cellStyle name="Normal 57 3 2 2 4 2 2" xfId="12470"/>
    <cellStyle name="Normal 57 3 2 2 4 2 2 2" xfId="22689"/>
    <cellStyle name="Normal 57 3 2 2 4 2 3" xfId="8892"/>
    <cellStyle name="Normal 57 3 2 2 4 2 4" xfId="17682"/>
    <cellStyle name="Normal 57 3 2 2 4 3" xfId="5004"/>
    <cellStyle name="Normal 57 3 2 2 4 3 2" xfId="13843"/>
    <cellStyle name="Normal 57 3 2 2 4 3 2 2" xfId="24094"/>
    <cellStyle name="Normal 57 3 2 2 4 3 3" xfId="10264"/>
    <cellStyle name="Normal 57 3 2 2 4 3 4" xfId="19087"/>
    <cellStyle name="Normal 57 3 2 2 4 4" xfId="2435"/>
    <cellStyle name="Normal 57 3 2 2 4 4 2" xfId="11802"/>
    <cellStyle name="Normal 57 3 2 2 4 4 3" xfId="21806"/>
    <cellStyle name="Normal 57 3 2 2 4 5" xfId="6461"/>
    <cellStyle name="Normal 57 3 2 2 4 5 2" xfId="15288"/>
    <cellStyle name="Normal 57 3 2 2 4 5 3" xfId="25539"/>
    <cellStyle name="Normal 57 3 2 2 4 6" xfId="7907"/>
    <cellStyle name="Normal 57 3 2 2 4 6 2" xfId="20288"/>
    <cellStyle name="Normal 57 3 2 2 4 7" xfId="16799"/>
    <cellStyle name="Normal 57 3 2 2 5" xfId="1207"/>
    <cellStyle name="Normal 57 3 2 2 5 2" xfId="3637"/>
    <cellStyle name="Normal 57 3 2 2 5 2 2" xfId="12775"/>
    <cellStyle name="Normal 57 3 2 2 5 2 2 2" xfId="22994"/>
    <cellStyle name="Normal 57 3 2 2 5 2 3" xfId="9196"/>
    <cellStyle name="Normal 57 3 2 2 5 2 4" xfId="17987"/>
    <cellStyle name="Normal 57 3 2 2 5 3" xfId="5300"/>
    <cellStyle name="Normal 57 3 2 2 5 3 2" xfId="14139"/>
    <cellStyle name="Normal 57 3 2 2 5 3 2 2" xfId="24390"/>
    <cellStyle name="Normal 57 3 2 2 5 3 3" xfId="10560"/>
    <cellStyle name="Normal 57 3 2 2 5 3 4" xfId="19383"/>
    <cellStyle name="Normal 57 3 2 2 5 4" xfId="1811"/>
    <cellStyle name="Normal 57 3 2 2 5 4 2" xfId="11181"/>
    <cellStyle name="Normal 57 3 2 2 5 4 3" xfId="21185"/>
    <cellStyle name="Normal 57 3 2 2 5 5" xfId="6757"/>
    <cellStyle name="Normal 57 3 2 2 5 5 2" xfId="15584"/>
    <cellStyle name="Normal 57 3 2 2 5 5 3" xfId="25835"/>
    <cellStyle name="Normal 57 3 2 2 5 6" xfId="8203"/>
    <cellStyle name="Normal 57 3 2 2 5 6 2" xfId="20593"/>
    <cellStyle name="Normal 57 3 2 2 5 7" xfId="16178"/>
    <cellStyle name="Normal 57 3 2 2 6" xfId="2705"/>
    <cellStyle name="Normal 57 3 2 2 6 2" xfId="12024"/>
    <cellStyle name="Normal 57 3 2 2 6 2 2" xfId="22068"/>
    <cellStyle name="Normal 57 3 2 2 6 3" xfId="8504"/>
    <cellStyle name="Normal 57 3 2 2 6 4" xfId="17061"/>
    <cellStyle name="Normal 57 3 2 2 7" xfId="4256"/>
    <cellStyle name="Normal 57 3 2 2 7 2" xfId="13096"/>
    <cellStyle name="Normal 57 3 2 2 7 2 2" xfId="23347"/>
    <cellStyle name="Normal 57 3 2 2 7 3" xfId="9517"/>
    <cellStyle name="Normal 57 3 2 2 7 4" xfId="18340"/>
    <cellStyle name="Normal 57 3 2 2 8" xfId="1528"/>
    <cellStyle name="Normal 57 3 2 2 8 2" xfId="10907"/>
    <cellStyle name="Normal 57 3 2 2 8 3" xfId="20911"/>
    <cellStyle name="Normal 57 3 2 2 9" xfId="5714"/>
    <cellStyle name="Normal 57 3 2 2 9 2" xfId="14541"/>
    <cellStyle name="Normal 57 3 2 2 9 3" xfId="24792"/>
    <cellStyle name="Normal 57 3 2 2_Degree data" xfId="3947"/>
    <cellStyle name="Normal 57 3 2 3" xfId="274"/>
    <cellStyle name="Normal 57 3 2 3 10" xfId="7115"/>
    <cellStyle name="Normal 57 3 2 3 10 2" xfId="19728"/>
    <cellStyle name="Normal 57 3 2 3 11" xfId="15861"/>
    <cellStyle name="Normal 57 3 2 3 2" xfId="596"/>
    <cellStyle name="Normal 57 3 2 3 2 2" xfId="843"/>
    <cellStyle name="Normal 57 3 2 3 2 2 2" xfId="3329"/>
    <cellStyle name="Normal 57 3 2 3 2 2 2 2" xfId="12473"/>
    <cellStyle name="Normal 57 3 2 3 2 2 2 2 2" xfId="22692"/>
    <cellStyle name="Normal 57 3 2 3 2 2 2 3" xfId="8895"/>
    <cellStyle name="Normal 57 3 2 3 2 2 2 4" xfId="17685"/>
    <cellStyle name="Normal 57 3 2 3 2 2 3" xfId="4658"/>
    <cellStyle name="Normal 57 3 2 3 2 2 3 2" xfId="13498"/>
    <cellStyle name="Normal 57 3 2 3 2 2 3 2 2" xfId="23749"/>
    <cellStyle name="Normal 57 3 2 3 2 2 3 3" xfId="9919"/>
    <cellStyle name="Normal 57 3 2 3 2 2 3 4" xfId="18742"/>
    <cellStyle name="Normal 57 3 2 3 2 2 4" xfId="2438"/>
    <cellStyle name="Normal 57 3 2 3 2 2 4 2" xfId="11805"/>
    <cellStyle name="Normal 57 3 2 3 2 2 4 3" xfId="21809"/>
    <cellStyle name="Normal 57 3 2 3 2 2 5" xfId="6116"/>
    <cellStyle name="Normal 57 3 2 3 2 2 5 2" xfId="14943"/>
    <cellStyle name="Normal 57 3 2 3 2 2 5 3" xfId="25194"/>
    <cellStyle name="Normal 57 3 2 3 2 2 6" xfId="7561"/>
    <cellStyle name="Normal 57 3 2 3 2 2 6 2" xfId="20291"/>
    <cellStyle name="Normal 57 3 2 3 2 2 7" xfId="16802"/>
    <cellStyle name="Normal 57 3 2 3 2 3" xfId="1368"/>
    <cellStyle name="Normal 57 3 2 3 2 3 2" xfId="3798"/>
    <cellStyle name="Normal 57 3 2 3 2 3 2 2" xfId="12936"/>
    <cellStyle name="Normal 57 3 2 3 2 3 2 2 2" xfId="23155"/>
    <cellStyle name="Normal 57 3 2 3 2 3 2 3" xfId="9357"/>
    <cellStyle name="Normal 57 3 2 3 2 3 2 4" xfId="18148"/>
    <cellStyle name="Normal 57 3 2 3 2 3 3" xfId="5007"/>
    <cellStyle name="Normal 57 3 2 3 2 3 3 2" xfId="13846"/>
    <cellStyle name="Normal 57 3 2 3 2 3 3 2 2" xfId="24097"/>
    <cellStyle name="Normal 57 3 2 3 2 3 3 3" xfId="10267"/>
    <cellStyle name="Normal 57 3 2 3 2 3 3 4" xfId="19090"/>
    <cellStyle name="Normal 57 3 2 3 2 3 4" xfId="2192"/>
    <cellStyle name="Normal 57 3 2 3 2 3 4 2" xfId="11559"/>
    <cellStyle name="Normal 57 3 2 3 2 3 4 3" xfId="21563"/>
    <cellStyle name="Normal 57 3 2 3 2 3 5" xfId="6464"/>
    <cellStyle name="Normal 57 3 2 3 2 3 5 2" xfId="15291"/>
    <cellStyle name="Normal 57 3 2 3 2 3 5 3" xfId="25542"/>
    <cellStyle name="Normal 57 3 2 3 2 3 6" xfId="7910"/>
    <cellStyle name="Normal 57 3 2 3 2 3 6 2" xfId="20754"/>
    <cellStyle name="Normal 57 3 2 3 2 3 7" xfId="16556"/>
    <cellStyle name="Normal 57 3 2 3 2 4" xfId="3083"/>
    <cellStyle name="Normal 57 3 2 3 2 4 2" xfId="5461"/>
    <cellStyle name="Normal 57 3 2 3 2 4 2 2" xfId="14300"/>
    <cellStyle name="Normal 57 3 2 3 2 4 2 2 2" xfId="24551"/>
    <cellStyle name="Normal 57 3 2 3 2 4 2 3" xfId="10721"/>
    <cellStyle name="Normal 57 3 2 3 2 4 2 4" xfId="19544"/>
    <cellStyle name="Normal 57 3 2 3 2 4 3" xfId="6918"/>
    <cellStyle name="Normal 57 3 2 3 2 4 3 2" xfId="15745"/>
    <cellStyle name="Normal 57 3 2 3 2 4 3 3" xfId="25996"/>
    <cellStyle name="Normal 57 3 2 3 2 4 4" xfId="8364"/>
    <cellStyle name="Normal 57 3 2 3 2 4 4 2" xfId="22446"/>
    <cellStyle name="Normal 57 3 2 3 2 4 5" xfId="17439"/>
    <cellStyle name="Normal 57 3 2 3 2 5" xfId="4417"/>
    <cellStyle name="Normal 57 3 2 3 2 5 2" xfId="13257"/>
    <cellStyle name="Normal 57 3 2 3 2 5 2 2" xfId="23508"/>
    <cellStyle name="Normal 57 3 2 3 2 5 3" xfId="9678"/>
    <cellStyle name="Normal 57 3 2 3 2 5 4" xfId="18501"/>
    <cellStyle name="Normal 57 3 2 3 2 6" xfId="1689"/>
    <cellStyle name="Normal 57 3 2 3 2 6 2" xfId="11068"/>
    <cellStyle name="Normal 57 3 2 3 2 6 3" xfId="21072"/>
    <cellStyle name="Normal 57 3 2 3 2 7" xfId="5875"/>
    <cellStyle name="Normal 57 3 2 3 2 7 2" xfId="14702"/>
    <cellStyle name="Normal 57 3 2 3 2 7 3" xfId="24953"/>
    <cellStyle name="Normal 57 3 2 3 2 8" xfId="7319"/>
    <cellStyle name="Normal 57 3 2 3 2 8 2" xfId="20045"/>
    <cellStyle name="Normal 57 3 2 3 2 9" xfId="16065"/>
    <cellStyle name="Normal 57 3 2 3 2_Degree data" xfId="3950"/>
    <cellStyle name="Normal 57 3 2 3 3" xfId="392"/>
    <cellStyle name="Normal 57 3 2 3 3 2" xfId="2879"/>
    <cellStyle name="Normal 57 3 2 3 3 2 2" xfId="12169"/>
    <cellStyle name="Normal 57 3 2 3 3 2 2 2" xfId="22242"/>
    <cellStyle name="Normal 57 3 2 3 3 2 3" xfId="8533"/>
    <cellStyle name="Normal 57 3 2 3 3 2 4" xfId="17235"/>
    <cellStyle name="Normal 57 3 2 3 3 3" xfId="4657"/>
    <cellStyle name="Normal 57 3 2 3 3 3 2" xfId="13497"/>
    <cellStyle name="Normal 57 3 2 3 3 3 2 2" xfId="23748"/>
    <cellStyle name="Normal 57 3 2 3 3 3 3" xfId="9918"/>
    <cellStyle name="Normal 57 3 2 3 3 3 4" xfId="18741"/>
    <cellStyle name="Normal 57 3 2 3 3 4" xfId="1988"/>
    <cellStyle name="Normal 57 3 2 3 3 4 2" xfId="11355"/>
    <cellStyle name="Normal 57 3 2 3 3 4 3" xfId="21359"/>
    <cellStyle name="Normal 57 3 2 3 3 5" xfId="6115"/>
    <cellStyle name="Normal 57 3 2 3 3 5 2" xfId="14942"/>
    <cellStyle name="Normal 57 3 2 3 3 5 3" xfId="25193"/>
    <cellStyle name="Normal 57 3 2 3 3 6" xfId="7560"/>
    <cellStyle name="Normal 57 3 2 3 3 6 2" xfId="19841"/>
    <cellStyle name="Normal 57 3 2 3 3 7" xfId="16352"/>
    <cellStyle name="Normal 57 3 2 3 4" xfId="842"/>
    <cellStyle name="Normal 57 3 2 3 4 2" xfId="3328"/>
    <cellStyle name="Normal 57 3 2 3 4 2 2" xfId="12472"/>
    <cellStyle name="Normal 57 3 2 3 4 2 2 2" xfId="22691"/>
    <cellStyle name="Normal 57 3 2 3 4 2 3" xfId="8894"/>
    <cellStyle name="Normal 57 3 2 3 4 2 4" xfId="17684"/>
    <cellStyle name="Normal 57 3 2 3 4 3" xfId="5006"/>
    <cellStyle name="Normal 57 3 2 3 4 3 2" xfId="13845"/>
    <cellStyle name="Normal 57 3 2 3 4 3 2 2" xfId="24096"/>
    <cellStyle name="Normal 57 3 2 3 4 3 3" xfId="10266"/>
    <cellStyle name="Normal 57 3 2 3 4 3 4" xfId="19089"/>
    <cellStyle name="Normal 57 3 2 3 4 4" xfId="2437"/>
    <cellStyle name="Normal 57 3 2 3 4 4 2" xfId="11804"/>
    <cellStyle name="Normal 57 3 2 3 4 4 3" xfId="21808"/>
    <cellStyle name="Normal 57 3 2 3 4 5" xfId="6463"/>
    <cellStyle name="Normal 57 3 2 3 4 5 2" xfId="15290"/>
    <cellStyle name="Normal 57 3 2 3 4 5 3" xfId="25541"/>
    <cellStyle name="Normal 57 3 2 3 4 6" xfId="7909"/>
    <cellStyle name="Normal 57 3 2 3 4 6 2" xfId="20290"/>
    <cellStyle name="Normal 57 3 2 3 4 7" xfId="16801"/>
    <cellStyle name="Normal 57 3 2 3 5" xfId="1164"/>
    <cellStyle name="Normal 57 3 2 3 5 2" xfId="3594"/>
    <cellStyle name="Normal 57 3 2 3 5 2 2" xfId="12732"/>
    <cellStyle name="Normal 57 3 2 3 5 2 2 2" xfId="22951"/>
    <cellStyle name="Normal 57 3 2 3 5 2 3" xfId="9153"/>
    <cellStyle name="Normal 57 3 2 3 5 2 4" xfId="17944"/>
    <cellStyle name="Normal 57 3 2 3 5 3" xfId="5257"/>
    <cellStyle name="Normal 57 3 2 3 5 3 2" xfId="14096"/>
    <cellStyle name="Normal 57 3 2 3 5 3 2 2" xfId="24347"/>
    <cellStyle name="Normal 57 3 2 3 5 3 3" xfId="10517"/>
    <cellStyle name="Normal 57 3 2 3 5 3 4" xfId="19340"/>
    <cellStyle name="Normal 57 3 2 3 5 4" xfId="1872"/>
    <cellStyle name="Normal 57 3 2 3 5 4 2" xfId="11242"/>
    <cellStyle name="Normal 57 3 2 3 5 4 3" xfId="21246"/>
    <cellStyle name="Normal 57 3 2 3 5 5" xfId="6714"/>
    <cellStyle name="Normal 57 3 2 3 5 5 2" xfId="15541"/>
    <cellStyle name="Normal 57 3 2 3 5 5 3" xfId="25792"/>
    <cellStyle name="Normal 57 3 2 3 5 6" xfId="8160"/>
    <cellStyle name="Normal 57 3 2 3 5 6 2" xfId="20550"/>
    <cellStyle name="Normal 57 3 2 3 5 7" xfId="16239"/>
    <cellStyle name="Normal 57 3 2 3 6" xfId="2766"/>
    <cellStyle name="Normal 57 3 2 3 6 2" xfId="12085"/>
    <cellStyle name="Normal 57 3 2 3 6 2 2" xfId="22129"/>
    <cellStyle name="Normal 57 3 2 3 6 3" xfId="8621"/>
    <cellStyle name="Normal 57 3 2 3 6 4" xfId="17122"/>
    <cellStyle name="Normal 57 3 2 3 7" xfId="4213"/>
    <cellStyle name="Normal 57 3 2 3 7 2" xfId="13053"/>
    <cellStyle name="Normal 57 3 2 3 7 2 2" xfId="23304"/>
    <cellStyle name="Normal 57 3 2 3 7 3" xfId="9474"/>
    <cellStyle name="Normal 57 3 2 3 7 4" xfId="18297"/>
    <cellStyle name="Normal 57 3 2 3 8" xfId="1485"/>
    <cellStyle name="Normal 57 3 2 3 8 2" xfId="10864"/>
    <cellStyle name="Normal 57 3 2 3 8 3" xfId="20868"/>
    <cellStyle name="Normal 57 3 2 3 9" xfId="5671"/>
    <cellStyle name="Normal 57 3 2 3 9 2" xfId="14498"/>
    <cellStyle name="Normal 57 3 2 3 9 3" xfId="24749"/>
    <cellStyle name="Normal 57 3 2 3_Degree data" xfId="3949"/>
    <cellStyle name="Normal 57 3 2 4" xfId="492"/>
    <cellStyle name="Normal 57 3 2 4 2" xfId="844"/>
    <cellStyle name="Normal 57 3 2 4 2 2" xfId="3330"/>
    <cellStyle name="Normal 57 3 2 4 2 2 2" xfId="12474"/>
    <cellStyle name="Normal 57 3 2 4 2 2 2 2" xfId="22693"/>
    <cellStyle name="Normal 57 3 2 4 2 2 3" xfId="8896"/>
    <cellStyle name="Normal 57 3 2 4 2 2 4" xfId="17686"/>
    <cellStyle name="Normal 57 3 2 4 2 3" xfId="4659"/>
    <cellStyle name="Normal 57 3 2 4 2 3 2" xfId="13499"/>
    <cellStyle name="Normal 57 3 2 4 2 3 2 2" xfId="23750"/>
    <cellStyle name="Normal 57 3 2 4 2 3 3" xfId="9920"/>
    <cellStyle name="Normal 57 3 2 4 2 3 4" xfId="18743"/>
    <cellStyle name="Normal 57 3 2 4 2 4" xfId="2439"/>
    <cellStyle name="Normal 57 3 2 4 2 4 2" xfId="11806"/>
    <cellStyle name="Normal 57 3 2 4 2 4 3" xfId="21810"/>
    <cellStyle name="Normal 57 3 2 4 2 5" xfId="6117"/>
    <cellStyle name="Normal 57 3 2 4 2 5 2" xfId="14944"/>
    <cellStyle name="Normal 57 3 2 4 2 5 3" xfId="25195"/>
    <cellStyle name="Normal 57 3 2 4 2 6" xfId="7562"/>
    <cellStyle name="Normal 57 3 2 4 2 6 2" xfId="20292"/>
    <cellStyle name="Normal 57 3 2 4 2 7" xfId="16803"/>
    <cellStyle name="Normal 57 3 2 4 3" xfId="1264"/>
    <cellStyle name="Normal 57 3 2 4 3 2" xfId="3694"/>
    <cellStyle name="Normal 57 3 2 4 3 2 2" xfId="12832"/>
    <cellStyle name="Normal 57 3 2 4 3 2 2 2" xfId="23051"/>
    <cellStyle name="Normal 57 3 2 4 3 2 3" xfId="9253"/>
    <cellStyle name="Normal 57 3 2 4 3 2 4" xfId="18044"/>
    <cellStyle name="Normal 57 3 2 4 3 3" xfId="5008"/>
    <cellStyle name="Normal 57 3 2 4 3 3 2" xfId="13847"/>
    <cellStyle name="Normal 57 3 2 4 3 3 2 2" xfId="24098"/>
    <cellStyle name="Normal 57 3 2 4 3 3 3" xfId="10268"/>
    <cellStyle name="Normal 57 3 2 4 3 3 4" xfId="19091"/>
    <cellStyle name="Normal 57 3 2 4 3 4" xfId="2088"/>
    <cellStyle name="Normal 57 3 2 4 3 4 2" xfId="11455"/>
    <cellStyle name="Normal 57 3 2 4 3 4 3" xfId="21459"/>
    <cellStyle name="Normal 57 3 2 4 3 5" xfId="6465"/>
    <cellStyle name="Normal 57 3 2 4 3 5 2" xfId="15292"/>
    <cellStyle name="Normal 57 3 2 4 3 5 3" xfId="25543"/>
    <cellStyle name="Normal 57 3 2 4 3 6" xfId="7911"/>
    <cellStyle name="Normal 57 3 2 4 3 6 2" xfId="20650"/>
    <cellStyle name="Normal 57 3 2 4 3 7" xfId="16452"/>
    <cellStyle name="Normal 57 3 2 4 4" xfId="2979"/>
    <cellStyle name="Normal 57 3 2 4 4 2" xfId="5357"/>
    <cellStyle name="Normal 57 3 2 4 4 2 2" xfId="14196"/>
    <cellStyle name="Normal 57 3 2 4 4 2 2 2" xfId="24447"/>
    <cellStyle name="Normal 57 3 2 4 4 2 3" xfId="10617"/>
    <cellStyle name="Normal 57 3 2 4 4 2 4" xfId="19440"/>
    <cellStyle name="Normal 57 3 2 4 4 3" xfId="6814"/>
    <cellStyle name="Normal 57 3 2 4 4 3 2" xfId="15641"/>
    <cellStyle name="Normal 57 3 2 4 4 3 3" xfId="25892"/>
    <cellStyle name="Normal 57 3 2 4 4 4" xfId="8260"/>
    <cellStyle name="Normal 57 3 2 4 4 4 2" xfId="22342"/>
    <cellStyle name="Normal 57 3 2 4 4 5" xfId="17335"/>
    <cellStyle name="Normal 57 3 2 4 5" xfId="4313"/>
    <cellStyle name="Normal 57 3 2 4 5 2" xfId="13153"/>
    <cellStyle name="Normal 57 3 2 4 5 2 2" xfId="23404"/>
    <cellStyle name="Normal 57 3 2 4 5 3" xfId="9574"/>
    <cellStyle name="Normal 57 3 2 4 5 4" xfId="18397"/>
    <cellStyle name="Normal 57 3 2 4 6" xfId="1585"/>
    <cellStyle name="Normal 57 3 2 4 6 2" xfId="10964"/>
    <cellStyle name="Normal 57 3 2 4 6 3" xfId="20968"/>
    <cellStyle name="Normal 57 3 2 4 7" xfId="5771"/>
    <cellStyle name="Normal 57 3 2 4 7 2" xfId="14598"/>
    <cellStyle name="Normal 57 3 2 4 7 3" xfId="24849"/>
    <cellStyle name="Normal 57 3 2 4 8" xfId="7215"/>
    <cellStyle name="Normal 57 3 2 4 8 2" xfId="19941"/>
    <cellStyle name="Normal 57 3 2 4 9" xfId="15961"/>
    <cellStyle name="Normal 57 3 2 4_Degree data" xfId="3951"/>
    <cellStyle name="Normal 57 3 2 5" xfId="335"/>
    <cellStyle name="Normal 57 3 2 5 2" xfId="845"/>
    <cellStyle name="Normal 57 3 2 5 2 2" xfId="3331"/>
    <cellStyle name="Normal 57 3 2 5 2 2 2" xfId="12475"/>
    <cellStyle name="Normal 57 3 2 5 2 2 2 2" xfId="22694"/>
    <cellStyle name="Normal 57 3 2 5 2 2 3" xfId="8897"/>
    <cellStyle name="Normal 57 3 2 5 2 2 4" xfId="17687"/>
    <cellStyle name="Normal 57 3 2 5 2 3" xfId="4660"/>
    <cellStyle name="Normal 57 3 2 5 2 3 2" xfId="13500"/>
    <cellStyle name="Normal 57 3 2 5 2 3 2 2" xfId="23751"/>
    <cellStyle name="Normal 57 3 2 5 2 3 3" xfId="9921"/>
    <cellStyle name="Normal 57 3 2 5 2 3 4" xfId="18744"/>
    <cellStyle name="Normal 57 3 2 5 2 4" xfId="2440"/>
    <cellStyle name="Normal 57 3 2 5 2 4 2" xfId="11807"/>
    <cellStyle name="Normal 57 3 2 5 2 4 3" xfId="21811"/>
    <cellStyle name="Normal 57 3 2 5 2 5" xfId="6118"/>
    <cellStyle name="Normal 57 3 2 5 2 5 2" xfId="14945"/>
    <cellStyle name="Normal 57 3 2 5 2 5 3" xfId="25196"/>
    <cellStyle name="Normal 57 3 2 5 2 6" xfId="7563"/>
    <cellStyle name="Normal 57 3 2 5 2 6 2" xfId="20293"/>
    <cellStyle name="Normal 57 3 2 5 2 7" xfId="16804"/>
    <cellStyle name="Normal 57 3 2 5 3" xfId="1107"/>
    <cellStyle name="Normal 57 3 2 5 3 2" xfId="3537"/>
    <cellStyle name="Normal 57 3 2 5 3 2 2" xfId="12675"/>
    <cellStyle name="Normal 57 3 2 5 3 2 2 2" xfId="22894"/>
    <cellStyle name="Normal 57 3 2 5 3 2 3" xfId="9096"/>
    <cellStyle name="Normal 57 3 2 5 3 2 4" xfId="17887"/>
    <cellStyle name="Normal 57 3 2 5 3 3" xfId="5009"/>
    <cellStyle name="Normal 57 3 2 5 3 3 2" xfId="13848"/>
    <cellStyle name="Normal 57 3 2 5 3 3 2 2" xfId="24099"/>
    <cellStyle name="Normal 57 3 2 5 3 3 3" xfId="10269"/>
    <cellStyle name="Normal 57 3 2 5 3 3 4" xfId="19092"/>
    <cellStyle name="Normal 57 3 2 5 3 4" xfId="2600"/>
    <cellStyle name="Normal 57 3 2 5 3 4 2" xfId="11966"/>
    <cellStyle name="Normal 57 3 2 5 3 4 3" xfId="21970"/>
    <cellStyle name="Normal 57 3 2 5 3 5" xfId="6466"/>
    <cellStyle name="Normal 57 3 2 5 3 5 2" xfId="15293"/>
    <cellStyle name="Normal 57 3 2 5 3 5 3" xfId="25544"/>
    <cellStyle name="Normal 57 3 2 5 3 6" xfId="7912"/>
    <cellStyle name="Normal 57 3 2 5 3 6 2" xfId="20493"/>
    <cellStyle name="Normal 57 3 2 5 3 7" xfId="16963"/>
    <cellStyle name="Normal 57 3 2 5 4" xfId="2822"/>
    <cellStyle name="Normal 57 3 2 5 4 2" xfId="5200"/>
    <cellStyle name="Normal 57 3 2 5 4 2 2" xfId="14039"/>
    <cellStyle name="Normal 57 3 2 5 4 2 2 2" xfId="24290"/>
    <cellStyle name="Normal 57 3 2 5 4 2 3" xfId="10460"/>
    <cellStyle name="Normal 57 3 2 5 4 2 4" xfId="19283"/>
    <cellStyle name="Normal 57 3 2 5 4 3" xfId="6657"/>
    <cellStyle name="Normal 57 3 2 5 4 3 2" xfId="15484"/>
    <cellStyle name="Normal 57 3 2 5 4 3 3" xfId="25735"/>
    <cellStyle name="Normal 57 3 2 5 4 4" xfId="8103"/>
    <cellStyle name="Normal 57 3 2 5 4 4 2" xfId="22185"/>
    <cellStyle name="Normal 57 3 2 5 4 5" xfId="17178"/>
    <cellStyle name="Normal 57 3 2 5 5" xfId="4154"/>
    <cellStyle name="Normal 57 3 2 5 5 2" xfId="12994"/>
    <cellStyle name="Normal 57 3 2 5 5 2 2" xfId="23245"/>
    <cellStyle name="Normal 57 3 2 5 5 3" xfId="9415"/>
    <cellStyle name="Normal 57 3 2 5 5 4" xfId="18238"/>
    <cellStyle name="Normal 57 3 2 5 6" xfId="1931"/>
    <cellStyle name="Normal 57 3 2 5 6 2" xfId="11298"/>
    <cellStyle name="Normal 57 3 2 5 6 3" xfId="21302"/>
    <cellStyle name="Normal 57 3 2 5 7" xfId="5614"/>
    <cellStyle name="Normal 57 3 2 5 7 2" xfId="14441"/>
    <cellStyle name="Normal 57 3 2 5 7 3" xfId="24692"/>
    <cellStyle name="Normal 57 3 2 5 8" xfId="7058"/>
    <cellStyle name="Normal 57 3 2 5 8 2" xfId="19784"/>
    <cellStyle name="Normal 57 3 2 5 9" xfId="16295"/>
    <cellStyle name="Normal 57 3 2 5_Degree data" xfId="3952"/>
    <cellStyle name="Normal 57 3 2 6" xfId="839"/>
    <cellStyle name="Normal 57 3 2 6 2" xfId="3325"/>
    <cellStyle name="Normal 57 3 2 6 2 2" xfId="12469"/>
    <cellStyle name="Normal 57 3 2 6 2 2 2" xfId="22688"/>
    <cellStyle name="Normal 57 3 2 6 2 3" xfId="8891"/>
    <cellStyle name="Normal 57 3 2 6 2 4" xfId="17681"/>
    <cellStyle name="Normal 57 3 2 6 3" xfId="4654"/>
    <cellStyle name="Normal 57 3 2 6 3 2" xfId="13494"/>
    <cellStyle name="Normal 57 3 2 6 3 2 2" xfId="23745"/>
    <cellStyle name="Normal 57 3 2 6 3 3" xfId="9915"/>
    <cellStyle name="Normal 57 3 2 6 3 4" xfId="18738"/>
    <cellStyle name="Normal 57 3 2 6 4" xfId="2434"/>
    <cellStyle name="Normal 57 3 2 6 4 2" xfId="11801"/>
    <cellStyle name="Normal 57 3 2 6 4 3" xfId="21805"/>
    <cellStyle name="Normal 57 3 2 6 5" xfId="6112"/>
    <cellStyle name="Normal 57 3 2 6 5 2" xfId="14939"/>
    <cellStyle name="Normal 57 3 2 6 5 3" xfId="25190"/>
    <cellStyle name="Normal 57 3 2 6 6" xfId="7557"/>
    <cellStyle name="Normal 57 3 2 6 6 2" xfId="20287"/>
    <cellStyle name="Normal 57 3 2 6 7" xfId="16798"/>
    <cellStyle name="Normal 57 3 2 7" xfId="1062"/>
    <cellStyle name="Normal 57 3 2 7 2" xfId="3492"/>
    <cellStyle name="Normal 57 3 2 7 2 2" xfId="12630"/>
    <cellStyle name="Normal 57 3 2 7 2 2 2" xfId="22849"/>
    <cellStyle name="Normal 57 3 2 7 2 3" xfId="9052"/>
    <cellStyle name="Normal 57 3 2 7 2 4" xfId="17842"/>
    <cellStyle name="Normal 57 3 2 7 3" xfId="5003"/>
    <cellStyle name="Normal 57 3 2 7 3 2" xfId="13842"/>
    <cellStyle name="Normal 57 3 2 7 3 2 2" xfId="24093"/>
    <cellStyle name="Normal 57 3 2 7 3 3" xfId="10263"/>
    <cellStyle name="Normal 57 3 2 7 3 4" xfId="19086"/>
    <cellStyle name="Normal 57 3 2 7 4" xfId="1765"/>
    <cellStyle name="Normal 57 3 2 7 4 2" xfId="11138"/>
    <cellStyle name="Normal 57 3 2 7 4 3" xfId="21142"/>
    <cellStyle name="Normal 57 3 2 7 5" xfId="6460"/>
    <cellStyle name="Normal 57 3 2 7 5 2" xfId="15287"/>
    <cellStyle name="Normal 57 3 2 7 5 3" xfId="25538"/>
    <cellStyle name="Normal 57 3 2 7 6" xfId="7906"/>
    <cellStyle name="Normal 57 3 2 7 6 2" xfId="20448"/>
    <cellStyle name="Normal 57 3 2 7 7" xfId="16135"/>
    <cellStyle name="Normal 57 3 2 8" xfId="2662"/>
    <cellStyle name="Normal 57 3 2 8 2" xfId="5155"/>
    <cellStyle name="Normal 57 3 2 8 2 2" xfId="13994"/>
    <cellStyle name="Normal 57 3 2 8 2 2 2" xfId="24245"/>
    <cellStyle name="Normal 57 3 2 8 2 3" xfId="10415"/>
    <cellStyle name="Normal 57 3 2 8 2 4" xfId="19238"/>
    <cellStyle name="Normal 57 3 2 8 3" xfId="6612"/>
    <cellStyle name="Normal 57 3 2 8 3 2" xfId="15439"/>
    <cellStyle name="Normal 57 3 2 8 3 3" xfId="25690"/>
    <cellStyle name="Normal 57 3 2 8 4" xfId="8058"/>
    <cellStyle name="Normal 57 3 2 8 4 2" xfId="22025"/>
    <cellStyle name="Normal 57 3 2 8 5" xfId="17018"/>
    <cellStyle name="Normal 57 3 2 9" xfId="4109"/>
    <cellStyle name="Normal 57 3 2 9 2" xfId="5569"/>
    <cellStyle name="Normal 57 3 2 9 2 2" xfId="14396"/>
    <cellStyle name="Normal 57 3 2 9 2 3" xfId="24647"/>
    <cellStyle name="Normal 57 3 2 9 3" xfId="7013"/>
    <cellStyle name="Normal 57 3 2 9 3 2" xfId="23200"/>
    <cellStyle name="Normal 57 3 2 9 4" xfId="18193"/>
    <cellStyle name="Normal 57 3 2_Degree data" xfId="3946"/>
    <cellStyle name="Normal 57 3 3" xfId="145"/>
    <cellStyle name="Normal 57 3 3 10" xfId="1414"/>
    <cellStyle name="Normal 57 3 3 10 2" xfId="10793"/>
    <cellStyle name="Normal 57 3 3 10 3" xfId="20797"/>
    <cellStyle name="Normal 57 3 3 11" xfId="5525"/>
    <cellStyle name="Normal 57 3 3 11 2" xfId="14354"/>
    <cellStyle name="Normal 57 3 3 11 3" xfId="24605"/>
    <cellStyle name="Normal 57 3 3 12" xfId="6967"/>
    <cellStyle name="Normal 57 3 3 12 2" xfId="19612"/>
    <cellStyle name="Normal 57 3 3 13" xfId="15790"/>
    <cellStyle name="Normal 57 3 3 2" xfId="195"/>
    <cellStyle name="Normal 57 3 3 2 10" xfId="7146"/>
    <cellStyle name="Normal 57 3 3 2 10 2" xfId="19655"/>
    <cellStyle name="Normal 57 3 3 2 11" xfId="15892"/>
    <cellStyle name="Normal 57 3 3 2 2" xfId="523"/>
    <cellStyle name="Normal 57 3 3 2 2 2" xfId="848"/>
    <cellStyle name="Normal 57 3 3 2 2 2 2" xfId="3334"/>
    <cellStyle name="Normal 57 3 3 2 2 2 2 2" xfId="12478"/>
    <cellStyle name="Normal 57 3 3 2 2 2 2 2 2" xfId="22697"/>
    <cellStyle name="Normal 57 3 3 2 2 2 2 3" xfId="8900"/>
    <cellStyle name="Normal 57 3 3 2 2 2 2 4" xfId="17690"/>
    <cellStyle name="Normal 57 3 3 2 2 2 3" xfId="4663"/>
    <cellStyle name="Normal 57 3 3 2 2 2 3 2" xfId="13503"/>
    <cellStyle name="Normal 57 3 3 2 2 2 3 2 2" xfId="23754"/>
    <cellStyle name="Normal 57 3 3 2 2 2 3 3" xfId="9924"/>
    <cellStyle name="Normal 57 3 3 2 2 2 3 4" xfId="18747"/>
    <cellStyle name="Normal 57 3 3 2 2 2 4" xfId="2443"/>
    <cellStyle name="Normal 57 3 3 2 2 2 4 2" xfId="11810"/>
    <cellStyle name="Normal 57 3 3 2 2 2 4 3" xfId="21814"/>
    <cellStyle name="Normal 57 3 3 2 2 2 5" xfId="6121"/>
    <cellStyle name="Normal 57 3 3 2 2 2 5 2" xfId="14948"/>
    <cellStyle name="Normal 57 3 3 2 2 2 5 3" xfId="25199"/>
    <cellStyle name="Normal 57 3 3 2 2 2 6" xfId="7566"/>
    <cellStyle name="Normal 57 3 3 2 2 2 6 2" xfId="20296"/>
    <cellStyle name="Normal 57 3 3 2 2 2 7" xfId="16807"/>
    <cellStyle name="Normal 57 3 3 2 2 3" xfId="1295"/>
    <cellStyle name="Normal 57 3 3 2 2 3 2" xfId="3725"/>
    <cellStyle name="Normal 57 3 3 2 2 3 2 2" xfId="12863"/>
    <cellStyle name="Normal 57 3 3 2 2 3 2 2 2" xfId="23082"/>
    <cellStyle name="Normal 57 3 3 2 2 3 2 3" xfId="9284"/>
    <cellStyle name="Normal 57 3 3 2 2 3 2 4" xfId="18075"/>
    <cellStyle name="Normal 57 3 3 2 2 3 3" xfId="5012"/>
    <cellStyle name="Normal 57 3 3 2 2 3 3 2" xfId="13851"/>
    <cellStyle name="Normal 57 3 3 2 2 3 3 2 2" xfId="24102"/>
    <cellStyle name="Normal 57 3 3 2 2 3 3 3" xfId="10272"/>
    <cellStyle name="Normal 57 3 3 2 2 3 3 4" xfId="19095"/>
    <cellStyle name="Normal 57 3 3 2 2 3 4" xfId="2119"/>
    <cellStyle name="Normal 57 3 3 2 2 3 4 2" xfId="11486"/>
    <cellStyle name="Normal 57 3 3 2 2 3 4 3" xfId="21490"/>
    <cellStyle name="Normal 57 3 3 2 2 3 5" xfId="6469"/>
    <cellStyle name="Normal 57 3 3 2 2 3 5 2" xfId="15296"/>
    <cellStyle name="Normal 57 3 3 2 2 3 5 3" xfId="25547"/>
    <cellStyle name="Normal 57 3 3 2 2 3 6" xfId="7915"/>
    <cellStyle name="Normal 57 3 3 2 2 3 6 2" xfId="20681"/>
    <cellStyle name="Normal 57 3 3 2 2 3 7" xfId="16483"/>
    <cellStyle name="Normal 57 3 3 2 2 4" xfId="3010"/>
    <cellStyle name="Normal 57 3 3 2 2 4 2" xfId="5388"/>
    <cellStyle name="Normal 57 3 3 2 2 4 2 2" xfId="14227"/>
    <cellStyle name="Normal 57 3 3 2 2 4 2 2 2" xfId="24478"/>
    <cellStyle name="Normal 57 3 3 2 2 4 2 3" xfId="10648"/>
    <cellStyle name="Normal 57 3 3 2 2 4 2 4" xfId="19471"/>
    <cellStyle name="Normal 57 3 3 2 2 4 3" xfId="6845"/>
    <cellStyle name="Normal 57 3 3 2 2 4 3 2" xfId="15672"/>
    <cellStyle name="Normal 57 3 3 2 2 4 3 3" xfId="25923"/>
    <cellStyle name="Normal 57 3 3 2 2 4 4" xfId="8291"/>
    <cellStyle name="Normal 57 3 3 2 2 4 4 2" xfId="22373"/>
    <cellStyle name="Normal 57 3 3 2 2 4 5" xfId="17366"/>
    <cellStyle name="Normal 57 3 3 2 2 5" xfId="4344"/>
    <cellStyle name="Normal 57 3 3 2 2 5 2" xfId="13184"/>
    <cellStyle name="Normal 57 3 3 2 2 5 2 2" xfId="23435"/>
    <cellStyle name="Normal 57 3 3 2 2 5 3" xfId="9605"/>
    <cellStyle name="Normal 57 3 3 2 2 5 4" xfId="18428"/>
    <cellStyle name="Normal 57 3 3 2 2 6" xfId="1616"/>
    <cellStyle name="Normal 57 3 3 2 2 6 2" xfId="10995"/>
    <cellStyle name="Normal 57 3 3 2 2 6 3" xfId="20999"/>
    <cellStyle name="Normal 57 3 3 2 2 7" xfId="5802"/>
    <cellStyle name="Normal 57 3 3 2 2 7 2" xfId="14629"/>
    <cellStyle name="Normal 57 3 3 2 2 7 3" xfId="24880"/>
    <cellStyle name="Normal 57 3 3 2 2 8" xfId="7246"/>
    <cellStyle name="Normal 57 3 3 2 2 8 2" xfId="19972"/>
    <cellStyle name="Normal 57 3 3 2 2 9" xfId="15992"/>
    <cellStyle name="Normal 57 3 3 2 2_Degree data" xfId="3955"/>
    <cellStyle name="Normal 57 3 3 2 3" xfId="423"/>
    <cellStyle name="Normal 57 3 3 2 3 2" xfId="2910"/>
    <cellStyle name="Normal 57 3 3 2 3 2 2" xfId="12200"/>
    <cellStyle name="Normal 57 3 3 2 3 2 2 2" xfId="22273"/>
    <cellStyle name="Normal 57 3 3 2 3 2 3" xfId="8523"/>
    <cellStyle name="Normal 57 3 3 2 3 2 4" xfId="17266"/>
    <cellStyle name="Normal 57 3 3 2 3 3" xfId="4662"/>
    <cellStyle name="Normal 57 3 3 2 3 3 2" xfId="13502"/>
    <cellStyle name="Normal 57 3 3 2 3 3 2 2" xfId="23753"/>
    <cellStyle name="Normal 57 3 3 2 3 3 3" xfId="9923"/>
    <cellStyle name="Normal 57 3 3 2 3 3 4" xfId="18746"/>
    <cellStyle name="Normal 57 3 3 2 3 4" xfId="2019"/>
    <cellStyle name="Normal 57 3 3 2 3 4 2" xfId="11386"/>
    <cellStyle name="Normal 57 3 3 2 3 4 3" xfId="21390"/>
    <cellStyle name="Normal 57 3 3 2 3 5" xfId="6120"/>
    <cellStyle name="Normal 57 3 3 2 3 5 2" xfId="14947"/>
    <cellStyle name="Normal 57 3 3 2 3 5 3" xfId="25198"/>
    <cellStyle name="Normal 57 3 3 2 3 6" xfId="7565"/>
    <cellStyle name="Normal 57 3 3 2 3 6 2" xfId="19872"/>
    <cellStyle name="Normal 57 3 3 2 3 7" xfId="16383"/>
    <cellStyle name="Normal 57 3 3 2 4" xfId="847"/>
    <cellStyle name="Normal 57 3 3 2 4 2" xfId="3333"/>
    <cellStyle name="Normal 57 3 3 2 4 2 2" xfId="12477"/>
    <cellStyle name="Normal 57 3 3 2 4 2 2 2" xfId="22696"/>
    <cellStyle name="Normal 57 3 3 2 4 2 3" xfId="8899"/>
    <cellStyle name="Normal 57 3 3 2 4 2 4" xfId="17689"/>
    <cellStyle name="Normal 57 3 3 2 4 3" xfId="5011"/>
    <cellStyle name="Normal 57 3 3 2 4 3 2" xfId="13850"/>
    <cellStyle name="Normal 57 3 3 2 4 3 2 2" xfId="24101"/>
    <cellStyle name="Normal 57 3 3 2 4 3 3" xfId="10271"/>
    <cellStyle name="Normal 57 3 3 2 4 3 4" xfId="19094"/>
    <cellStyle name="Normal 57 3 3 2 4 4" xfId="2442"/>
    <cellStyle name="Normal 57 3 3 2 4 4 2" xfId="11809"/>
    <cellStyle name="Normal 57 3 3 2 4 4 3" xfId="21813"/>
    <cellStyle name="Normal 57 3 3 2 4 5" xfId="6468"/>
    <cellStyle name="Normal 57 3 3 2 4 5 2" xfId="15295"/>
    <cellStyle name="Normal 57 3 3 2 4 5 3" xfId="25546"/>
    <cellStyle name="Normal 57 3 3 2 4 6" xfId="7914"/>
    <cellStyle name="Normal 57 3 3 2 4 6 2" xfId="20295"/>
    <cellStyle name="Normal 57 3 3 2 4 7" xfId="16806"/>
    <cellStyle name="Normal 57 3 3 2 5" xfId="1195"/>
    <cellStyle name="Normal 57 3 3 2 5 2" xfId="3625"/>
    <cellStyle name="Normal 57 3 3 2 5 2 2" xfId="12763"/>
    <cellStyle name="Normal 57 3 3 2 5 2 2 2" xfId="22982"/>
    <cellStyle name="Normal 57 3 3 2 5 2 3" xfId="9184"/>
    <cellStyle name="Normal 57 3 3 2 5 2 4" xfId="17975"/>
    <cellStyle name="Normal 57 3 3 2 5 3" xfId="5288"/>
    <cellStyle name="Normal 57 3 3 2 5 3 2" xfId="14127"/>
    <cellStyle name="Normal 57 3 3 2 5 3 2 2" xfId="24378"/>
    <cellStyle name="Normal 57 3 3 2 5 3 3" xfId="10548"/>
    <cellStyle name="Normal 57 3 3 2 5 3 4" xfId="19371"/>
    <cellStyle name="Normal 57 3 3 2 5 4" xfId="1798"/>
    <cellStyle name="Normal 57 3 3 2 5 4 2" xfId="11169"/>
    <cellStyle name="Normal 57 3 3 2 5 4 3" xfId="21173"/>
    <cellStyle name="Normal 57 3 3 2 5 5" xfId="6745"/>
    <cellStyle name="Normal 57 3 3 2 5 5 2" xfId="15572"/>
    <cellStyle name="Normal 57 3 3 2 5 5 3" xfId="25823"/>
    <cellStyle name="Normal 57 3 3 2 5 6" xfId="8191"/>
    <cellStyle name="Normal 57 3 3 2 5 6 2" xfId="20581"/>
    <cellStyle name="Normal 57 3 3 2 5 7" xfId="16166"/>
    <cellStyle name="Normal 57 3 3 2 6" xfId="2693"/>
    <cellStyle name="Normal 57 3 3 2 6 2" xfId="12012"/>
    <cellStyle name="Normal 57 3 3 2 6 2 2" xfId="22056"/>
    <cellStyle name="Normal 57 3 3 2 6 3" xfId="8611"/>
    <cellStyle name="Normal 57 3 3 2 6 4" xfId="17049"/>
    <cellStyle name="Normal 57 3 3 2 7" xfId="4244"/>
    <cellStyle name="Normal 57 3 3 2 7 2" xfId="13084"/>
    <cellStyle name="Normal 57 3 3 2 7 2 2" xfId="23335"/>
    <cellStyle name="Normal 57 3 3 2 7 3" xfId="9505"/>
    <cellStyle name="Normal 57 3 3 2 7 4" xfId="18328"/>
    <cellStyle name="Normal 57 3 3 2 8" xfId="1516"/>
    <cellStyle name="Normal 57 3 3 2 8 2" xfId="10895"/>
    <cellStyle name="Normal 57 3 3 2 8 3" xfId="20899"/>
    <cellStyle name="Normal 57 3 3 2 9" xfId="5702"/>
    <cellStyle name="Normal 57 3 3 2 9 2" xfId="14529"/>
    <cellStyle name="Normal 57 3 3 2 9 3" xfId="24780"/>
    <cellStyle name="Normal 57 3 3 2_Degree data" xfId="3954"/>
    <cellStyle name="Normal 57 3 3 3" xfId="262"/>
    <cellStyle name="Normal 57 3 3 3 10" xfId="7103"/>
    <cellStyle name="Normal 57 3 3 3 10 2" xfId="19717"/>
    <cellStyle name="Normal 57 3 3 3 11" xfId="15849"/>
    <cellStyle name="Normal 57 3 3 3 2" xfId="585"/>
    <cellStyle name="Normal 57 3 3 3 2 2" xfId="850"/>
    <cellStyle name="Normal 57 3 3 3 2 2 2" xfId="3336"/>
    <cellStyle name="Normal 57 3 3 3 2 2 2 2" xfId="12480"/>
    <cellStyle name="Normal 57 3 3 3 2 2 2 2 2" xfId="22699"/>
    <cellStyle name="Normal 57 3 3 3 2 2 2 3" xfId="8902"/>
    <cellStyle name="Normal 57 3 3 3 2 2 2 4" xfId="17692"/>
    <cellStyle name="Normal 57 3 3 3 2 2 3" xfId="4665"/>
    <cellStyle name="Normal 57 3 3 3 2 2 3 2" xfId="13505"/>
    <cellStyle name="Normal 57 3 3 3 2 2 3 2 2" xfId="23756"/>
    <cellStyle name="Normal 57 3 3 3 2 2 3 3" xfId="9926"/>
    <cellStyle name="Normal 57 3 3 3 2 2 3 4" xfId="18749"/>
    <cellStyle name="Normal 57 3 3 3 2 2 4" xfId="2445"/>
    <cellStyle name="Normal 57 3 3 3 2 2 4 2" xfId="11812"/>
    <cellStyle name="Normal 57 3 3 3 2 2 4 3" xfId="21816"/>
    <cellStyle name="Normal 57 3 3 3 2 2 5" xfId="6123"/>
    <cellStyle name="Normal 57 3 3 3 2 2 5 2" xfId="14950"/>
    <cellStyle name="Normal 57 3 3 3 2 2 5 3" xfId="25201"/>
    <cellStyle name="Normal 57 3 3 3 2 2 6" xfId="7568"/>
    <cellStyle name="Normal 57 3 3 3 2 2 6 2" xfId="20298"/>
    <cellStyle name="Normal 57 3 3 3 2 2 7" xfId="16809"/>
    <cellStyle name="Normal 57 3 3 3 2 3" xfId="1357"/>
    <cellStyle name="Normal 57 3 3 3 2 3 2" xfId="3787"/>
    <cellStyle name="Normal 57 3 3 3 2 3 2 2" xfId="12925"/>
    <cellStyle name="Normal 57 3 3 3 2 3 2 2 2" xfId="23144"/>
    <cellStyle name="Normal 57 3 3 3 2 3 2 3" xfId="9346"/>
    <cellStyle name="Normal 57 3 3 3 2 3 2 4" xfId="18137"/>
    <cellStyle name="Normal 57 3 3 3 2 3 3" xfId="5014"/>
    <cellStyle name="Normal 57 3 3 3 2 3 3 2" xfId="13853"/>
    <cellStyle name="Normal 57 3 3 3 2 3 3 2 2" xfId="24104"/>
    <cellStyle name="Normal 57 3 3 3 2 3 3 3" xfId="10274"/>
    <cellStyle name="Normal 57 3 3 3 2 3 3 4" xfId="19097"/>
    <cellStyle name="Normal 57 3 3 3 2 3 4" xfId="2181"/>
    <cellStyle name="Normal 57 3 3 3 2 3 4 2" xfId="11548"/>
    <cellStyle name="Normal 57 3 3 3 2 3 4 3" xfId="21552"/>
    <cellStyle name="Normal 57 3 3 3 2 3 5" xfId="6471"/>
    <cellStyle name="Normal 57 3 3 3 2 3 5 2" xfId="15298"/>
    <cellStyle name="Normal 57 3 3 3 2 3 5 3" xfId="25549"/>
    <cellStyle name="Normal 57 3 3 3 2 3 6" xfId="7917"/>
    <cellStyle name="Normal 57 3 3 3 2 3 6 2" xfId="20743"/>
    <cellStyle name="Normal 57 3 3 3 2 3 7" xfId="16545"/>
    <cellStyle name="Normal 57 3 3 3 2 4" xfId="3072"/>
    <cellStyle name="Normal 57 3 3 3 2 4 2" xfId="5450"/>
    <cellStyle name="Normal 57 3 3 3 2 4 2 2" xfId="14289"/>
    <cellStyle name="Normal 57 3 3 3 2 4 2 2 2" xfId="24540"/>
    <cellStyle name="Normal 57 3 3 3 2 4 2 3" xfId="10710"/>
    <cellStyle name="Normal 57 3 3 3 2 4 2 4" xfId="19533"/>
    <cellStyle name="Normal 57 3 3 3 2 4 3" xfId="6907"/>
    <cellStyle name="Normal 57 3 3 3 2 4 3 2" xfId="15734"/>
    <cellStyle name="Normal 57 3 3 3 2 4 3 3" xfId="25985"/>
    <cellStyle name="Normal 57 3 3 3 2 4 4" xfId="8353"/>
    <cellStyle name="Normal 57 3 3 3 2 4 4 2" xfId="22435"/>
    <cellStyle name="Normal 57 3 3 3 2 4 5" xfId="17428"/>
    <cellStyle name="Normal 57 3 3 3 2 5" xfId="4406"/>
    <cellStyle name="Normal 57 3 3 3 2 5 2" xfId="13246"/>
    <cellStyle name="Normal 57 3 3 3 2 5 2 2" xfId="23497"/>
    <cellStyle name="Normal 57 3 3 3 2 5 3" xfId="9667"/>
    <cellStyle name="Normal 57 3 3 3 2 5 4" xfId="18490"/>
    <cellStyle name="Normal 57 3 3 3 2 6" xfId="1678"/>
    <cellStyle name="Normal 57 3 3 3 2 6 2" xfId="11057"/>
    <cellStyle name="Normal 57 3 3 3 2 6 3" xfId="21061"/>
    <cellStyle name="Normal 57 3 3 3 2 7" xfId="5864"/>
    <cellStyle name="Normal 57 3 3 3 2 7 2" xfId="14691"/>
    <cellStyle name="Normal 57 3 3 3 2 7 3" xfId="24942"/>
    <cellStyle name="Normal 57 3 3 3 2 8" xfId="7308"/>
    <cellStyle name="Normal 57 3 3 3 2 8 2" xfId="20034"/>
    <cellStyle name="Normal 57 3 3 3 2 9" xfId="16054"/>
    <cellStyle name="Normal 57 3 3 3 2_Degree data" xfId="3957"/>
    <cellStyle name="Normal 57 3 3 3 3" xfId="380"/>
    <cellStyle name="Normal 57 3 3 3 3 2" xfId="2867"/>
    <cellStyle name="Normal 57 3 3 3 3 2 2" xfId="12157"/>
    <cellStyle name="Normal 57 3 3 3 3 2 2 2" xfId="22230"/>
    <cellStyle name="Normal 57 3 3 3 3 2 3" xfId="8604"/>
    <cellStyle name="Normal 57 3 3 3 3 2 4" xfId="17223"/>
    <cellStyle name="Normal 57 3 3 3 3 3" xfId="4664"/>
    <cellStyle name="Normal 57 3 3 3 3 3 2" xfId="13504"/>
    <cellStyle name="Normal 57 3 3 3 3 3 2 2" xfId="23755"/>
    <cellStyle name="Normal 57 3 3 3 3 3 3" xfId="9925"/>
    <cellStyle name="Normal 57 3 3 3 3 3 4" xfId="18748"/>
    <cellStyle name="Normal 57 3 3 3 3 4" xfId="1976"/>
    <cellStyle name="Normal 57 3 3 3 3 4 2" xfId="11343"/>
    <cellStyle name="Normal 57 3 3 3 3 4 3" xfId="21347"/>
    <cellStyle name="Normal 57 3 3 3 3 5" xfId="6122"/>
    <cellStyle name="Normal 57 3 3 3 3 5 2" xfId="14949"/>
    <cellStyle name="Normal 57 3 3 3 3 5 3" xfId="25200"/>
    <cellStyle name="Normal 57 3 3 3 3 6" xfId="7567"/>
    <cellStyle name="Normal 57 3 3 3 3 6 2" xfId="19829"/>
    <cellStyle name="Normal 57 3 3 3 3 7" xfId="16340"/>
    <cellStyle name="Normal 57 3 3 3 4" xfId="849"/>
    <cellStyle name="Normal 57 3 3 3 4 2" xfId="3335"/>
    <cellStyle name="Normal 57 3 3 3 4 2 2" xfId="12479"/>
    <cellStyle name="Normal 57 3 3 3 4 2 2 2" xfId="22698"/>
    <cellStyle name="Normal 57 3 3 3 4 2 3" xfId="8901"/>
    <cellStyle name="Normal 57 3 3 3 4 2 4" xfId="17691"/>
    <cellStyle name="Normal 57 3 3 3 4 3" xfId="5013"/>
    <cellStyle name="Normal 57 3 3 3 4 3 2" xfId="13852"/>
    <cellStyle name="Normal 57 3 3 3 4 3 2 2" xfId="24103"/>
    <cellStyle name="Normal 57 3 3 3 4 3 3" xfId="10273"/>
    <cellStyle name="Normal 57 3 3 3 4 3 4" xfId="19096"/>
    <cellStyle name="Normal 57 3 3 3 4 4" xfId="2444"/>
    <cellStyle name="Normal 57 3 3 3 4 4 2" xfId="11811"/>
    <cellStyle name="Normal 57 3 3 3 4 4 3" xfId="21815"/>
    <cellStyle name="Normal 57 3 3 3 4 5" xfId="6470"/>
    <cellStyle name="Normal 57 3 3 3 4 5 2" xfId="15297"/>
    <cellStyle name="Normal 57 3 3 3 4 5 3" xfId="25548"/>
    <cellStyle name="Normal 57 3 3 3 4 6" xfId="7916"/>
    <cellStyle name="Normal 57 3 3 3 4 6 2" xfId="20297"/>
    <cellStyle name="Normal 57 3 3 3 4 7" xfId="16808"/>
    <cellStyle name="Normal 57 3 3 3 5" xfId="1152"/>
    <cellStyle name="Normal 57 3 3 3 5 2" xfId="3582"/>
    <cellStyle name="Normal 57 3 3 3 5 2 2" xfId="12720"/>
    <cellStyle name="Normal 57 3 3 3 5 2 2 2" xfId="22939"/>
    <cellStyle name="Normal 57 3 3 3 5 2 3" xfId="9141"/>
    <cellStyle name="Normal 57 3 3 3 5 2 4" xfId="17932"/>
    <cellStyle name="Normal 57 3 3 3 5 3" xfId="5245"/>
    <cellStyle name="Normal 57 3 3 3 5 3 2" xfId="14084"/>
    <cellStyle name="Normal 57 3 3 3 5 3 2 2" xfId="24335"/>
    <cellStyle name="Normal 57 3 3 3 5 3 3" xfId="10505"/>
    <cellStyle name="Normal 57 3 3 3 5 3 4" xfId="19328"/>
    <cellStyle name="Normal 57 3 3 3 5 4" xfId="1861"/>
    <cellStyle name="Normal 57 3 3 3 5 4 2" xfId="11231"/>
    <cellStyle name="Normal 57 3 3 3 5 4 3" xfId="21235"/>
    <cellStyle name="Normal 57 3 3 3 5 5" xfId="6702"/>
    <cellStyle name="Normal 57 3 3 3 5 5 2" xfId="15529"/>
    <cellStyle name="Normal 57 3 3 3 5 5 3" xfId="25780"/>
    <cellStyle name="Normal 57 3 3 3 5 6" xfId="8148"/>
    <cellStyle name="Normal 57 3 3 3 5 6 2" xfId="20538"/>
    <cellStyle name="Normal 57 3 3 3 5 7" xfId="16228"/>
    <cellStyle name="Normal 57 3 3 3 6" xfId="2755"/>
    <cellStyle name="Normal 57 3 3 3 6 2" xfId="12074"/>
    <cellStyle name="Normal 57 3 3 3 6 2 2" xfId="22118"/>
    <cellStyle name="Normal 57 3 3 3 6 3" xfId="8609"/>
    <cellStyle name="Normal 57 3 3 3 6 4" xfId="17111"/>
    <cellStyle name="Normal 57 3 3 3 7" xfId="4201"/>
    <cellStyle name="Normal 57 3 3 3 7 2" xfId="13041"/>
    <cellStyle name="Normal 57 3 3 3 7 2 2" xfId="23292"/>
    <cellStyle name="Normal 57 3 3 3 7 3" xfId="9462"/>
    <cellStyle name="Normal 57 3 3 3 7 4" xfId="18285"/>
    <cellStyle name="Normal 57 3 3 3 8" xfId="1473"/>
    <cellStyle name="Normal 57 3 3 3 8 2" xfId="10852"/>
    <cellStyle name="Normal 57 3 3 3 8 3" xfId="20856"/>
    <cellStyle name="Normal 57 3 3 3 9" xfId="5659"/>
    <cellStyle name="Normal 57 3 3 3 9 2" xfId="14486"/>
    <cellStyle name="Normal 57 3 3 3 9 3" xfId="24737"/>
    <cellStyle name="Normal 57 3 3 3_Degree data" xfId="3956"/>
    <cellStyle name="Normal 57 3 3 4" xfId="480"/>
    <cellStyle name="Normal 57 3 3 4 2" xfId="851"/>
    <cellStyle name="Normal 57 3 3 4 2 2" xfId="3337"/>
    <cellStyle name="Normal 57 3 3 4 2 2 2" xfId="12481"/>
    <cellStyle name="Normal 57 3 3 4 2 2 2 2" xfId="22700"/>
    <cellStyle name="Normal 57 3 3 4 2 2 3" xfId="8903"/>
    <cellStyle name="Normal 57 3 3 4 2 2 4" xfId="17693"/>
    <cellStyle name="Normal 57 3 3 4 2 3" xfId="4666"/>
    <cellStyle name="Normal 57 3 3 4 2 3 2" xfId="13506"/>
    <cellStyle name="Normal 57 3 3 4 2 3 2 2" xfId="23757"/>
    <cellStyle name="Normal 57 3 3 4 2 3 3" xfId="9927"/>
    <cellStyle name="Normal 57 3 3 4 2 3 4" xfId="18750"/>
    <cellStyle name="Normal 57 3 3 4 2 4" xfId="2446"/>
    <cellStyle name="Normal 57 3 3 4 2 4 2" xfId="11813"/>
    <cellStyle name="Normal 57 3 3 4 2 4 3" xfId="21817"/>
    <cellStyle name="Normal 57 3 3 4 2 5" xfId="6124"/>
    <cellStyle name="Normal 57 3 3 4 2 5 2" xfId="14951"/>
    <cellStyle name="Normal 57 3 3 4 2 5 3" xfId="25202"/>
    <cellStyle name="Normal 57 3 3 4 2 6" xfId="7569"/>
    <cellStyle name="Normal 57 3 3 4 2 6 2" xfId="20299"/>
    <cellStyle name="Normal 57 3 3 4 2 7" xfId="16810"/>
    <cellStyle name="Normal 57 3 3 4 3" xfId="1252"/>
    <cellStyle name="Normal 57 3 3 4 3 2" xfId="3682"/>
    <cellStyle name="Normal 57 3 3 4 3 2 2" xfId="12820"/>
    <cellStyle name="Normal 57 3 3 4 3 2 2 2" xfId="23039"/>
    <cellStyle name="Normal 57 3 3 4 3 2 3" xfId="9241"/>
    <cellStyle name="Normal 57 3 3 4 3 2 4" xfId="18032"/>
    <cellStyle name="Normal 57 3 3 4 3 3" xfId="5015"/>
    <cellStyle name="Normal 57 3 3 4 3 3 2" xfId="13854"/>
    <cellStyle name="Normal 57 3 3 4 3 3 2 2" xfId="24105"/>
    <cellStyle name="Normal 57 3 3 4 3 3 3" xfId="10275"/>
    <cellStyle name="Normal 57 3 3 4 3 3 4" xfId="19098"/>
    <cellStyle name="Normal 57 3 3 4 3 4" xfId="2076"/>
    <cellStyle name="Normal 57 3 3 4 3 4 2" xfId="11443"/>
    <cellStyle name="Normal 57 3 3 4 3 4 3" xfId="21447"/>
    <cellStyle name="Normal 57 3 3 4 3 5" xfId="6472"/>
    <cellStyle name="Normal 57 3 3 4 3 5 2" xfId="15299"/>
    <cellStyle name="Normal 57 3 3 4 3 5 3" xfId="25550"/>
    <cellStyle name="Normal 57 3 3 4 3 6" xfId="7918"/>
    <cellStyle name="Normal 57 3 3 4 3 6 2" xfId="20638"/>
    <cellStyle name="Normal 57 3 3 4 3 7" xfId="16440"/>
    <cellStyle name="Normal 57 3 3 4 4" xfId="2967"/>
    <cellStyle name="Normal 57 3 3 4 4 2" xfId="5345"/>
    <cellStyle name="Normal 57 3 3 4 4 2 2" xfId="14184"/>
    <cellStyle name="Normal 57 3 3 4 4 2 2 2" xfId="24435"/>
    <cellStyle name="Normal 57 3 3 4 4 2 3" xfId="10605"/>
    <cellStyle name="Normal 57 3 3 4 4 2 4" xfId="19428"/>
    <cellStyle name="Normal 57 3 3 4 4 3" xfId="6802"/>
    <cellStyle name="Normal 57 3 3 4 4 3 2" xfId="15629"/>
    <cellStyle name="Normal 57 3 3 4 4 3 3" xfId="25880"/>
    <cellStyle name="Normal 57 3 3 4 4 4" xfId="8248"/>
    <cellStyle name="Normal 57 3 3 4 4 4 2" xfId="22330"/>
    <cellStyle name="Normal 57 3 3 4 4 5" xfId="17323"/>
    <cellStyle name="Normal 57 3 3 4 5" xfId="4301"/>
    <cellStyle name="Normal 57 3 3 4 5 2" xfId="13141"/>
    <cellStyle name="Normal 57 3 3 4 5 2 2" xfId="23392"/>
    <cellStyle name="Normal 57 3 3 4 5 3" xfId="9562"/>
    <cellStyle name="Normal 57 3 3 4 5 4" xfId="18385"/>
    <cellStyle name="Normal 57 3 3 4 6" xfId="1573"/>
    <cellStyle name="Normal 57 3 3 4 6 2" xfId="10952"/>
    <cellStyle name="Normal 57 3 3 4 6 3" xfId="20956"/>
    <cellStyle name="Normal 57 3 3 4 7" xfId="5759"/>
    <cellStyle name="Normal 57 3 3 4 7 2" xfId="14586"/>
    <cellStyle name="Normal 57 3 3 4 7 3" xfId="24837"/>
    <cellStyle name="Normal 57 3 3 4 8" xfId="7203"/>
    <cellStyle name="Normal 57 3 3 4 8 2" xfId="19929"/>
    <cellStyle name="Normal 57 3 3 4 9" xfId="15949"/>
    <cellStyle name="Normal 57 3 3 4_Degree data" xfId="3958"/>
    <cellStyle name="Normal 57 3 3 5" xfId="321"/>
    <cellStyle name="Normal 57 3 3 5 2" xfId="2808"/>
    <cellStyle name="Normal 57 3 3 5 2 2" xfId="12114"/>
    <cellStyle name="Normal 57 3 3 5 2 2 2" xfId="22171"/>
    <cellStyle name="Normal 57 3 3 5 2 3" xfId="8483"/>
    <cellStyle name="Normal 57 3 3 5 2 4" xfId="17164"/>
    <cellStyle name="Normal 57 3 3 5 3" xfId="4661"/>
    <cellStyle name="Normal 57 3 3 5 3 2" xfId="13501"/>
    <cellStyle name="Normal 57 3 3 5 3 2 2" xfId="23752"/>
    <cellStyle name="Normal 57 3 3 5 3 3" xfId="9922"/>
    <cellStyle name="Normal 57 3 3 5 3 4" xfId="18745"/>
    <cellStyle name="Normal 57 3 3 5 4" xfId="1917"/>
    <cellStyle name="Normal 57 3 3 5 4 2" xfId="11284"/>
    <cellStyle name="Normal 57 3 3 5 4 3" xfId="21288"/>
    <cellStyle name="Normal 57 3 3 5 5" xfId="6119"/>
    <cellStyle name="Normal 57 3 3 5 5 2" xfId="14946"/>
    <cellStyle name="Normal 57 3 3 5 5 3" xfId="25197"/>
    <cellStyle name="Normal 57 3 3 5 6" xfId="7564"/>
    <cellStyle name="Normal 57 3 3 5 6 2" xfId="19770"/>
    <cellStyle name="Normal 57 3 3 5 7" xfId="16281"/>
    <cellStyle name="Normal 57 3 3 6" xfId="846"/>
    <cellStyle name="Normal 57 3 3 6 2" xfId="3332"/>
    <cellStyle name="Normal 57 3 3 6 2 2" xfId="12476"/>
    <cellStyle name="Normal 57 3 3 6 2 2 2" xfId="22695"/>
    <cellStyle name="Normal 57 3 3 6 2 3" xfId="8898"/>
    <cellStyle name="Normal 57 3 3 6 2 4" xfId="17688"/>
    <cellStyle name="Normal 57 3 3 6 3" xfId="5010"/>
    <cellStyle name="Normal 57 3 3 6 3 2" xfId="13849"/>
    <cellStyle name="Normal 57 3 3 6 3 2 2" xfId="24100"/>
    <cellStyle name="Normal 57 3 3 6 3 3" xfId="10270"/>
    <cellStyle name="Normal 57 3 3 6 3 4" xfId="19093"/>
    <cellStyle name="Normal 57 3 3 6 4" xfId="2441"/>
    <cellStyle name="Normal 57 3 3 6 4 2" xfId="11808"/>
    <cellStyle name="Normal 57 3 3 6 4 3" xfId="21812"/>
    <cellStyle name="Normal 57 3 3 6 5" xfId="6467"/>
    <cellStyle name="Normal 57 3 3 6 5 2" xfId="15294"/>
    <cellStyle name="Normal 57 3 3 6 5 3" xfId="25545"/>
    <cellStyle name="Normal 57 3 3 6 6" xfId="7913"/>
    <cellStyle name="Normal 57 3 3 6 6 2" xfId="20294"/>
    <cellStyle name="Normal 57 3 3 6 7" xfId="16805"/>
    <cellStyle name="Normal 57 3 3 7" xfId="1093"/>
    <cellStyle name="Normal 57 3 3 7 2" xfId="3523"/>
    <cellStyle name="Normal 57 3 3 7 2 2" xfId="12661"/>
    <cellStyle name="Normal 57 3 3 7 2 2 2" xfId="22880"/>
    <cellStyle name="Normal 57 3 3 7 2 3" xfId="9083"/>
    <cellStyle name="Normal 57 3 3 7 2 4" xfId="17873"/>
    <cellStyle name="Normal 57 3 3 7 3" xfId="5186"/>
    <cellStyle name="Normal 57 3 3 7 3 2" xfId="14025"/>
    <cellStyle name="Normal 57 3 3 7 3 2 2" xfId="24276"/>
    <cellStyle name="Normal 57 3 3 7 3 3" xfId="10446"/>
    <cellStyle name="Normal 57 3 3 7 3 4" xfId="19269"/>
    <cellStyle name="Normal 57 3 3 7 4" xfId="1752"/>
    <cellStyle name="Normal 57 3 3 7 4 2" xfId="11125"/>
    <cellStyle name="Normal 57 3 3 7 4 3" xfId="21129"/>
    <cellStyle name="Normal 57 3 3 7 5" xfId="6643"/>
    <cellStyle name="Normal 57 3 3 7 5 2" xfId="15470"/>
    <cellStyle name="Normal 57 3 3 7 5 3" xfId="25721"/>
    <cellStyle name="Normal 57 3 3 7 6" xfId="8089"/>
    <cellStyle name="Normal 57 3 3 7 6 2" xfId="20479"/>
    <cellStyle name="Normal 57 3 3 7 7" xfId="16122"/>
    <cellStyle name="Normal 57 3 3 8" xfId="2650"/>
    <cellStyle name="Normal 57 3 3 8 2" xfId="5600"/>
    <cellStyle name="Normal 57 3 3 8 2 2" xfId="14427"/>
    <cellStyle name="Normal 57 3 3 8 2 3" xfId="24678"/>
    <cellStyle name="Normal 57 3 3 8 3" xfId="7044"/>
    <cellStyle name="Normal 57 3 3 8 3 2" xfId="22013"/>
    <cellStyle name="Normal 57 3 3 8 4" xfId="17006"/>
    <cellStyle name="Normal 57 3 3 9" xfId="4140"/>
    <cellStyle name="Normal 57 3 3 9 2" xfId="12980"/>
    <cellStyle name="Normal 57 3 3 9 2 2" xfId="23231"/>
    <cellStyle name="Normal 57 3 3 9 3" xfId="9401"/>
    <cellStyle name="Normal 57 3 3 9 4" xfId="18224"/>
    <cellStyle name="Normal 57 3 3_Degree data" xfId="3953"/>
    <cellStyle name="Normal 57 3 4" xfId="189"/>
    <cellStyle name="Normal 57 3 4 10" xfId="7140"/>
    <cellStyle name="Normal 57 3 4 10 2" xfId="19649"/>
    <cellStyle name="Normal 57 3 4 11" xfId="15886"/>
    <cellStyle name="Normal 57 3 4 2" xfId="517"/>
    <cellStyle name="Normal 57 3 4 2 2" xfId="853"/>
    <cellStyle name="Normal 57 3 4 2 2 2" xfId="3339"/>
    <cellStyle name="Normal 57 3 4 2 2 2 2" xfId="12483"/>
    <cellStyle name="Normal 57 3 4 2 2 2 2 2" xfId="22702"/>
    <cellStyle name="Normal 57 3 4 2 2 2 3" xfId="8905"/>
    <cellStyle name="Normal 57 3 4 2 2 2 4" xfId="17695"/>
    <cellStyle name="Normal 57 3 4 2 2 3" xfId="4668"/>
    <cellStyle name="Normal 57 3 4 2 2 3 2" xfId="13508"/>
    <cellStyle name="Normal 57 3 4 2 2 3 2 2" xfId="23759"/>
    <cellStyle name="Normal 57 3 4 2 2 3 3" xfId="9929"/>
    <cellStyle name="Normal 57 3 4 2 2 3 4" xfId="18752"/>
    <cellStyle name="Normal 57 3 4 2 2 4" xfId="2448"/>
    <cellStyle name="Normal 57 3 4 2 2 4 2" xfId="11815"/>
    <cellStyle name="Normal 57 3 4 2 2 4 3" xfId="21819"/>
    <cellStyle name="Normal 57 3 4 2 2 5" xfId="6126"/>
    <cellStyle name="Normal 57 3 4 2 2 5 2" xfId="14953"/>
    <cellStyle name="Normal 57 3 4 2 2 5 3" xfId="25204"/>
    <cellStyle name="Normal 57 3 4 2 2 6" xfId="7571"/>
    <cellStyle name="Normal 57 3 4 2 2 6 2" xfId="20301"/>
    <cellStyle name="Normal 57 3 4 2 2 7" xfId="16812"/>
    <cellStyle name="Normal 57 3 4 2 3" xfId="1289"/>
    <cellStyle name="Normal 57 3 4 2 3 2" xfId="3719"/>
    <cellStyle name="Normal 57 3 4 2 3 2 2" xfId="12857"/>
    <cellStyle name="Normal 57 3 4 2 3 2 2 2" xfId="23076"/>
    <cellStyle name="Normal 57 3 4 2 3 2 3" xfId="9278"/>
    <cellStyle name="Normal 57 3 4 2 3 2 4" xfId="18069"/>
    <cellStyle name="Normal 57 3 4 2 3 3" xfId="5017"/>
    <cellStyle name="Normal 57 3 4 2 3 3 2" xfId="13856"/>
    <cellStyle name="Normal 57 3 4 2 3 3 2 2" xfId="24107"/>
    <cellStyle name="Normal 57 3 4 2 3 3 3" xfId="10277"/>
    <cellStyle name="Normal 57 3 4 2 3 3 4" xfId="19100"/>
    <cellStyle name="Normal 57 3 4 2 3 4" xfId="2113"/>
    <cellStyle name="Normal 57 3 4 2 3 4 2" xfId="11480"/>
    <cellStyle name="Normal 57 3 4 2 3 4 3" xfId="21484"/>
    <cellStyle name="Normal 57 3 4 2 3 5" xfId="6474"/>
    <cellStyle name="Normal 57 3 4 2 3 5 2" xfId="15301"/>
    <cellStyle name="Normal 57 3 4 2 3 5 3" xfId="25552"/>
    <cellStyle name="Normal 57 3 4 2 3 6" xfId="7920"/>
    <cellStyle name="Normal 57 3 4 2 3 6 2" xfId="20675"/>
    <cellStyle name="Normal 57 3 4 2 3 7" xfId="16477"/>
    <cellStyle name="Normal 57 3 4 2 4" xfId="3004"/>
    <cellStyle name="Normal 57 3 4 2 4 2" xfId="5382"/>
    <cellStyle name="Normal 57 3 4 2 4 2 2" xfId="14221"/>
    <cellStyle name="Normal 57 3 4 2 4 2 2 2" xfId="24472"/>
    <cellStyle name="Normal 57 3 4 2 4 2 3" xfId="10642"/>
    <cellStyle name="Normal 57 3 4 2 4 2 4" xfId="19465"/>
    <cellStyle name="Normal 57 3 4 2 4 3" xfId="6839"/>
    <cellStyle name="Normal 57 3 4 2 4 3 2" xfId="15666"/>
    <cellStyle name="Normal 57 3 4 2 4 3 3" xfId="25917"/>
    <cellStyle name="Normal 57 3 4 2 4 4" xfId="8285"/>
    <cellStyle name="Normal 57 3 4 2 4 4 2" xfId="22367"/>
    <cellStyle name="Normal 57 3 4 2 4 5" xfId="17360"/>
    <cellStyle name="Normal 57 3 4 2 5" xfId="4338"/>
    <cellStyle name="Normal 57 3 4 2 5 2" xfId="13178"/>
    <cellStyle name="Normal 57 3 4 2 5 2 2" xfId="23429"/>
    <cellStyle name="Normal 57 3 4 2 5 3" xfId="9599"/>
    <cellStyle name="Normal 57 3 4 2 5 4" xfId="18422"/>
    <cellStyle name="Normal 57 3 4 2 6" xfId="1610"/>
    <cellStyle name="Normal 57 3 4 2 6 2" xfId="10989"/>
    <cellStyle name="Normal 57 3 4 2 6 3" xfId="20993"/>
    <cellStyle name="Normal 57 3 4 2 7" xfId="5796"/>
    <cellStyle name="Normal 57 3 4 2 7 2" xfId="14623"/>
    <cellStyle name="Normal 57 3 4 2 7 3" xfId="24874"/>
    <cellStyle name="Normal 57 3 4 2 8" xfId="7240"/>
    <cellStyle name="Normal 57 3 4 2 8 2" xfId="19966"/>
    <cellStyle name="Normal 57 3 4 2 9" xfId="15986"/>
    <cellStyle name="Normal 57 3 4 2_Degree data" xfId="3960"/>
    <cellStyle name="Normal 57 3 4 3" xfId="417"/>
    <cellStyle name="Normal 57 3 4 3 2" xfId="2904"/>
    <cellStyle name="Normal 57 3 4 3 2 2" xfId="12194"/>
    <cellStyle name="Normal 57 3 4 3 2 2 2" xfId="22267"/>
    <cellStyle name="Normal 57 3 4 3 2 3" xfId="8423"/>
    <cellStyle name="Normal 57 3 4 3 2 4" xfId="17260"/>
    <cellStyle name="Normal 57 3 4 3 3" xfId="4667"/>
    <cellStyle name="Normal 57 3 4 3 3 2" xfId="13507"/>
    <cellStyle name="Normal 57 3 4 3 3 2 2" xfId="23758"/>
    <cellStyle name="Normal 57 3 4 3 3 3" xfId="9928"/>
    <cellStyle name="Normal 57 3 4 3 3 4" xfId="18751"/>
    <cellStyle name="Normal 57 3 4 3 4" xfId="2013"/>
    <cellStyle name="Normal 57 3 4 3 4 2" xfId="11380"/>
    <cellStyle name="Normal 57 3 4 3 4 3" xfId="21384"/>
    <cellStyle name="Normal 57 3 4 3 5" xfId="6125"/>
    <cellStyle name="Normal 57 3 4 3 5 2" xfId="14952"/>
    <cellStyle name="Normal 57 3 4 3 5 3" xfId="25203"/>
    <cellStyle name="Normal 57 3 4 3 6" xfId="7570"/>
    <cellStyle name="Normal 57 3 4 3 6 2" xfId="19866"/>
    <cellStyle name="Normal 57 3 4 3 7" xfId="16377"/>
    <cellStyle name="Normal 57 3 4 4" xfId="852"/>
    <cellStyle name="Normal 57 3 4 4 2" xfId="3338"/>
    <cellStyle name="Normal 57 3 4 4 2 2" xfId="12482"/>
    <cellStyle name="Normal 57 3 4 4 2 2 2" xfId="22701"/>
    <cellStyle name="Normal 57 3 4 4 2 3" xfId="8904"/>
    <cellStyle name="Normal 57 3 4 4 2 4" xfId="17694"/>
    <cellStyle name="Normal 57 3 4 4 3" xfId="5016"/>
    <cellStyle name="Normal 57 3 4 4 3 2" xfId="13855"/>
    <cellStyle name="Normal 57 3 4 4 3 2 2" xfId="24106"/>
    <cellStyle name="Normal 57 3 4 4 3 3" xfId="10276"/>
    <cellStyle name="Normal 57 3 4 4 3 4" xfId="19099"/>
    <cellStyle name="Normal 57 3 4 4 4" xfId="2447"/>
    <cellStyle name="Normal 57 3 4 4 4 2" xfId="11814"/>
    <cellStyle name="Normal 57 3 4 4 4 3" xfId="21818"/>
    <cellStyle name="Normal 57 3 4 4 5" xfId="6473"/>
    <cellStyle name="Normal 57 3 4 4 5 2" xfId="15300"/>
    <cellStyle name="Normal 57 3 4 4 5 3" xfId="25551"/>
    <cellStyle name="Normal 57 3 4 4 6" xfId="7919"/>
    <cellStyle name="Normal 57 3 4 4 6 2" xfId="20300"/>
    <cellStyle name="Normal 57 3 4 4 7" xfId="16811"/>
    <cellStyle name="Normal 57 3 4 5" xfId="1189"/>
    <cellStyle name="Normal 57 3 4 5 2" xfId="3619"/>
    <cellStyle name="Normal 57 3 4 5 2 2" xfId="12757"/>
    <cellStyle name="Normal 57 3 4 5 2 2 2" xfId="22976"/>
    <cellStyle name="Normal 57 3 4 5 2 3" xfId="9178"/>
    <cellStyle name="Normal 57 3 4 5 2 4" xfId="17969"/>
    <cellStyle name="Normal 57 3 4 5 3" xfId="5282"/>
    <cellStyle name="Normal 57 3 4 5 3 2" xfId="14121"/>
    <cellStyle name="Normal 57 3 4 5 3 2 2" xfId="24372"/>
    <cellStyle name="Normal 57 3 4 5 3 3" xfId="10542"/>
    <cellStyle name="Normal 57 3 4 5 3 4" xfId="19365"/>
    <cellStyle name="Normal 57 3 4 5 4" xfId="1792"/>
    <cellStyle name="Normal 57 3 4 5 4 2" xfId="11163"/>
    <cellStyle name="Normal 57 3 4 5 4 3" xfId="21167"/>
    <cellStyle name="Normal 57 3 4 5 5" xfId="6739"/>
    <cellStyle name="Normal 57 3 4 5 5 2" xfId="15566"/>
    <cellStyle name="Normal 57 3 4 5 5 3" xfId="25817"/>
    <cellStyle name="Normal 57 3 4 5 6" xfId="8185"/>
    <cellStyle name="Normal 57 3 4 5 6 2" xfId="20575"/>
    <cellStyle name="Normal 57 3 4 5 7" xfId="16160"/>
    <cellStyle name="Normal 57 3 4 6" xfId="2687"/>
    <cellStyle name="Normal 57 3 4 6 2" xfId="12006"/>
    <cellStyle name="Normal 57 3 4 6 2 2" xfId="22050"/>
    <cellStyle name="Normal 57 3 4 6 3" xfId="8598"/>
    <cellStyle name="Normal 57 3 4 6 4" xfId="17043"/>
    <cellStyle name="Normal 57 3 4 7" xfId="4238"/>
    <cellStyle name="Normal 57 3 4 7 2" xfId="13078"/>
    <cellStyle name="Normal 57 3 4 7 2 2" xfId="23329"/>
    <cellStyle name="Normal 57 3 4 7 3" xfId="9499"/>
    <cellStyle name="Normal 57 3 4 7 4" xfId="18322"/>
    <cellStyle name="Normal 57 3 4 8" xfId="1510"/>
    <cellStyle name="Normal 57 3 4 8 2" xfId="10889"/>
    <cellStyle name="Normal 57 3 4 8 3" xfId="20893"/>
    <cellStyle name="Normal 57 3 4 9" xfId="5696"/>
    <cellStyle name="Normal 57 3 4 9 2" xfId="14523"/>
    <cellStyle name="Normal 57 3 4 9 3" xfId="24774"/>
    <cellStyle name="Normal 57 3 4_Degree data" xfId="3959"/>
    <cellStyle name="Normal 57 3 5" xfId="244"/>
    <cellStyle name="Normal 57 3 5 10" xfId="7085"/>
    <cellStyle name="Normal 57 3 5 10 2" xfId="19699"/>
    <cellStyle name="Normal 57 3 5 11" xfId="15831"/>
    <cellStyle name="Normal 57 3 5 2" xfId="567"/>
    <cellStyle name="Normal 57 3 5 2 2" xfId="855"/>
    <cellStyle name="Normal 57 3 5 2 2 2" xfId="3341"/>
    <cellStyle name="Normal 57 3 5 2 2 2 2" xfId="12485"/>
    <cellStyle name="Normal 57 3 5 2 2 2 2 2" xfId="22704"/>
    <cellStyle name="Normal 57 3 5 2 2 2 3" xfId="8907"/>
    <cellStyle name="Normal 57 3 5 2 2 2 4" xfId="17697"/>
    <cellStyle name="Normal 57 3 5 2 2 3" xfId="4670"/>
    <cellStyle name="Normal 57 3 5 2 2 3 2" xfId="13510"/>
    <cellStyle name="Normal 57 3 5 2 2 3 2 2" xfId="23761"/>
    <cellStyle name="Normal 57 3 5 2 2 3 3" xfId="9931"/>
    <cellStyle name="Normal 57 3 5 2 2 3 4" xfId="18754"/>
    <cellStyle name="Normal 57 3 5 2 2 4" xfId="2450"/>
    <cellStyle name="Normal 57 3 5 2 2 4 2" xfId="11817"/>
    <cellStyle name="Normal 57 3 5 2 2 4 3" xfId="21821"/>
    <cellStyle name="Normal 57 3 5 2 2 5" xfId="6128"/>
    <cellStyle name="Normal 57 3 5 2 2 5 2" xfId="14955"/>
    <cellStyle name="Normal 57 3 5 2 2 5 3" xfId="25206"/>
    <cellStyle name="Normal 57 3 5 2 2 6" xfId="7573"/>
    <cellStyle name="Normal 57 3 5 2 2 6 2" xfId="20303"/>
    <cellStyle name="Normal 57 3 5 2 2 7" xfId="16814"/>
    <cellStyle name="Normal 57 3 5 2 3" xfId="1339"/>
    <cellStyle name="Normal 57 3 5 2 3 2" xfId="3769"/>
    <cellStyle name="Normal 57 3 5 2 3 2 2" xfId="12907"/>
    <cellStyle name="Normal 57 3 5 2 3 2 2 2" xfId="23126"/>
    <cellStyle name="Normal 57 3 5 2 3 2 3" xfId="9328"/>
    <cellStyle name="Normal 57 3 5 2 3 2 4" xfId="18119"/>
    <cellStyle name="Normal 57 3 5 2 3 3" xfId="5019"/>
    <cellStyle name="Normal 57 3 5 2 3 3 2" xfId="13858"/>
    <cellStyle name="Normal 57 3 5 2 3 3 2 2" xfId="24109"/>
    <cellStyle name="Normal 57 3 5 2 3 3 3" xfId="10279"/>
    <cellStyle name="Normal 57 3 5 2 3 3 4" xfId="19102"/>
    <cellStyle name="Normal 57 3 5 2 3 4" xfId="2163"/>
    <cellStyle name="Normal 57 3 5 2 3 4 2" xfId="11530"/>
    <cellStyle name="Normal 57 3 5 2 3 4 3" xfId="21534"/>
    <cellStyle name="Normal 57 3 5 2 3 5" xfId="6476"/>
    <cellStyle name="Normal 57 3 5 2 3 5 2" xfId="15303"/>
    <cellStyle name="Normal 57 3 5 2 3 5 3" xfId="25554"/>
    <cellStyle name="Normal 57 3 5 2 3 6" xfId="7922"/>
    <cellStyle name="Normal 57 3 5 2 3 6 2" xfId="20725"/>
    <cellStyle name="Normal 57 3 5 2 3 7" xfId="16527"/>
    <cellStyle name="Normal 57 3 5 2 4" xfId="3054"/>
    <cellStyle name="Normal 57 3 5 2 4 2" xfId="5432"/>
    <cellStyle name="Normal 57 3 5 2 4 2 2" xfId="14271"/>
    <cellStyle name="Normal 57 3 5 2 4 2 2 2" xfId="24522"/>
    <cellStyle name="Normal 57 3 5 2 4 2 3" xfId="10692"/>
    <cellStyle name="Normal 57 3 5 2 4 2 4" xfId="19515"/>
    <cellStyle name="Normal 57 3 5 2 4 3" xfId="6889"/>
    <cellStyle name="Normal 57 3 5 2 4 3 2" xfId="15716"/>
    <cellStyle name="Normal 57 3 5 2 4 3 3" xfId="25967"/>
    <cellStyle name="Normal 57 3 5 2 4 4" xfId="8335"/>
    <cellStyle name="Normal 57 3 5 2 4 4 2" xfId="22417"/>
    <cellStyle name="Normal 57 3 5 2 4 5" xfId="17410"/>
    <cellStyle name="Normal 57 3 5 2 5" xfId="4388"/>
    <cellStyle name="Normal 57 3 5 2 5 2" xfId="13228"/>
    <cellStyle name="Normal 57 3 5 2 5 2 2" xfId="23479"/>
    <cellStyle name="Normal 57 3 5 2 5 3" xfId="9649"/>
    <cellStyle name="Normal 57 3 5 2 5 4" xfId="18472"/>
    <cellStyle name="Normal 57 3 5 2 6" xfId="1660"/>
    <cellStyle name="Normal 57 3 5 2 6 2" xfId="11039"/>
    <cellStyle name="Normal 57 3 5 2 6 3" xfId="21043"/>
    <cellStyle name="Normal 57 3 5 2 7" xfId="5846"/>
    <cellStyle name="Normal 57 3 5 2 7 2" xfId="14673"/>
    <cellStyle name="Normal 57 3 5 2 7 3" xfId="24924"/>
    <cellStyle name="Normal 57 3 5 2 8" xfId="7290"/>
    <cellStyle name="Normal 57 3 5 2 8 2" xfId="20016"/>
    <cellStyle name="Normal 57 3 5 2 9" xfId="16036"/>
    <cellStyle name="Normal 57 3 5 2_Degree data" xfId="3962"/>
    <cellStyle name="Normal 57 3 5 3" xfId="362"/>
    <cellStyle name="Normal 57 3 5 3 2" xfId="2849"/>
    <cellStyle name="Normal 57 3 5 3 2 2" xfId="12139"/>
    <cellStyle name="Normal 57 3 5 3 2 2 2" xfId="22212"/>
    <cellStyle name="Normal 57 3 5 3 2 3" xfId="8650"/>
    <cellStyle name="Normal 57 3 5 3 2 4" xfId="17205"/>
    <cellStyle name="Normal 57 3 5 3 3" xfId="4669"/>
    <cellStyle name="Normal 57 3 5 3 3 2" xfId="13509"/>
    <cellStyle name="Normal 57 3 5 3 3 2 2" xfId="23760"/>
    <cellStyle name="Normal 57 3 5 3 3 3" xfId="9930"/>
    <cellStyle name="Normal 57 3 5 3 3 4" xfId="18753"/>
    <cellStyle name="Normal 57 3 5 3 4" xfId="1958"/>
    <cellStyle name="Normal 57 3 5 3 4 2" xfId="11325"/>
    <cellStyle name="Normal 57 3 5 3 4 3" xfId="21329"/>
    <cellStyle name="Normal 57 3 5 3 5" xfId="6127"/>
    <cellStyle name="Normal 57 3 5 3 5 2" xfId="14954"/>
    <cellStyle name="Normal 57 3 5 3 5 3" xfId="25205"/>
    <cellStyle name="Normal 57 3 5 3 6" xfId="7572"/>
    <cellStyle name="Normal 57 3 5 3 6 2" xfId="19811"/>
    <cellStyle name="Normal 57 3 5 3 7" xfId="16322"/>
    <cellStyle name="Normal 57 3 5 4" xfId="854"/>
    <cellStyle name="Normal 57 3 5 4 2" xfId="3340"/>
    <cellStyle name="Normal 57 3 5 4 2 2" xfId="12484"/>
    <cellStyle name="Normal 57 3 5 4 2 2 2" xfId="22703"/>
    <cellStyle name="Normal 57 3 5 4 2 3" xfId="8906"/>
    <cellStyle name="Normal 57 3 5 4 2 4" xfId="17696"/>
    <cellStyle name="Normal 57 3 5 4 3" xfId="5018"/>
    <cellStyle name="Normal 57 3 5 4 3 2" xfId="13857"/>
    <cellStyle name="Normal 57 3 5 4 3 2 2" xfId="24108"/>
    <cellStyle name="Normal 57 3 5 4 3 3" xfId="10278"/>
    <cellStyle name="Normal 57 3 5 4 3 4" xfId="19101"/>
    <cellStyle name="Normal 57 3 5 4 4" xfId="2449"/>
    <cellStyle name="Normal 57 3 5 4 4 2" xfId="11816"/>
    <cellStyle name="Normal 57 3 5 4 4 3" xfId="21820"/>
    <cellStyle name="Normal 57 3 5 4 5" xfId="6475"/>
    <cellStyle name="Normal 57 3 5 4 5 2" xfId="15302"/>
    <cellStyle name="Normal 57 3 5 4 5 3" xfId="25553"/>
    <cellStyle name="Normal 57 3 5 4 6" xfId="7921"/>
    <cellStyle name="Normal 57 3 5 4 6 2" xfId="20302"/>
    <cellStyle name="Normal 57 3 5 4 7" xfId="16813"/>
    <cellStyle name="Normal 57 3 5 5" xfId="1134"/>
    <cellStyle name="Normal 57 3 5 5 2" xfId="3564"/>
    <cellStyle name="Normal 57 3 5 5 2 2" xfId="12702"/>
    <cellStyle name="Normal 57 3 5 5 2 2 2" xfId="22921"/>
    <cellStyle name="Normal 57 3 5 5 2 3" xfId="9123"/>
    <cellStyle name="Normal 57 3 5 5 2 4" xfId="17914"/>
    <cellStyle name="Normal 57 3 5 5 3" xfId="5227"/>
    <cellStyle name="Normal 57 3 5 5 3 2" xfId="14066"/>
    <cellStyle name="Normal 57 3 5 5 3 2 2" xfId="24317"/>
    <cellStyle name="Normal 57 3 5 5 3 3" xfId="10487"/>
    <cellStyle name="Normal 57 3 5 5 3 4" xfId="19310"/>
    <cellStyle name="Normal 57 3 5 5 4" xfId="1843"/>
    <cellStyle name="Normal 57 3 5 5 4 2" xfId="11213"/>
    <cellStyle name="Normal 57 3 5 5 4 3" xfId="21217"/>
    <cellStyle name="Normal 57 3 5 5 5" xfId="6684"/>
    <cellStyle name="Normal 57 3 5 5 5 2" xfId="15511"/>
    <cellStyle name="Normal 57 3 5 5 5 3" xfId="25762"/>
    <cellStyle name="Normal 57 3 5 5 6" xfId="8130"/>
    <cellStyle name="Normal 57 3 5 5 6 2" xfId="20520"/>
    <cellStyle name="Normal 57 3 5 5 7" xfId="16210"/>
    <cellStyle name="Normal 57 3 5 6" xfId="2737"/>
    <cellStyle name="Normal 57 3 5 6 2" xfId="12056"/>
    <cellStyle name="Normal 57 3 5 6 2 2" xfId="22100"/>
    <cellStyle name="Normal 57 3 5 6 3" xfId="8558"/>
    <cellStyle name="Normal 57 3 5 6 4" xfId="17093"/>
    <cellStyle name="Normal 57 3 5 7" xfId="4183"/>
    <cellStyle name="Normal 57 3 5 7 2" xfId="13023"/>
    <cellStyle name="Normal 57 3 5 7 2 2" xfId="23274"/>
    <cellStyle name="Normal 57 3 5 7 3" xfId="9444"/>
    <cellStyle name="Normal 57 3 5 7 4" xfId="18267"/>
    <cellStyle name="Normal 57 3 5 8" xfId="1455"/>
    <cellStyle name="Normal 57 3 5 8 2" xfId="10834"/>
    <cellStyle name="Normal 57 3 5 8 3" xfId="20838"/>
    <cellStyle name="Normal 57 3 5 9" xfId="5641"/>
    <cellStyle name="Normal 57 3 5 9 2" xfId="14468"/>
    <cellStyle name="Normal 57 3 5 9 3" xfId="24719"/>
    <cellStyle name="Normal 57 3 5_Degree data" xfId="3961"/>
    <cellStyle name="Normal 57 3 6" xfId="462"/>
    <cellStyle name="Normal 57 3 6 2" xfId="856"/>
    <cellStyle name="Normal 57 3 6 2 2" xfId="3342"/>
    <cellStyle name="Normal 57 3 6 2 2 2" xfId="12486"/>
    <cellStyle name="Normal 57 3 6 2 2 2 2" xfId="22705"/>
    <cellStyle name="Normal 57 3 6 2 2 3" xfId="8908"/>
    <cellStyle name="Normal 57 3 6 2 2 4" xfId="17698"/>
    <cellStyle name="Normal 57 3 6 2 3" xfId="4671"/>
    <cellStyle name="Normal 57 3 6 2 3 2" xfId="13511"/>
    <cellStyle name="Normal 57 3 6 2 3 2 2" xfId="23762"/>
    <cellStyle name="Normal 57 3 6 2 3 3" xfId="9932"/>
    <cellStyle name="Normal 57 3 6 2 3 4" xfId="18755"/>
    <cellStyle name="Normal 57 3 6 2 4" xfId="2451"/>
    <cellStyle name="Normal 57 3 6 2 4 2" xfId="11818"/>
    <cellStyle name="Normal 57 3 6 2 4 3" xfId="21822"/>
    <cellStyle name="Normal 57 3 6 2 5" xfId="6129"/>
    <cellStyle name="Normal 57 3 6 2 5 2" xfId="14956"/>
    <cellStyle name="Normal 57 3 6 2 5 3" xfId="25207"/>
    <cellStyle name="Normal 57 3 6 2 6" xfId="7574"/>
    <cellStyle name="Normal 57 3 6 2 6 2" xfId="20304"/>
    <cellStyle name="Normal 57 3 6 2 7" xfId="16815"/>
    <cellStyle name="Normal 57 3 6 3" xfId="1234"/>
    <cellStyle name="Normal 57 3 6 3 2" xfId="3664"/>
    <cellStyle name="Normal 57 3 6 3 2 2" xfId="12802"/>
    <cellStyle name="Normal 57 3 6 3 2 2 2" xfId="23021"/>
    <cellStyle name="Normal 57 3 6 3 2 3" xfId="9223"/>
    <cellStyle name="Normal 57 3 6 3 2 4" xfId="18014"/>
    <cellStyle name="Normal 57 3 6 3 3" xfId="5020"/>
    <cellStyle name="Normal 57 3 6 3 3 2" xfId="13859"/>
    <cellStyle name="Normal 57 3 6 3 3 2 2" xfId="24110"/>
    <cellStyle name="Normal 57 3 6 3 3 3" xfId="10280"/>
    <cellStyle name="Normal 57 3 6 3 3 4" xfId="19103"/>
    <cellStyle name="Normal 57 3 6 3 4" xfId="2058"/>
    <cellStyle name="Normal 57 3 6 3 4 2" xfId="11425"/>
    <cellStyle name="Normal 57 3 6 3 4 3" xfId="21429"/>
    <cellStyle name="Normal 57 3 6 3 5" xfId="6477"/>
    <cellStyle name="Normal 57 3 6 3 5 2" xfId="15304"/>
    <cellStyle name="Normal 57 3 6 3 5 3" xfId="25555"/>
    <cellStyle name="Normal 57 3 6 3 6" xfId="7923"/>
    <cellStyle name="Normal 57 3 6 3 6 2" xfId="20620"/>
    <cellStyle name="Normal 57 3 6 3 7" xfId="16422"/>
    <cellStyle name="Normal 57 3 6 4" xfId="2949"/>
    <cellStyle name="Normal 57 3 6 4 2" xfId="5327"/>
    <cellStyle name="Normal 57 3 6 4 2 2" xfId="14166"/>
    <cellStyle name="Normal 57 3 6 4 2 2 2" xfId="24417"/>
    <cellStyle name="Normal 57 3 6 4 2 3" xfId="10587"/>
    <cellStyle name="Normal 57 3 6 4 2 4" xfId="19410"/>
    <cellStyle name="Normal 57 3 6 4 3" xfId="6784"/>
    <cellStyle name="Normal 57 3 6 4 3 2" xfId="15611"/>
    <cellStyle name="Normal 57 3 6 4 3 3" xfId="25862"/>
    <cellStyle name="Normal 57 3 6 4 4" xfId="8230"/>
    <cellStyle name="Normal 57 3 6 4 4 2" xfId="22312"/>
    <cellStyle name="Normal 57 3 6 4 5" xfId="17305"/>
    <cellStyle name="Normal 57 3 6 5" xfId="4283"/>
    <cellStyle name="Normal 57 3 6 5 2" xfId="13123"/>
    <cellStyle name="Normal 57 3 6 5 2 2" xfId="23374"/>
    <cellStyle name="Normal 57 3 6 5 3" xfId="9544"/>
    <cellStyle name="Normal 57 3 6 5 4" xfId="18367"/>
    <cellStyle name="Normal 57 3 6 6" xfId="1555"/>
    <cellStyle name="Normal 57 3 6 6 2" xfId="10934"/>
    <cellStyle name="Normal 57 3 6 6 3" xfId="20938"/>
    <cellStyle name="Normal 57 3 6 7" xfId="5741"/>
    <cellStyle name="Normal 57 3 6 7 2" xfId="14568"/>
    <cellStyle name="Normal 57 3 6 7 3" xfId="24819"/>
    <cellStyle name="Normal 57 3 6 8" xfId="7185"/>
    <cellStyle name="Normal 57 3 6 8 2" xfId="19911"/>
    <cellStyle name="Normal 57 3 6 9" xfId="15931"/>
    <cellStyle name="Normal 57 3 6_Degree data" xfId="3963"/>
    <cellStyle name="Normal 57 3 7" xfId="310"/>
    <cellStyle name="Normal 57 3 7 2" xfId="857"/>
    <cellStyle name="Normal 57 3 7 2 2" xfId="3343"/>
    <cellStyle name="Normal 57 3 7 2 2 2" xfId="12487"/>
    <cellStyle name="Normal 57 3 7 2 2 2 2" xfId="22706"/>
    <cellStyle name="Normal 57 3 7 2 2 3" xfId="8909"/>
    <cellStyle name="Normal 57 3 7 2 2 4" xfId="17699"/>
    <cellStyle name="Normal 57 3 7 2 3" xfId="4672"/>
    <cellStyle name="Normal 57 3 7 2 3 2" xfId="13512"/>
    <cellStyle name="Normal 57 3 7 2 3 2 2" xfId="23763"/>
    <cellStyle name="Normal 57 3 7 2 3 3" xfId="9933"/>
    <cellStyle name="Normal 57 3 7 2 3 4" xfId="18756"/>
    <cellStyle name="Normal 57 3 7 2 4" xfId="2452"/>
    <cellStyle name="Normal 57 3 7 2 4 2" xfId="11819"/>
    <cellStyle name="Normal 57 3 7 2 4 3" xfId="21823"/>
    <cellStyle name="Normal 57 3 7 2 5" xfId="6130"/>
    <cellStyle name="Normal 57 3 7 2 5 2" xfId="14957"/>
    <cellStyle name="Normal 57 3 7 2 5 3" xfId="25208"/>
    <cellStyle name="Normal 57 3 7 2 6" xfId="7575"/>
    <cellStyle name="Normal 57 3 7 2 6 2" xfId="20305"/>
    <cellStyle name="Normal 57 3 7 2 7" xfId="16816"/>
    <cellStyle name="Normal 57 3 7 3" xfId="1082"/>
    <cellStyle name="Normal 57 3 7 3 2" xfId="3512"/>
    <cellStyle name="Normal 57 3 7 3 2 2" xfId="12650"/>
    <cellStyle name="Normal 57 3 7 3 2 2 2" xfId="22869"/>
    <cellStyle name="Normal 57 3 7 3 2 3" xfId="9072"/>
    <cellStyle name="Normal 57 3 7 3 2 4" xfId="17862"/>
    <cellStyle name="Normal 57 3 7 3 3" xfId="5021"/>
    <cellStyle name="Normal 57 3 7 3 3 2" xfId="13860"/>
    <cellStyle name="Normal 57 3 7 3 3 2 2" xfId="24111"/>
    <cellStyle name="Normal 57 3 7 3 3 3" xfId="10281"/>
    <cellStyle name="Normal 57 3 7 3 3 4" xfId="19104"/>
    <cellStyle name="Normal 57 3 7 3 4" xfId="2601"/>
    <cellStyle name="Normal 57 3 7 3 4 2" xfId="11967"/>
    <cellStyle name="Normal 57 3 7 3 4 3" xfId="21971"/>
    <cellStyle name="Normal 57 3 7 3 5" xfId="6478"/>
    <cellStyle name="Normal 57 3 7 3 5 2" xfId="15305"/>
    <cellStyle name="Normal 57 3 7 3 5 3" xfId="25556"/>
    <cellStyle name="Normal 57 3 7 3 6" xfId="7924"/>
    <cellStyle name="Normal 57 3 7 3 6 2" xfId="20468"/>
    <cellStyle name="Normal 57 3 7 3 7" xfId="16964"/>
    <cellStyle name="Normal 57 3 7 4" xfId="2797"/>
    <cellStyle name="Normal 57 3 7 4 2" xfId="5175"/>
    <cellStyle name="Normal 57 3 7 4 2 2" xfId="14014"/>
    <cellStyle name="Normal 57 3 7 4 2 2 2" xfId="24265"/>
    <cellStyle name="Normal 57 3 7 4 2 3" xfId="10435"/>
    <cellStyle name="Normal 57 3 7 4 2 4" xfId="19258"/>
    <cellStyle name="Normal 57 3 7 4 3" xfId="6632"/>
    <cellStyle name="Normal 57 3 7 4 3 2" xfId="15459"/>
    <cellStyle name="Normal 57 3 7 4 3 3" xfId="25710"/>
    <cellStyle name="Normal 57 3 7 4 4" xfId="8078"/>
    <cellStyle name="Normal 57 3 7 4 4 2" xfId="22160"/>
    <cellStyle name="Normal 57 3 7 4 5" xfId="17153"/>
    <cellStyle name="Normal 57 3 7 5" xfId="4129"/>
    <cellStyle name="Normal 57 3 7 5 2" xfId="12969"/>
    <cellStyle name="Normal 57 3 7 5 2 2" xfId="23220"/>
    <cellStyle name="Normal 57 3 7 5 3" xfId="9390"/>
    <cellStyle name="Normal 57 3 7 5 4" xfId="18213"/>
    <cellStyle name="Normal 57 3 7 6" xfId="1906"/>
    <cellStyle name="Normal 57 3 7 6 2" xfId="11273"/>
    <cellStyle name="Normal 57 3 7 6 3" xfId="21277"/>
    <cellStyle name="Normal 57 3 7 7" xfId="5589"/>
    <cellStyle name="Normal 57 3 7 7 2" xfId="14416"/>
    <cellStyle name="Normal 57 3 7 7 3" xfId="24667"/>
    <cellStyle name="Normal 57 3 7 8" xfId="7033"/>
    <cellStyle name="Normal 57 3 7 8 2" xfId="19759"/>
    <cellStyle name="Normal 57 3 7 9" xfId="16270"/>
    <cellStyle name="Normal 57 3 7_Degree data" xfId="3964"/>
    <cellStyle name="Normal 57 3 8" xfId="838"/>
    <cellStyle name="Normal 57 3 8 2" xfId="3324"/>
    <cellStyle name="Normal 57 3 8 2 2" xfId="12468"/>
    <cellStyle name="Normal 57 3 8 2 2 2" xfId="22687"/>
    <cellStyle name="Normal 57 3 8 2 3" xfId="8890"/>
    <cellStyle name="Normal 57 3 8 2 4" xfId="17680"/>
    <cellStyle name="Normal 57 3 8 3" xfId="4653"/>
    <cellStyle name="Normal 57 3 8 3 2" xfId="13493"/>
    <cellStyle name="Normal 57 3 8 3 2 2" xfId="23744"/>
    <cellStyle name="Normal 57 3 8 3 3" xfId="9914"/>
    <cellStyle name="Normal 57 3 8 3 4" xfId="18737"/>
    <cellStyle name="Normal 57 3 8 4" xfId="2433"/>
    <cellStyle name="Normal 57 3 8 4 2" xfId="11800"/>
    <cellStyle name="Normal 57 3 8 4 3" xfId="21804"/>
    <cellStyle name="Normal 57 3 8 5" xfId="6111"/>
    <cellStyle name="Normal 57 3 8 5 2" xfId="14938"/>
    <cellStyle name="Normal 57 3 8 5 3" xfId="25189"/>
    <cellStyle name="Normal 57 3 8 6" xfId="7556"/>
    <cellStyle name="Normal 57 3 8 6 2" xfId="20286"/>
    <cellStyle name="Normal 57 3 8 7" xfId="16797"/>
    <cellStyle name="Normal 57 3 9" xfId="1050"/>
    <cellStyle name="Normal 57 3 9 2" xfId="3480"/>
    <cellStyle name="Normal 57 3 9 2 2" xfId="12618"/>
    <cellStyle name="Normal 57 3 9 2 2 2" xfId="22837"/>
    <cellStyle name="Normal 57 3 9 2 3" xfId="9040"/>
    <cellStyle name="Normal 57 3 9 2 4" xfId="17830"/>
    <cellStyle name="Normal 57 3 9 3" xfId="5002"/>
    <cellStyle name="Normal 57 3 9 3 2" xfId="13841"/>
    <cellStyle name="Normal 57 3 9 3 2 2" xfId="24092"/>
    <cellStyle name="Normal 57 3 9 3 3" xfId="10262"/>
    <cellStyle name="Normal 57 3 9 3 4" xfId="19085"/>
    <cellStyle name="Normal 57 3 9 4" xfId="1731"/>
    <cellStyle name="Normal 57 3 9 4 2" xfId="11107"/>
    <cellStyle name="Normal 57 3 9 4 3" xfId="21111"/>
    <cellStyle name="Normal 57 3 9 5" xfId="6459"/>
    <cellStyle name="Normal 57 3 9 5 2" xfId="15286"/>
    <cellStyle name="Normal 57 3 9 5 3" xfId="25537"/>
    <cellStyle name="Normal 57 3 9 6" xfId="7905"/>
    <cellStyle name="Normal 57 3 9 6 2" xfId="20436"/>
    <cellStyle name="Normal 57 3 9 7" xfId="16104"/>
    <cellStyle name="Normal 57 3_Degree data" xfId="3945"/>
    <cellStyle name="Normal 57 4" xfId="112"/>
    <cellStyle name="Normal 57 4 10" xfId="4103"/>
    <cellStyle name="Normal 57 4 10 2" xfId="5563"/>
    <cellStyle name="Normal 57 4 10 2 2" xfId="14390"/>
    <cellStyle name="Normal 57 4 10 2 3" xfId="24641"/>
    <cellStyle name="Normal 57 4 10 3" xfId="7007"/>
    <cellStyle name="Normal 57 4 10 3 2" xfId="23194"/>
    <cellStyle name="Normal 57 4 10 4" xfId="18187"/>
    <cellStyle name="Normal 57 4 11" xfId="1420"/>
    <cellStyle name="Normal 57 4 11 2" xfId="10799"/>
    <cellStyle name="Normal 57 4 11 3" xfId="20803"/>
    <cellStyle name="Normal 57 4 12" xfId="5511"/>
    <cellStyle name="Normal 57 4 12 2" xfId="14340"/>
    <cellStyle name="Normal 57 4 12 3" xfId="24591"/>
    <cellStyle name="Normal 57 4 13" xfId="6952"/>
    <cellStyle name="Normal 57 4 13 2" xfId="19590"/>
    <cellStyle name="Normal 57 4 14" xfId="15796"/>
    <cellStyle name="Normal 57 4 2" xfId="151"/>
    <cellStyle name="Normal 57 4 2 10" xfId="5531"/>
    <cellStyle name="Normal 57 4 2 10 2" xfId="14360"/>
    <cellStyle name="Normal 57 4 2 10 3" xfId="24611"/>
    <cellStyle name="Normal 57 4 2 11" xfId="6974"/>
    <cellStyle name="Normal 57 4 2 11 2" xfId="19618"/>
    <cellStyle name="Normal 57 4 2 12" xfId="15855"/>
    <cellStyle name="Normal 57 4 2 2" xfId="201"/>
    <cellStyle name="Normal 57 4 2 2 10" xfId="7152"/>
    <cellStyle name="Normal 57 4 2 2 10 2" xfId="19661"/>
    <cellStyle name="Normal 57 4 2 2 11" xfId="15898"/>
    <cellStyle name="Normal 57 4 2 2 2" xfId="529"/>
    <cellStyle name="Normal 57 4 2 2 2 2" xfId="861"/>
    <cellStyle name="Normal 57 4 2 2 2 2 2" xfId="3347"/>
    <cellStyle name="Normal 57 4 2 2 2 2 2 2" xfId="12491"/>
    <cellStyle name="Normal 57 4 2 2 2 2 2 2 2" xfId="22710"/>
    <cellStyle name="Normal 57 4 2 2 2 2 2 3" xfId="8913"/>
    <cellStyle name="Normal 57 4 2 2 2 2 2 4" xfId="17703"/>
    <cellStyle name="Normal 57 4 2 2 2 2 3" xfId="4676"/>
    <cellStyle name="Normal 57 4 2 2 2 2 3 2" xfId="13516"/>
    <cellStyle name="Normal 57 4 2 2 2 2 3 2 2" xfId="23767"/>
    <cellStyle name="Normal 57 4 2 2 2 2 3 3" xfId="9937"/>
    <cellStyle name="Normal 57 4 2 2 2 2 3 4" xfId="18760"/>
    <cellStyle name="Normal 57 4 2 2 2 2 4" xfId="2456"/>
    <cellStyle name="Normal 57 4 2 2 2 2 4 2" xfId="11823"/>
    <cellStyle name="Normal 57 4 2 2 2 2 4 3" xfId="21827"/>
    <cellStyle name="Normal 57 4 2 2 2 2 5" xfId="6134"/>
    <cellStyle name="Normal 57 4 2 2 2 2 5 2" xfId="14961"/>
    <cellStyle name="Normal 57 4 2 2 2 2 5 3" xfId="25212"/>
    <cellStyle name="Normal 57 4 2 2 2 2 6" xfId="7579"/>
    <cellStyle name="Normal 57 4 2 2 2 2 6 2" xfId="20309"/>
    <cellStyle name="Normal 57 4 2 2 2 2 7" xfId="16820"/>
    <cellStyle name="Normal 57 4 2 2 2 3" xfId="1301"/>
    <cellStyle name="Normal 57 4 2 2 2 3 2" xfId="3731"/>
    <cellStyle name="Normal 57 4 2 2 2 3 2 2" xfId="12869"/>
    <cellStyle name="Normal 57 4 2 2 2 3 2 2 2" xfId="23088"/>
    <cellStyle name="Normal 57 4 2 2 2 3 2 3" xfId="9290"/>
    <cellStyle name="Normal 57 4 2 2 2 3 2 4" xfId="18081"/>
    <cellStyle name="Normal 57 4 2 2 2 3 3" xfId="5025"/>
    <cellStyle name="Normal 57 4 2 2 2 3 3 2" xfId="13864"/>
    <cellStyle name="Normal 57 4 2 2 2 3 3 2 2" xfId="24115"/>
    <cellStyle name="Normal 57 4 2 2 2 3 3 3" xfId="10285"/>
    <cellStyle name="Normal 57 4 2 2 2 3 3 4" xfId="19108"/>
    <cellStyle name="Normal 57 4 2 2 2 3 4" xfId="2125"/>
    <cellStyle name="Normal 57 4 2 2 2 3 4 2" xfId="11492"/>
    <cellStyle name="Normal 57 4 2 2 2 3 4 3" xfId="21496"/>
    <cellStyle name="Normal 57 4 2 2 2 3 5" xfId="6482"/>
    <cellStyle name="Normal 57 4 2 2 2 3 5 2" xfId="15309"/>
    <cellStyle name="Normal 57 4 2 2 2 3 5 3" xfId="25560"/>
    <cellStyle name="Normal 57 4 2 2 2 3 6" xfId="7928"/>
    <cellStyle name="Normal 57 4 2 2 2 3 6 2" xfId="20687"/>
    <cellStyle name="Normal 57 4 2 2 2 3 7" xfId="16489"/>
    <cellStyle name="Normal 57 4 2 2 2 4" xfId="3016"/>
    <cellStyle name="Normal 57 4 2 2 2 4 2" xfId="5394"/>
    <cellStyle name="Normal 57 4 2 2 2 4 2 2" xfId="14233"/>
    <cellStyle name="Normal 57 4 2 2 2 4 2 2 2" xfId="24484"/>
    <cellStyle name="Normal 57 4 2 2 2 4 2 3" xfId="10654"/>
    <cellStyle name="Normal 57 4 2 2 2 4 2 4" xfId="19477"/>
    <cellStyle name="Normal 57 4 2 2 2 4 3" xfId="6851"/>
    <cellStyle name="Normal 57 4 2 2 2 4 3 2" xfId="15678"/>
    <cellStyle name="Normal 57 4 2 2 2 4 3 3" xfId="25929"/>
    <cellStyle name="Normal 57 4 2 2 2 4 4" xfId="8297"/>
    <cellStyle name="Normal 57 4 2 2 2 4 4 2" xfId="22379"/>
    <cellStyle name="Normal 57 4 2 2 2 4 5" xfId="17372"/>
    <cellStyle name="Normal 57 4 2 2 2 5" xfId="4350"/>
    <cellStyle name="Normal 57 4 2 2 2 5 2" xfId="13190"/>
    <cellStyle name="Normal 57 4 2 2 2 5 2 2" xfId="23441"/>
    <cellStyle name="Normal 57 4 2 2 2 5 3" xfId="9611"/>
    <cellStyle name="Normal 57 4 2 2 2 5 4" xfId="18434"/>
    <cellStyle name="Normal 57 4 2 2 2 6" xfId="1622"/>
    <cellStyle name="Normal 57 4 2 2 2 6 2" xfId="11001"/>
    <cellStyle name="Normal 57 4 2 2 2 6 3" xfId="21005"/>
    <cellStyle name="Normal 57 4 2 2 2 7" xfId="5808"/>
    <cellStyle name="Normal 57 4 2 2 2 7 2" xfId="14635"/>
    <cellStyle name="Normal 57 4 2 2 2 7 3" xfId="24886"/>
    <cellStyle name="Normal 57 4 2 2 2 8" xfId="7252"/>
    <cellStyle name="Normal 57 4 2 2 2 8 2" xfId="19978"/>
    <cellStyle name="Normal 57 4 2 2 2 9" xfId="15998"/>
    <cellStyle name="Normal 57 4 2 2 2_Degree data" xfId="3968"/>
    <cellStyle name="Normal 57 4 2 2 3" xfId="429"/>
    <cellStyle name="Normal 57 4 2 2 3 2" xfId="2916"/>
    <cellStyle name="Normal 57 4 2 2 3 2 2" xfId="12206"/>
    <cellStyle name="Normal 57 4 2 2 3 2 2 2" xfId="22279"/>
    <cellStyle name="Normal 57 4 2 2 3 2 3" xfId="8405"/>
    <cellStyle name="Normal 57 4 2 2 3 2 4" xfId="17272"/>
    <cellStyle name="Normal 57 4 2 2 3 3" xfId="4675"/>
    <cellStyle name="Normal 57 4 2 2 3 3 2" xfId="13515"/>
    <cellStyle name="Normal 57 4 2 2 3 3 2 2" xfId="23766"/>
    <cellStyle name="Normal 57 4 2 2 3 3 3" xfId="9936"/>
    <cellStyle name="Normal 57 4 2 2 3 3 4" xfId="18759"/>
    <cellStyle name="Normal 57 4 2 2 3 4" xfId="2025"/>
    <cellStyle name="Normal 57 4 2 2 3 4 2" xfId="11392"/>
    <cellStyle name="Normal 57 4 2 2 3 4 3" xfId="21396"/>
    <cellStyle name="Normal 57 4 2 2 3 5" xfId="6133"/>
    <cellStyle name="Normal 57 4 2 2 3 5 2" xfId="14960"/>
    <cellStyle name="Normal 57 4 2 2 3 5 3" xfId="25211"/>
    <cellStyle name="Normal 57 4 2 2 3 6" xfId="7578"/>
    <cellStyle name="Normal 57 4 2 2 3 6 2" xfId="19878"/>
    <cellStyle name="Normal 57 4 2 2 3 7" xfId="16389"/>
    <cellStyle name="Normal 57 4 2 2 4" xfId="860"/>
    <cellStyle name="Normal 57 4 2 2 4 2" xfId="3346"/>
    <cellStyle name="Normal 57 4 2 2 4 2 2" xfId="12490"/>
    <cellStyle name="Normal 57 4 2 2 4 2 2 2" xfId="22709"/>
    <cellStyle name="Normal 57 4 2 2 4 2 3" xfId="8912"/>
    <cellStyle name="Normal 57 4 2 2 4 2 4" xfId="17702"/>
    <cellStyle name="Normal 57 4 2 2 4 3" xfId="5024"/>
    <cellStyle name="Normal 57 4 2 2 4 3 2" xfId="13863"/>
    <cellStyle name="Normal 57 4 2 2 4 3 2 2" xfId="24114"/>
    <cellStyle name="Normal 57 4 2 2 4 3 3" xfId="10284"/>
    <cellStyle name="Normal 57 4 2 2 4 3 4" xfId="19107"/>
    <cellStyle name="Normal 57 4 2 2 4 4" xfId="2455"/>
    <cellStyle name="Normal 57 4 2 2 4 4 2" xfId="11822"/>
    <cellStyle name="Normal 57 4 2 2 4 4 3" xfId="21826"/>
    <cellStyle name="Normal 57 4 2 2 4 5" xfId="6481"/>
    <cellStyle name="Normal 57 4 2 2 4 5 2" xfId="15308"/>
    <cellStyle name="Normal 57 4 2 2 4 5 3" xfId="25559"/>
    <cellStyle name="Normal 57 4 2 2 4 6" xfId="7927"/>
    <cellStyle name="Normal 57 4 2 2 4 6 2" xfId="20308"/>
    <cellStyle name="Normal 57 4 2 2 4 7" xfId="16819"/>
    <cellStyle name="Normal 57 4 2 2 5" xfId="1201"/>
    <cellStyle name="Normal 57 4 2 2 5 2" xfId="3631"/>
    <cellStyle name="Normal 57 4 2 2 5 2 2" xfId="12769"/>
    <cellStyle name="Normal 57 4 2 2 5 2 2 2" xfId="22988"/>
    <cellStyle name="Normal 57 4 2 2 5 2 3" xfId="9190"/>
    <cellStyle name="Normal 57 4 2 2 5 2 4" xfId="17981"/>
    <cellStyle name="Normal 57 4 2 2 5 3" xfId="5294"/>
    <cellStyle name="Normal 57 4 2 2 5 3 2" xfId="14133"/>
    <cellStyle name="Normal 57 4 2 2 5 3 2 2" xfId="24384"/>
    <cellStyle name="Normal 57 4 2 2 5 3 3" xfId="10554"/>
    <cellStyle name="Normal 57 4 2 2 5 3 4" xfId="19377"/>
    <cellStyle name="Normal 57 4 2 2 5 4" xfId="1804"/>
    <cellStyle name="Normal 57 4 2 2 5 4 2" xfId="11175"/>
    <cellStyle name="Normal 57 4 2 2 5 4 3" xfId="21179"/>
    <cellStyle name="Normal 57 4 2 2 5 5" xfId="6751"/>
    <cellStyle name="Normal 57 4 2 2 5 5 2" xfId="15578"/>
    <cellStyle name="Normal 57 4 2 2 5 5 3" xfId="25829"/>
    <cellStyle name="Normal 57 4 2 2 5 6" xfId="8197"/>
    <cellStyle name="Normal 57 4 2 2 5 6 2" xfId="20587"/>
    <cellStyle name="Normal 57 4 2 2 5 7" xfId="16172"/>
    <cellStyle name="Normal 57 4 2 2 6" xfId="2699"/>
    <cellStyle name="Normal 57 4 2 2 6 2" xfId="12018"/>
    <cellStyle name="Normal 57 4 2 2 6 2 2" xfId="22062"/>
    <cellStyle name="Normal 57 4 2 2 6 3" xfId="8507"/>
    <cellStyle name="Normal 57 4 2 2 6 4" xfId="17055"/>
    <cellStyle name="Normal 57 4 2 2 7" xfId="4250"/>
    <cellStyle name="Normal 57 4 2 2 7 2" xfId="13090"/>
    <cellStyle name="Normal 57 4 2 2 7 2 2" xfId="23341"/>
    <cellStyle name="Normal 57 4 2 2 7 3" xfId="9511"/>
    <cellStyle name="Normal 57 4 2 2 7 4" xfId="18334"/>
    <cellStyle name="Normal 57 4 2 2 8" xfId="1522"/>
    <cellStyle name="Normal 57 4 2 2 8 2" xfId="10901"/>
    <cellStyle name="Normal 57 4 2 2 8 3" xfId="20905"/>
    <cellStyle name="Normal 57 4 2 2 9" xfId="5708"/>
    <cellStyle name="Normal 57 4 2 2 9 2" xfId="14535"/>
    <cellStyle name="Normal 57 4 2 2 9 3" xfId="24786"/>
    <cellStyle name="Normal 57 4 2 2_Degree data" xfId="3967"/>
    <cellStyle name="Normal 57 4 2 3" xfId="486"/>
    <cellStyle name="Normal 57 4 2 3 2" xfId="862"/>
    <cellStyle name="Normal 57 4 2 3 2 2" xfId="3348"/>
    <cellStyle name="Normal 57 4 2 3 2 2 2" xfId="12492"/>
    <cellStyle name="Normal 57 4 2 3 2 2 2 2" xfId="22711"/>
    <cellStyle name="Normal 57 4 2 3 2 2 3" xfId="8914"/>
    <cellStyle name="Normal 57 4 2 3 2 2 4" xfId="17704"/>
    <cellStyle name="Normal 57 4 2 3 2 3" xfId="4677"/>
    <cellStyle name="Normal 57 4 2 3 2 3 2" xfId="13517"/>
    <cellStyle name="Normal 57 4 2 3 2 3 2 2" xfId="23768"/>
    <cellStyle name="Normal 57 4 2 3 2 3 3" xfId="9938"/>
    <cellStyle name="Normal 57 4 2 3 2 3 4" xfId="18761"/>
    <cellStyle name="Normal 57 4 2 3 2 4" xfId="2457"/>
    <cellStyle name="Normal 57 4 2 3 2 4 2" xfId="11824"/>
    <cellStyle name="Normal 57 4 2 3 2 4 3" xfId="21828"/>
    <cellStyle name="Normal 57 4 2 3 2 5" xfId="6135"/>
    <cellStyle name="Normal 57 4 2 3 2 5 2" xfId="14962"/>
    <cellStyle name="Normal 57 4 2 3 2 5 3" xfId="25213"/>
    <cellStyle name="Normal 57 4 2 3 2 6" xfId="7580"/>
    <cellStyle name="Normal 57 4 2 3 2 6 2" xfId="20310"/>
    <cellStyle name="Normal 57 4 2 3 2 7" xfId="16821"/>
    <cellStyle name="Normal 57 4 2 3 3" xfId="1258"/>
    <cellStyle name="Normal 57 4 2 3 3 2" xfId="3688"/>
    <cellStyle name="Normal 57 4 2 3 3 2 2" xfId="12826"/>
    <cellStyle name="Normal 57 4 2 3 3 2 2 2" xfId="23045"/>
    <cellStyle name="Normal 57 4 2 3 3 2 3" xfId="9247"/>
    <cellStyle name="Normal 57 4 2 3 3 2 4" xfId="18038"/>
    <cellStyle name="Normal 57 4 2 3 3 3" xfId="5026"/>
    <cellStyle name="Normal 57 4 2 3 3 3 2" xfId="13865"/>
    <cellStyle name="Normal 57 4 2 3 3 3 2 2" xfId="24116"/>
    <cellStyle name="Normal 57 4 2 3 3 3 3" xfId="10286"/>
    <cellStyle name="Normal 57 4 2 3 3 3 4" xfId="19109"/>
    <cellStyle name="Normal 57 4 2 3 3 4" xfId="2082"/>
    <cellStyle name="Normal 57 4 2 3 3 4 2" xfId="11449"/>
    <cellStyle name="Normal 57 4 2 3 3 4 3" xfId="21453"/>
    <cellStyle name="Normal 57 4 2 3 3 5" xfId="6483"/>
    <cellStyle name="Normal 57 4 2 3 3 5 2" xfId="15310"/>
    <cellStyle name="Normal 57 4 2 3 3 5 3" xfId="25561"/>
    <cellStyle name="Normal 57 4 2 3 3 6" xfId="7929"/>
    <cellStyle name="Normal 57 4 2 3 3 6 2" xfId="20644"/>
    <cellStyle name="Normal 57 4 2 3 3 7" xfId="16446"/>
    <cellStyle name="Normal 57 4 2 3 4" xfId="2973"/>
    <cellStyle name="Normal 57 4 2 3 4 2" xfId="5351"/>
    <cellStyle name="Normal 57 4 2 3 4 2 2" xfId="14190"/>
    <cellStyle name="Normal 57 4 2 3 4 2 2 2" xfId="24441"/>
    <cellStyle name="Normal 57 4 2 3 4 2 3" xfId="10611"/>
    <cellStyle name="Normal 57 4 2 3 4 2 4" xfId="19434"/>
    <cellStyle name="Normal 57 4 2 3 4 3" xfId="6808"/>
    <cellStyle name="Normal 57 4 2 3 4 3 2" xfId="15635"/>
    <cellStyle name="Normal 57 4 2 3 4 3 3" xfId="25886"/>
    <cellStyle name="Normal 57 4 2 3 4 4" xfId="8254"/>
    <cellStyle name="Normal 57 4 2 3 4 4 2" xfId="22336"/>
    <cellStyle name="Normal 57 4 2 3 4 5" xfId="17329"/>
    <cellStyle name="Normal 57 4 2 3 5" xfId="4307"/>
    <cellStyle name="Normal 57 4 2 3 5 2" xfId="13147"/>
    <cellStyle name="Normal 57 4 2 3 5 2 2" xfId="23398"/>
    <cellStyle name="Normal 57 4 2 3 5 3" xfId="9568"/>
    <cellStyle name="Normal 57 4 2 3 5 4" xfId="18391"/>
    <cellStyle name="Normal 57 4 2 3 6" xfId="1579"/>
    <cellStyle name="Normal 57 4 2 3 6 2" xfId="10958"/>
    <cellStyle name="Normal 57 4 2 3 6 3" xfId="20962"/>
    <cellStyle name="Normal 57 4 2 3 7" xfId="5765"/>
    <cellStyle name="Normal 57 4 2 3 7 2" xfId="14592"/>
    <cellStyle name="Normal 57 4 2 3 7 3" xfId="24843"/>
    <cellStyle name="Normal 57 4 2 3 8" xfId="7209"/>
    <cellStyle name="Normal 57 4 2 3 8 2" xfId="19935"/>
    <cellStyle name="Normal 57 4 2 3 9" xfId="15955"/>
    <cellStyle name="Normal 57 4 2 3_Degree data" xfId="3969"/>
    <cellStyle name="Normal 57 4 2 4" xfId="386"/>
    <cellStyle name="Normal 57 4 2 4 2" xfId="2873"/>
    <cellStyle name="Normal 57 4 2 4 2 2" xfId="12163"/>
    <cellStyle name="Normal 57 4 2 4 2 2 2" xfId="22236"/>
    <cellStyle name="Normal 57 4 2 4 2 3" xfId="8444"/>
    <cellStyle name="Normal 57 4 2 4 2 4" xfId="17229"/>
    <cellStyle name="Normal 57 4 2 4 3" xfId="4674"/>
    <cellStyle name="Normal 57 4 2 4 3 2" xfId="13514"/>
    <cellStyle name="Normal 57 4 2 4 3 2 2" xfId="23765"/>
    <cellStyle name="Normal 57 4 2 4 3 3" xfId="9935"/>
    <cellStyle name="Normal 57 4 2 4 3 4" xfId="18758"/>
    <cellStyle name="Normal 57 4 2 4 4" xfId="1982"/>
    <cellStyle name="Normal 57 4 2 4 4 2" xfId="11349"/>
    <cellStyle name="Normal 57 4 2 4 4 3" xfId="21353"/>
    <cellStyle name="Normal 57 4 2 4 5" xfId="6132"/>
    <cellStyle name="Normal 57 4 2 4 5 2" xfId="14959"/>
    <cellStyle name="Normal 57 4 2 4 5 3" xfId="25210"/>
    <cellStyle name="Normal 57 4 2 4 6" xfId="7577"/>
    <cellStyle name="Normal 57 4 2 4 6 2" xfId="19835"/>
    <cellStyle name="Normal 57 4 2 4 7" xfId="16346"/>
    <cellStyle name="Normal 57 4 2 5" xfId="859"/>
    <cellStyle name="Normal 57 4 2 5 2" xfId="3345"/>
    <cellStyle name="Normal 57 4 2 5 2 2" xfId="12489"/>
    <cellStyle name="Normal 57 4 2 5 2 2 2" xfId="22708"/>
    <cellStyle name="Normal 57 4 2 5 2 3" xfId="8911"/>
    <cellStyle name="Normal 57 4 2 5 2 4" xfId="17701"/>
    <cellStyle name="Normal 57 4 2 5 3" xfId="5023"/>
    <cellStyle name="Normal 57 4 2 5 3 2" xfId="13862"/>
    <cellStyle name="Normal 57 4 2 5 3 2 2" xfId="24113"/>
    <cellStyle name="Normal 57 4 2 5 3 3" xfId="10283"/>
    <cellStyle name="Normal 57 4 2 5 3 4" xfId="19106"/>
    <cellStyle name="Normal 57 4 2 5 4" xfId="2454"/>
    <cellStyle name="Normal 57 4 2 5 4 2" xfId="11821"/>
    <cellStyle name="Normal 57 4 2 5 4 3" xfId="21825"/>
    <cellStyle name="Normal 57 4 2 5 5" xfId="6480"/>
    <cellStyle name="Normal 57 4 2 5 5 2" xfId="15307"/>
    <cellStyle name="Normal 57 4 2 5 5 3" xfId="25558"/>
    <cellStyle name="Normal 57 4 2 5 6" xfId="7926"/>
    <cellStyle name="Normal 57 4 2 5 6 2" xfId="20307"/>
    <cellStyle name="Normal 57 4 2 5 7" xfId="16818"/>
    <cellStyle name="Normal 57 4 2 6" xfId="1158"/>
    <cellStyle name="Normal 57 4 2 6 2" xfId="3588"/>
    <cellStyle name="Normal 57 4 2 6 2 2" xfId="12726"/>
    <cellStyle name="Normal 57 4 2 6 2 2 2" xfId="22945"/>
    <cellStyle name="Normal 57 4 2 6 2 3" xfId="9147"/>
    <cellStyle name="Normal 57 4 2 6 2 4" xfId="17938"/>
    <cellStyle name="Normal 57 4 2 6 3" xfId="5251"/>
    <cellStyle name="Normal 57 4 2 6 3 2" xfId="14090"/>
    <cellStyle name="Normal 57 4 2 6 3 2 2" xfId="24341"/>
    <cellStyle name="Normal 57 4 2 6 3 3" xfId="10511"/>
    <cellStyle name="Normal 57 4 2 6 3 4" xfId="19334"/>
    <cellStyle name="Normal 57 4 2 6 4" xfId="1758"/>
    <cellStyle name="Normal 57 4 2 6 4 2" xfId="11131"/>
    <cellStyle name="Normal 57 4 2 6 4 3" xfId="21135"/>
    <cellStyle name="Normal 57 4 2 6 5" xfId="6708"/>
    <cellStyle name="Normal 57 4 2 6 5 2" xfId="15535"/>
    <cellStyle name="Normal 57 4 2 6 5 3" xfId="25786"/>
    <cellStyle name="Normal 57 4 2 6 6" xfId="8154"/>
    <cellStyle name="Normal 57 4 2 6 6 2" xfId="20544"/>
    <cellStyle name="Normal 57 4 2 6 7" xfId="16128"/>
    <cellStyle name="Normal 57 4 2 7" xfId="2656"/>
    <cellStyle name="Normal 57 4 2 7 2" xfId="5665"/>
    <cellStyle name="Normal 57 4 2 7 2 2" xfId="14492"/>
    <cellStyle name="Normal 57 4 2 7 2 3" xfId="24743"/>
    <cellStyle name="Normal 57 4 2 7 3" xfId="7109"/>
    <cellStyle name="Normal 57 4 2 7 3 2" xfId="22019"/>
    <cellStyle name="Normal 57 4 2 7 4" xfId="17012"/>
    <cellStyle name="Normal 57 4 2 8" xfId="4207"/>
    <cellStyle name="Normal 57 4 2 8 2" xfId="13047"/>
    <cellStyle name="Normal 57 4 2 8 2 2" xfId="23298"/>
    <cellStyle name="Normal 57 4 2 8 3" xfId="9468"/>
    <cellStyle name="Normal 57 4 2 8 4" xfId="18291"/>
    <cellStyle name="Normal 57 4 2 9" xfId="1479"/>
    <cellStyle name="Normal 57 4 2 9 2" xfId="10858"/>
    <cellStyle name="Normal 57 4 2 9 3" xfId="20862"/>
    <cellStyle name="Normal 57 4 2_Degree data" xfId="3966"/>
    <cellStyle name="Normal 57 4 3" xfId="186"/>
    <cellStyle name="Normal 57 4 3 10" xfId="7137"/>
    <cellStyle name="Normal 57 4 3 10 2" xfId="19646"/>
    <cellStyle name="Normal 57 4 3 11" xfId="15883"/>
    <cellStyle name="Normal 57 4 3 2" xfId="514"/>
    <cellStyle name="Normal 57 4 3 2 2" xfId="864"/>
    <cellStyle name="Normal 57 4 3 2 2 2" xfId="3350"/>
    <cellStyle name="Normal 57 4 3 2 2 2 2" xfId="12494"/>
    <cellStyle name="Normal 57 4 3 2 2 2 2 2" xfId="22713"/>
    <cellStyle name="Normal 57 4 3 2 2 2 3" xfId="8916"/>
    <cellStyle name="Normal 57 4 3 2 2 2 4" xfId="17706"/>
    <cellStyle name="Normal 57 4 3 2 2 3" xfId="4679"/>
    <cellStyle name="Normal 57 4 3 2 2 3 2" xfId="13519"/>
    <cellStyle name="Normal 57 4 3 2 2 3 2 2" xfId="23770"/>
    <cellStyle name="Normal 57 4 3 2 2 3 3" xfId="9940"/>
    <cellStyle name="Normal 57 4 3 2 2 3 4" xfId="18763"/>
    <cellStyle name="Normal 57 4 3 2 2 4" xfId="2459"/>
    <cellStyle name="Normal 57 4 3 2 2 4 2" xfId="11826"/>
    <cellStyle name="Normal 57 4 3 2 2 4 3" xfId="21830"/>
    <cellStyle name="Normal 57 4 3 2 2 5" xfId="6137"/>
    <cellStyle name="Normal 57 4 3 2 2 5 2" xfId="14964"/>
    <cellStyle name="Normal 57 4 3 2 2 5 3" xfId="25215"/>
    <cellStyle name="Normal 57 4 3 2 2 6" xfId="7582"/>
    <cellStyle name="Normal 57 4 3 2 2 6 2" xfId="20312"/>
    <cellStyle name="Normal 57 4 3 2 2 7" xfId="16823"/>
    <cellStyle name="Normal 57 4 3 2 3" xfId="1286"/>
    <cellStyle name="Normal 57 4 3 2 3 2" xfId="3716"/>
    <cellStyle name="Normal 57 4 3 2 3 2 2" xfId="12854"/>
    <cellStyle name="Normal 57 4 3 2 3 2 2 2" xfId="23073"/>
    <cellStyle name="Normal 57 4 3 2 3 2 3" xfId="9275"/>
    <cellStyle name="Normal 57 4 3 2 3 2 4" xfId="18066"/>
    <cellStyle name="Normal 57 4 3 2 3 3" xfId="5028"/>
    <cellStyle name="Normal 57 4 3 2 3 3 2" xfId="13867"/>
    <cellStyle name="Normal 57 4 3 2 3 3 2 2" xfId="24118"/>
    <cellStyle name="Normal 57 4 3 2 3 3 3" xfId="10288"/>
    <cellStyle name="Normal 57 4 3 2 3 3 4" xfId="19111"/>
    <cellStyle name="Normal 57 4 3 2 3 4" xfId="2110"/>
    <cellStyle name="Normal 57 4 3 2 3 4 2" xfId="11477"/>
    <cellStyle name="Normal 57 4 3 2 3 4 3" xfId="21481"/>
    <cellStyle name="Normal 57 4 3 2 3 5" xfId="6485"/>
    <cellStyle name="Normal 57 4 3 2 3 5 2" xfId="15312"/>
    <cellStyle name="Normal 57 4 3 2 3 5 3" xfId="25563"/>
    <cellStyle name="Normal 57 4 3 2 3 6" xfId="7931"/>
    <cellStyle name="Normal 57 4 3 2 3 6 2" xfId="20672"/>
    <cellStyle name="Normal 57 4 3 2 3 7" xfId="16474"/>
    <cellStyle name="Normal 57 4 3 2 4" xfId="3001"/>
    <cellStyle name="Normal 57 4 3 2 4 2" xfId="5379"/>
    <cellStyle name="Normal 57 4 3 2 4 2 2" xfId="14218"/>
    <cellStyle name="Normal 57 4 3 2 4 2 2 2" xfId="24469"/>
    <cellStyle name="Normal 57 4 3 2 4 2 3" xfId="10639"/>
    <cellStyle name="Normal 57 4 3 2 4 2 4" xfId="19462"/>
    <cellStyle name="Normal 57 4 3 2 4 3" xfId="6836"/>
    <cellStyle name="Normal 57 4 3 2 4 3 2" xfId="15663"/>
    <cellStyle name="Normal 57 4 3 2 4 3 3" xfId="25914"/>
    <cellStyle name="Normal 57 4 3 2 4 4" xfId="8282"/>
    <cellStyle name="Normal 57 4 3 2 4 4 2" xfId="22364"/>
    <cellStyle name="Normal 57 4 3 2 4 5" xfId="17357"/>
    <cellStyle name="Normal 57 4 3 2 5" xfId="4335"/>
    <cellStyle name="Normal 57 4 3 2 5 2" xfId="13175"/>
    <cellStyle name="Normal 57 4 3 2 5 2 2" xfId="23426"/>
    <cellStyle name="Normal 57 4 3 2 5 3" xfId="9596"/>
    <cellStyle name="Normal 57 4 3 2 5 4" xfId="18419"/>
    <cellStyle name="Normal 57 4 3 2 6" xfId="1607"/>
    <cellStyle name="Normal 57 4 3 2 6 2" xfId="10986"/>
    <cellStyle name="Normal 57 4 3 2 6 3" xfId="20990"/>
    <cellStyle name="Normal 57 4 3 2 7" xfId="5793"/>
    <cellStyle name="Normal 57 4 3 2 7 2" xfId="14620"/>
    <cellStyle name="Normal 57 4 3 2 7 3" xfId="24871"/>
    <cellStyle name="Normal 57 4 3 2 8" xfId="7237"/>
    <cellStyle name="Normal 57 4 3 2 8 2" xfId="19963"/>
    <cellStyle name="Normal 57 4 3 2 9" xfId="15983"/>
    <cellStyle name="Normal 57 4 3 2_Degree data" xfId="3971"/>
    <cellStyle name="Normal 57 4 3 3" xfId="414"/>
    <cellStyle name="Normal 57 4 3 3 2" xfId="2901"/>
    <cellStyle name="Normal 57 4 3 3 2 2" xfId="12191"/>
    <cellStyle name="Normal 57 4 3 3 2 2 2" xfId="22264"/>
    <cellStyle name="Normal 57 4 3 3 2 3" xfId="8622"/>
    <cellStyle name="Normal 57 4 3 3 2 4" xfId="17257"/>
    <cellStyle name="Normal 57 4 3 3 3" xfId="4678"/>
    <cellStyle name="Normal 57 4 3 3 3 2" xfId="13518"/>
    <cellStyle name="Normal 57 4 3 3 3 2 2" xfId="23769"/>
    <cellStyle name="Normal 57 4 3 3 3 3" xfId="9939"/>
    <cellStyle name="Normal 57 4 3 3 3 4" xfId="18762"/>
    <cellStyle name="Normal 57 4 3 3 4" xfId="2010"/>
    <cellStyle name="Normal 57 4 3 3 4 2" xfId="11377"/>
    <cellStyle name="Normal 57 4 3 3 4 3" xfId="21381"/>
    <cellStyle name="Normal 57 4 3 3 5" xfId="6136"/>
    <cellStyle name="Normal 57 4 3 3 5 2" xfId="14963"/>
    <cellStyle name="Normal 57 4 3 3 5 3" xfId="25214"/>
    <cellStyle name="Normal 57 4 3 3 6" xfId="7581"/>
    <cellStyle name="Normal 57 4 3 3 6 2" xfId="19863"/>
    <cellStyle name="Normal 57 4 3 3 7" xfId="16374"/>
    <cellStyle name="Normal 57 4 3 4" xfId="863"/>
    <cellStyle name="Normal 57 4 3 4 2" xfId="3349"/>
    <cellStyle name="Normal 57 4 3 4 2 2" xfId="12493"/>
    <cellStyle name="Normal 57 4 3 4 2 2 2" xfId="22712"/>
    <cellStyle name="Normal 57 4 3 4 2 3" xfId="8915"/>
    <cellStyle name="Normal 57 4 3 4 2 4" xfId="17705"/>
    <cellStyle name="Normal 57 4 3 4 3" xfId="5027"/>
    <cellStyle name="Normal 57 4 3 4 3 2" xfId="13866"/>
    <cellStyle name="Normal 57 4 3 4 3 2 2" xfId="24117"/>
    <cellStyle name="Normal 57 4 3 4 3 3" xfId="10287"/>
    <cellStyle name="Normal 57 4 3 4 3 4" xfId="19110"/>
    <cellStyle name="Normal 57 4 3 4 4" xfId="2458"/>
    <cellStyle name="Normal 57 4 3 4 4 2" xfId="11825"/>
    <cellStyle name="Normal 57 4 3 4 4 3" xfId="21829"/>
    <cellStyle name="Normal 57 4 3 4 5" xfId="6484"/>
    <cellStyle name="Normal 57 4 3 4 5 2" xfId="15311"/>
    <cellStyle name="Normal 57 4 3 4 5 3" xfId="25562"/>
    <cellStyle name="Normal 57 4 3 4 6" xfId="7930"/>
    <cellStyle name="Normal 57 4 3 4 6 2" xfId="20311"/>
    <cellStyle name="Normal 57 4 3 4 7" xfId="16822"/>
    <cellStyle name="Normal 57 4 3 5" xfId="1186"/>
    <cellStyle name="Normal 57 4 3 5 2" xfId="3616"/>
    <cellStyle name="Normal 57 4 3 5 2 2" xfId="12754"/>
    <cellStyle name="Normal 57 4 3 5 2 2 2" xfId="22973"/>
    <cellStyle name="Normal 57 4 3 5 2 3" xfId="9175"/>
    <cellStyle name="Normal 57 4 3 5 2 4" xfId="17966"/>
    <cellStyle name="Normal 57 4 3 5 3" xfId="5279"/>
    <cellStyle name="Normal 57 4 3 5 3 2" xfId="14118"/>
    <cellStyle name="Normal 57 4 3 5 3 2 2" xfId="24369"/>
    <cellStyle name="Normal 57 4 3 5 3 3" xfId="10539"/>
    <cellStyle name="Normal 57 4 3 5 3 4" xfId="19362"/>
    <cellStyle name="Normal 57 4 3 5 4" xfId="1789"/>
    <cellStyle name="Normal 57 4 3 5 4 2" xfId="11160"/>
    <cellStyle name="Normal 57 4 3 5 4 3" xfId="21164"/>
    <cellStyle name="Normal 57 4 3 5 5" xfId="6736"/>
    <cellStyle name="Normal 57 4 3 5 5 2" xfId="15563"/>
    <cellStyle name="Normal 57 4 3 5 5 3" xfId="25814"/>
    <cellStyle name="Normal 57 4 3 5 6" xfId="8182"/>
    <cellStyle name="Normal 57 4 3 5 6 2" xfId="20572"/>
    <cellStyle name="Normal 57 4 3 5 7" xfId="16157"/>
    <cellStyle name="Normal 57 4 3 6" xfId="2684"/>
    <cellStyle name="Normal 57 4 3 6 2" xfId="12003"/>
    <cellStyle name="Normal 57 4 3 6 2 2" xfId="22047"/>
    <cellStyle name="Normal 57 4 3 6 3" xfId="8597"/>
    <cellStyle name="Normal 57 4 3 6 4" xfId="17040"/>
    <cellStyle name="Normal 57 4 3 7" xfId="4235"/>
    <cellStyle name="Normal 57 4 3 7 2" xfId="13075"/>
    <cellStyle name="Normal 57 4 3 7 2 2" xfId="23326"/>
    <cellStyle name="Normal 57 4 3 7 3" xfId="9496"/>
    <cellStyle name="Normal 57 4 3 7 4" xfId="18319"/>
    <cellStyle name="Normal 57 4 3 8" xfId="1507"/>
    <cellStyle name="Normal 57 4 3 8 2" xfId="10886"/>
    <cellStyle name="Normal 57 4 3 8 3" xfId="20890"/>
    <cellStyle name="Normal 57 4 3 9" xfId="5693"/>
    <cellStyle name="Normal 57 4 3 9 2" xfId="14520"/>
    <cellStyle name="Normal 57 4 3 9 3" xfId="24771"/>
    <cellStyle name="Normal 57 4 3_Degree data" xfId="3970"/>
    <cellStyle name="Normal 57 4 4" xfId="240"/>
    <cellStyle name="Normal 57 4 4 10" xfId="7081"/>
    <cellStyle name="Normal 57 4 4 10 2" xfId="19695"/>
    <cellStyle name="Normal 57 4 4 11" xfId="15827"/>
    <cellStyle name="Normal 57 4 4 2" xfId="563"/>
    <cellStyle name="Normal 57 4 4 2 2" xfId="866"/>
    <cellStyle name="Normal 57 4 4 2 2 2" xfId="3352"/>
    <cellStyle name="Normal 57 4 4 2 2 2 2" xfId="12496"/>
    <cellStyle name="Normal 57 4 4 2 2 2 2 2" xfId="22715"/>
    <cellStyle name="Normal 57 4 4 2 2 2 3" xfId="8918"/>
    <cellStyle name="Normal 57 4 4 2 2 2 4" xfId="17708"/>
    <cellStyle name="Normal 57 4 4 2 2 3" xfId="4681"/>
    <cellStyle name="Normal 57 4 4 2 2 3 2" xfId="13521"/>
    <cellStyle name="Normal 57 4 4 2 2 3 2 2" xfId="23772"/>
    <cellStyle name="Normal 57 4 4 2 2 3 3" xfId="9942"/>
    <cellStyle name="Normal 57 4 4 2 2 3 4" xfId="18765"/>
    <cellStyle name="Normal 57 4 4 2 2 4" xfId="2461"/>
    <cellStyle name="Normal 57 4 4 2 2 4 2" xfId="11828"/>
    <cellStyle name="Normal 57 4 4 2 2 4 3" xfId="21832"/>
    <cellStyle name="Normal 57 4 4 2 2 5" xfId="6139"/>
    <cellStyle name="Normal 57 4 4 2 2 5 2" xfId="14966"/>
    <cellStyle name="Normal 57 4 4 2 2 5 3" xfId="25217"/>
    <cellStyle name="Normal 57 4 4 2 2 6" xfId="7584"/>
    <cellStyle name="Normal 57 4 4 2 2 6 2" xfId="20314"/>
    <cellStyle name="Normal 57 4 4 2 2 7" xfId="16825"/>
    <cellStyle name="Normal 57 4 4 2 3" xfId="1335"/>
    <cellStyle name="Normal 57 4 4 2 3 2" xfId="3765"/>
    <cellStyle name="Normal 57 4 4 2 3 2 2" xfId="12903"/>
    <cellStyle name="Normal 57 4 4 2 3 2 2 2" xfId="23122"/>
    <cellStyle name="Normal 57 4 4 2 3 2 3" xfId="9324"/>
    <cellStyle name="Normal 57 4 4 2 3 2 4" xfId="18115"/>
    <cellStyle name="Normal 57 4 4 2 3 3" xfId="5030"/>
    <cellStyle name="Normal 57 4 4 2 3 3 2" xfId="13869"/>
    <cellStyle name="Normal 57 4 4 2 3 3 2 2" xfId="24120"/>
    <cellStyle name="Normal 57 4 4 2 3 3 3" xfId="10290"/>
    <cellStyle name="Normal 57 4 4 2 3 3 4" xfId="19113"/>
    <cellStyle name="Normal 57 4 4 2 3 4" xfId="2159"/>
    <cellStyle name="Normal 57 4 4 2 3 4 2" xfId="11526"/>
    <cellStyle name="Normal 57 4 4 2 3 4 3" xfId="21530"/>
    <cellStyle name="Normal 57 4 4 2 3 5" xfId="6487"/>
    <cellStyle name="Normal 57 4 4 2 3 5 2" xfId="15314"/>
    <cellStyle name="Normal 57 4 4 2 3 5 3" xfId="25565"/>
    <cellStyle name="Normal 57 4 4 2 3 6" xfId="7933"/>
    <cellStyle name="Normal 57 4 4 2 3 6 2" xfId="20721"/>
    <cellStyle name="Normal 57 4 4 2 3 7" xfId="16523"/>
    <cellStyle name="Normal 57 4 4 2 4" xfId="3050"/>
    <cellStyle name="Normal 57 4 4 2 4 2" xfId="5428"/>
    <cellStyle name="Normal 57 4 4 2 4 2 2" xfId="14267"/>
    <cellStyle name="Normal 57 4 4 2 4 2 2 2" xfId="24518"/>
    <cellStyle name="Normal 57 4 4 2 4 2 3" xfId="10688"/>
    <cellStyle name="Normal 57 4 4 2 4 2 4" xfId="19511"/>
    <cellStyle name="Normal 57 4 4 2 4 3" xfId="6885"/>
    <cellStyle name="Normal 57 4 4 2 4 3 2" xfId="15712"/>
    <cellStyle name="Normal 57 4 4 2 4 3 3" xfId="25963"/>
    <cellStyle name="Normal 57 4 4 2 4 4" xfId="8331"/>
    <cellStyle name="Normal 57 4 4 2 4 4 2" xfId="22413"/>
    <cellStyle name="Normal 57 4 4 2 4 5" xfId="17406"/>
    <cellStyle name="Normal 57 4 4 2 5" xfId="4384"/>
    <cellStyle name="Normal 57 4 4 2 5 2" xfId="13224"/>
    <cellStyle name="Normal 57 4 4 2 5 2 2" xfId="23475"/>
    <cellStyle name="Normal 57 4 4 2 5 3" xfId="9645"/>
    <cellStyle name="Normal 57 4 4 2 5 4" xfId="18468"/>
    <cellStyle name="Normal 57 4 4 2 6" xfId="1656"/>
    <cellStyle name="Normal 57 4 4 2 6 2" xfId="11035"/>
    <cellStyle name="Normal 57 4 4 2 6 3" xfId="21039"/>
    <cellStyle name="Normal 57 4 4 2 7" xfId="5842"/>
    <cellStyle name="Normal 57 4 4 2 7 2" xfId="14669"/>
    <cellStyle name="Normal 57 4 4 2 7 3" xfId="24920"/>
    <cellStyle name="Normal 57 4 4 2 8" xfId="7286"/>
    <cellStyle name="Normal 57 4 4 2 8 2" xfId="20012"/>
    <cellStyle name="Normal 57 4 4 2 9" xfId="16032"/>
    <cellStyle name="Normal 57 4 4 2_Degree data" xfId="3973"/>
    <cellStyle name="Normal 57 4 4 3" xfId="358"/>
    <cellStyle name="Normal 57 4 4 3 2" xfId="2845"/>
    <cellStyle name="Normal 57 4 4 3 2 2" xfId="12135"/>
    <cellStyle name="Normal 57 4 4 3 2 2 2" xfId="22208"/>
    <cellStyle name="Normal 57 4 4 3 2 3" xfId="8630"/>
    <cellStyle name="Normal 57 4 4 3 2 4" xfId="17201"/>
    <cellStyle name="Normal 57 4 4 3 3" xfId="4680"/>
    <cellStyle name="Normal 57 4 4 3 3 2" xfId="13520"/>
    <cellStyle name="Normal 57 4 4 3 3 2 2" xfId="23771"/>
    <cellStyle name="Normal 57 4 4 3 3 3" xfId="9941"/>
    <cellStyle name="Normal 57 4 4 3 3 4" xfId="18764"/>
    <cellStyle name="Normal 57 4 4 3 4" xfId="1954"/>
    <cellStyle name="Normal 57 4 4 3 4 2" xfId="11321"/>
    <cellStyle name="Normal 57 4 4 3 4 3" xfId="21325"/>
    <cellStyle name="Normal 57 4 4 3 5" xfId="6138"/>
    <cellStyle name="Normal 57 4 4 3 5 2" xfId="14965"/>
    <cellStyle name="Normal 57 4 4 3 5 3" xfId="25216"/>
    <cellStyle name="Normal 57 4 4 3 6" xfId="7583"/>
    <cellStyle name="Normal 57 4 4 3 6 2" xfId="19807"/>
    <cellStyle name="Normal 57 4 4 3 7" xfId="16318"/>
    <cellStyle name="Normal 57 4 4 4" xfId="865"/>
    <cellStyle name="Normal 57 4 4 4 2" xfId="3351"/>
    <cellStyle name="Normal 57 4 4 4 2 2" xfId="12495"/>
    <cellStyle name="Normal 57 4 4 4 2 2 2" xfId="22714"/>
    <cellStyle name="Normal 57 4 4 4 2 3" xfId="8917"/>
    <cellStyle name="Normal 57 4 4 4 2 4" xfId="17707"/>
    <cellStyle name="Normal 57 4 4 4 3" xfId="5029"/>
    <cellStyle name="Normal 57 4 4 4 3 2" xfId="13868"/>
    <cellStyle name="Normal 57 4 4 4 3 2 2" xfId="24119"/>
    <cellStyle name="Normal 57 4 4 4 3 3" xfId="10289"/>
    <cellStyle name="Normal 57 4 4 4 3 4" xfId="19112"/>
    <cellStyle name="Normal 57 4 4 4 4" xfId="2460"/>
    <cellStyle name="Normal 57 4 4 4 4 2" xfId="11827"/>
    <cellStyle name="Normal 57 4 4 4 4 3" xfId="21831"/>
    <cellStyle name="Normal 57 4 4 4 5" xfId="6486"/>
    <cellStyle name="Normal 57 4 4 4 5 2" xfId="15313"/>
    <cellStyle name="Normal 57 4 4 4 5 3" xfId="25564"/>
    <cellStyle name="Normal 57 4 4 4 6" xfId="7932"/>
    <cellStyle name="Normal 57 4 4 4 6 2" xfId="20313"/>
    <cellStyle name="Normal 57 4 4 4 7" xfId="16824"/>
    <cellStyle name="Normal 57 4 4 5" xfId="1130"/>
    <cellStyle name="Normal 57 4 4 5 2" xfId="3560"/>
    <cellStyle name="Normal 57 4 4 5 2 2" xfId="12698"/>
    <cellStyle name="Normal 57 4 4 5 2 2 2" xfId="22917"/>
    <cellStyle name="Normal 57 4 4 5 2 3" xfId="9119"/>
    <cellStyle name="Normal 57 4 4 5 2 4" xfId="17910"/>
    <cellStyle name="Normal 57 4 4 5 3" xfId="5223"/>
    <cellStyle name="Normal 57 4 4 5 3 2" xfId="14062"/>
    <cellStyle name="Normal 57 4 4 5 3 2 2" xfId="24313"/>
    <cellStyle name="Normal 57 4 4 5 3 3" xfId="10483"/>
    <cellStyle name="Normal 57 4 4 5 3 4" xfId="19306"/>
    <cellStyle name="Normal 57 4 4 5 4" xfId="1839"/>
    <cellStyle name="Normal 57 4 4 5 4 2" xfId="11209"/>
    <cellStyle name="Normal 57 4 4 5 4 3" xfId="21213"/>
    <cellStyle name="Normal 57 4 4 5 5" xfId="6680"/>
    <cellStyle name="Normal 57 4 4 5 5 2" xfId="15507"/>
    <cellStyle name="Normal 57 4 4 5 5 3" xfId="25758"/>
    <cellStyle name="Normal 57 4 4 5 6" xfId="8126"/>
    <cellStyle name="Normal 57 4 4 5 6 2" xfId="20516"/>
    <cellStyle name="Normal 57 4 4 5 7" xfId="16206"/>
    <cellStyle name="Normal 57 4 4 6" xfId="2733"/>
    <cellStyle name="Normal 57 4 4 6 2" xfId="12052"/>
    <cellStyle name="Normal 57 4 4 6 2 2" xfId="22096"/>
    <cellStyle name="Normal 57 4 4 6 3" xfId="8500"/>
    <cellStyle name="Normal 57 4 4 6 4" xfId="17089"/>
    <cellStyle name="Normal 57 4 4 7" xfId="4179"/>
    <cellStyle name="Normal 57 4 4 7 2" xfId="13019"/>
    <cellStyle name="Normal 57 4 4 7 2 2" xfId="23270"/>
    <cellStyle name="Normal 57 4 4 7 3" xfId="9440"/>
    <cellStyle name="Normal 57 4 4 7 4" xfId="18263"/>
    <cellStyle name="Normal 57 4 4 8" xfId="1451"/>
    <cellStyle name="Normal 57 4 4 8 2" xfId="10830"/>
    <cellStyle name="Normal 57 4 4 8 3" xfId="20834"/>
    <cellStyle name="Normal 57 4 4 9" xfId="5637"/>
    <cellStyle name="Normal 57 4 4 9 2" xfId="14464"/>
    <cellStyle name="Normal 57 4 4 9 3" xfId="24715"/>
    <cellStyle name="Normal 57 4 4_Degree data" xfId="3972"/>
    <cellStyle name="Normal 57 4 5" xfId="458"/>
    <cellStyle name="Normal 57 4 5 2" xfId="867"/>
    <cellStyle name="Normal 57 4 5 2 2" xfId="3353"/>
    <cellStyle name="Normal 57 4 5 2 2 2" xfId="12497"/>
    <cellStyle name="Normal 57 4 5 2 2 2 2" xfId="22716"/>
    <cellStyle name="Normal 57 4 5 2 2 3" xfId="8919"/>
    <cellStyle name="Normal 57 4 5 2 2 4" xfId="17709"/>
    <cellStyle name="Normal 57 4 5 2 3" xfId="4682"/>
    <cellStyle name="Normal 57 4 5 2 3 2" xfId="13522"/>
    <cellStyle name="Normal 57 4 5 2 3 2 2" xfId="23773"/>
    <cellStyle name="Normal 57 4 5 2 3 3" xfId="9943"/>
    <cellStyle name="Normal 57 4 5 2 3 4" xfId="18766"/>
    <cellStyle name="Normal 57 4 5 2 4" xfId="2462"/>
    <cellStyle name="Normal 57 4 5 2 4 2" xfId="11829"/>
    <cellStyle name="Normal 57 4 5 2 4 3" xfId="21833"/>
    <cellStyle name="Normal 57 4 5 2 5" xfId="6140"/>
    <cellStyle name="Normal 57 4 5 2 5 2" xfId="14967"/>
    <cellStyle name="Normal 57 4 5 2 5 3" xfId="25218"/>
    <cellStyle name="Normal 57 4 5 2 6" xfId="7585"/>
    <cellStyle name="Normal 57 4 5 2 6 2" xfId="20315"/>
    <cellStyle name="Normal 57 4 5 2 7" xfId="16826"/>
    <cellStyle name="Normal 57 4 5 3" xfId="1230"/>
    <cellStyle name="Normal 57 4 5 3 2" xfId="3660"/>
    <cellStyle name="Normal 57 4 5 3 2 2" xfId="12798"/>
    <cellStyle name="Normal 57 4 5 3 2 2 2" xfId="23017"/>
    <cellStyle name="Normal 57 4 5 3 2 3" xfId="9219"/>
    <cellStyle name="Normal 57 4 5 3 2 4" xfId="18010"/>
    <cellStyle name="Normal 57 4 5 3 3" xfId="5031"/>
    <cellStyle name="Normal 57 4 5 3 3 2" xfId="13870"/>
    <cellStyle name="Normal 57 4 5 3 3 2 2" xfId="24121"/>
    <cellStyle name="Normal 57 4 5 3 3 3" xfId="10291"/>
    <cellStyle name="Normal 57 4 5 3 3 4" xfId="19114"/>
    <cellStyle name="Normal 57 4 5 3 4" xfId="2054"/>
    <cellStyle name="Normal 57 4 5 3 4 2" xfId="11421"/>
    <cellStyle name="Normal 57 4 5 3 4 3" xfId="21425"/>
    <cellStyle name="Normal 57 4 5 3 5" xfId="6488"/>
    <cellStyle name="Normal 57 4 5 3 5 2" xfId="15315"/>
    <cellStyle name="Normal 57 4 5 3 5 3" xfId="25566"/>
    <cellStyle name="Normal 57 4 5 3 6" xfId="7934"/>
    <cellStyle name="Normal 57 4 5 3 6 2" xfId="20616"/>
    <cellStyle name="Normal 57 4 5 3 7" xfId="16418"/>
    <cellStyle name="Normal 57 4 5 4" xfId="2945"/>
    <cellStyle name="Normal 57 4 5 4 2" xfId="5323"/>
    <cellStyle name="Normal 57 4 5 4 2 2" xfId="14162"/>
    <cellStyle name="Normal 57 4 5 4 2 2 2" xfId="24413"/>
    <cellStyle name="Normal 57 4 5 4 2 3" xfId="10583"/>
    <cellStyle name="Normal 57 4 5 4 2 4" xfId="19406"/>
    <cellStyle name="Normal 57 4 5 4 3" xfId="6780"/>
    <cellStyle name="Normal 57 4 5 4 3 2" xfId="15607"/>
    <cellStyle name="Normal 57 4 5 4 3 3" xfId="25858"/>
    <cellStyle name="Normal 57 4 5 4 4" xfId="8226"/>
    <cellStyle name="Normal 57 4 5 4 4 2" xfId="22308"/>
    <cellStyle name="Normal 57 4 5 4 5" xfId="17301"/>
    <cellStyle name="Normal 57 4 5 5" xfId="4279"/>
    <cellStyle name="Normal 57 4 5 5 2" xfId="13119"/>
    <cellStyle name="Normal 57 4 5 5 2 2" xfId="23370"/>
    <cellStyle name="Normal 57 4 5 5 3" xfId="9540"/>
    <cellStyle name="Normal 57 4 5 5 4" xfId="18363"/>
    <cellStyle name="Normal 57 4 5 6" xfId="1551"/>
    <cellStyle name="Normal 57 4 5 6 2" xfId="10930"/>
    <cellStyle name="Normal 57 4 5 6 3" xfId="20934"/>
    <cellStyle name="Normal 57 4 5 7" xfId="5737"/>
    <cellStyle name="Normal 57 4 5 7 2" xfId="14564"/>
    <cellStyle name="Normal 57 4 5 7 3" xfId="24815"/>
    <cellStyle name="Normal 57 4 5 8" xfId="7181"/>
    <cellStyle name="Normal 57 4 5 8 2" xfId="19907"/>
    <cellStyle name="Normal 57 4 5 9" xfId="15927"/>
    <cellStyle name="Normal 57 4 5_Degree data" xfId="3974"/>
    <cellStyle name="Normal 57 4 6" xfId="327"/>
    <cellStyle name="Normal 57 4 6 2" xfId="868"/>
    <cellStyle name="Normal 57 4 6 2 2" xfId="3354"/>
    <cellStyle name="Normal 57 4 6 2 2 2" xfId="12498"/>
    <cellStyle name="Normal 57 4 6 2 2 2 2" xfId="22717"/>
    <cellStyle name="Normal 57 4 6 2 2 3" xfId="8920"/>
    <cellStyle name="Normal 57 4 6 2 2 4" xfId="17710"/>
    <cellStyle name="Normal 57 4 6 2 3" xfId="4683"/>
    <cellStyle name="Normal 57 4 6 2 3 2" xfId="13523"/>
    <cellStyle name="Normal 57 4 6 2 3 2 2" xfId="23774"/>
    <cellStyle name="Normal 57 4 6 2 3 3" xfId="9944"/>
    <cellStyle name="Normal 57 4 6 2 3 4" xfId="18767"/>
    <cellStyle name="Normal 57 4 6 2 4" xfId="2463"/>
    <cellStyle name="Normal 57 4 6 2 4 2" xfId="11830"/>
    <cellStyle name="Normal 57 4 6 2 4 3" xfId="21834"/>
    <cellStyle name="Normal 57 4 6 2 5" xfId="6141"/>
    <cellStyle name="Normal 57 4 6 2 5 2" xfId="14968"/>
    <cellStyle name="Normal 57 4 6 2 5 3" xfId="25219"/>
    <cellStyle name="Normal 57 4 6 2 6" xfId="7586"/>
    <cellStyle name="Normal 57 4 6 2 6 2" xfId="20316"/>
    <cellStyle name="Normal 57 4 6 2 7" xfId="16827"/>
    <cellStyle name="Normal 57 4 6 3" xfId="1099"/>
    <cellStyle name="Normal 57 4 6 3 2" xfId="3529"/>
    <cellStyle name="Normal 57 4 6 3 2 2" xfId="12667"/>
    <cellStyle name="Normal 57 4 6 3 2 2 2" xfId="22886"/>
    <cellStyle name="Normal 57 4 6 3 2 3" xfId="9089"/>
    <cellStyle name="Normal 57 4 6 3 2 4" xfId="17879"/>
    <cellStyle name="Normal 57 4 6 3 3" xfId="5032"/>
    <cellStyle name="Normal 57 4 6 3 3 2" xfId="13871"/>
    <cellStyle name="Normal 57 4 6 3 3 2 2" xfId="24122"/>
    <cellStyle name="Normal 57 4 6 3 3 3" xfId="10292"/>
    <cellStyle name="Normal 57 4 6 3 3 4" xfId="19115"/>
    <cellStyle name="Normal 57 4 6 3 4" xfId="2602"/>
    <cellStyle name="Normal 57 4 6 3 4 2" xfId="11968"/>
    <cellStyle name="Normal 57 4 6 3 4 3" xfId="21972"/>
    <cellStyle name="Normal 57 4 6 3 5" xfId="6489"/>
    <cellStyle name="Normal 57 4 6 3 5 2" xfId="15316"/>
    <cellStyle name="Normal 57 4 6 3 5 3" xfId="25567"/>
    <cellStyle name="Normal 57 4 6 3 6" xfId="7935"/>
    <cellStyle name="Normal 57 4 6 3 6 2" xfId="20485"/>
    <cellStyle name="Normal 57 4 6 3 7" xfId="16965"/>
    <cellStyle name="Normal 57 4 6 4" xfId="2814"/>
    <cellStyle name="Normal 57 4 6 4 2" xfId="5192"/>
    <cellStyle name="Normal 57 4 6 4 2 2" xfId="14031"/>
    <cellStyle name="Normal 57 4 6 4 2 2 2" xfId="24282"/>
    <cellStyle name="Normal 57 4 6 4 2 3" xfId="10452"/>
    <cellStyle name="Normal 57 4 6 4 2 4" xfId="19275"/>
    <cellStyle name="Normal 57 4 6 4 3" xfId="6649"/>
    <cellStyle name="Normal 57 4 6 4 3 2" xfId="15476"/>
    <cellStyle name="Normal 57 4 6 4 3 3" xfId="25727"/>
    <cellStyle name="Normal 57 4 6 4 4" xfId="8095"/>
    <cellStyle name="Normal 57 4 6 4 4 2" xfId="22177"/>
    <cellStyle name="Normal 57 4 6 4 5" xfId="17170"/>
    <cellStyle name="Normal 57 4 6 5" xfId="4146"/>
    <cellStyle name="Normal 57 4 6 5 2" xfId="12986"/>
    <cellStyle name="Normal 57 4 6 5 2 2" xfId="23237"/>
    <cellStyle name="Normal 57 4 6 5 3" xfId="9407"/>
    <cellStyle name="Normal 57 4 6 5 4" xfId="18230"/>
    <cellStyle name="Normal 57 4 6 6" xfId="1923"/>
    <cellStyle name="Normal 57 4 6 6 2" xfId="11290"/>
    <cellStyle name="Normal 57 4 6 6 3" xfId="21294"/>
    <cellStyle name="Normal 57 4 6 7" xfId="5606"/>
    <cellStyle name="Normal 57 4 6 7 2" xfId="14433"/>
    <cellStyle name="Normal 57 4 6 7 3" xfId="24684"/>
    <cellStyle name="Normal 57 4 6 8" xfId="7050"/>
    <cellStyle name="Normal 57 4 6 8 2" xfId="19776"/>
    <cellStyle name="Normal 57 4 6 9" xfId="16287"/>
    <cellStyle name="Normal 57 4 6_Degree data" xfId="3975"/>
    <cellStyle name="Normal 57 4 7" xfId="858"/>
    <cellStyle name="Normal 57 4 7 2" xfId="3344"/>
    <cellStyle name="Normal 57 4 7 2 2" xfId="12488"/>
    <cellStyle name="Normal 57 4 7 2 2 2" xfId="22707"/>
    <cellStyle name="Normal 57 4 7 2 3" xfId="8910"/>
    <cellStyle name="Normal 57 4 7 2 4" xfId="17700"/>
    <cellStyle name="Normal 57 4 7 3" xfId="4673"/>
    <cellStyle name="Normal 57 4 7 3 2" xfId="13513"/>
    <cellStyle name="Normal 57 4 7 3 2 2" xfId="23764"/>
    <cellStyle name="Normal 57 4 7 3 3" xfId="9934"/>
    <cellStyle name="Normal 57 4 7 3 4" xfId="18757"/>
    <cellStyle name="Normal 57 4 7 4" xfId="2453"/>
    <cellStyle name="Normal 57 4 7 4 2" xfId="11820"/>
    <cellStyle name="Normal 57 4 7 4 3" xfId="21824"/>
    <cellStyle name="Normal 57 4 7 5" xfId="6131"/>
    <cellStyle name="Normal 57 4 7 5 2" xfId="14958"/>
    <cellStyle name="Normal 57 4 7 5 3" xfId="25209"/>
    <cellStyle name="Normal 57 4 7 6" xfId="7576"/>
    <cellStyle name="Normal 57 4 7 6 2" xfId="20306"/>
    <cellStyle name="Normal 57 4 7 7" xfId="16817"/>
    <cellStyle name="Normal 57 4 8" xfId="1056"/>
    <cellStyle name="Normal 57 4 8 2" xfId="3486"/>
    <cellStyle name="Normal 57 4 8 2 2" xfId="12624"/>
    <cellStyle name="Normal 57 4 8 2 2 2" xfId="22843"/>
    <cellStyle name="Normal 57 4 8 2 3" xfId="9046"/>
    <cellStyle name="Normal 57 4 8 2 4" xfId="17836"/>
    <cellStyle name="Normal 57 4 8 3" xfId="5022"/>
    <cellStyle name="Normal 57 4 8 3 2" xfId="13861"/>
    <cellStyle name="Normal 57 4 8 3 2 2" xfId="24112"/>
    <cellStyle name="Normal 57 4 8 3 3" xfId="10282"/>
    <cellStyle name="Normal 57 4 8 3 4" xfId="19105"/>
    <cellStyle name="Normal 57 4 8 4" xfId="1727"/>
    <cellStyle name="Normal 57 4 8 4 2" xfId="11103"/>
    <cellStyle name="Normal 57 4 8 4 3" xfId="21107"/>
    <cellStyle name="Normal 57 4 8 5" xfId="6479"/>
    <cellStyle name="Normal 57 4 8 5 2" xfId="15306"/>
    <cellStyle name="Normal 57 4 8 5 3" xfId="25557"/>
    <cellStyle name="Normal 57 4 8 6" xfId="7925"/>
    <cellStyle name="Normal 57 4 8 6 2" xfId="20442"/>
    <cellStyle name="Normal 57 4 8 7" xfId="16100"/>
    <cellStyle name="Normal 57 4 9" xfId="2625"/>
    <cellStyle name="Normal 57 4 9 2" xfId="5149"/>
    <cellStyle name="Normal 57 4 9 2 2" xfId="13988"/>
    <cellStyle name="Normal 57 4 9 2 2 2" xfId="24239"/>
    <cellStyle name="Normal 57 4 9 2 3" xfId="10409"/>
    <cellStyle name="Normal 57 4 9 2 4" xfId="19232"/>
    <cellStyle name="Normal 57 4 9 3" xfId="6606"/>
    <cellStyle name="Normal 57 4 9 3 2" xfId="15433"/>
    <cellStyle name="Normal 57 4 9 3 3" xfId="25684"/>
    <cellStyle name="Normal 57 4 9 4" xfId="8052"/>
    <cellStyle name="Normal 57 4 9 4 2" xfId="21990"/>
    <cellStyle name="Normal 57 4 9 5" xfId="16983"/>
    <cellStyle name="Normal 57 4_Degree data" xfId="3965"/>
    <cellStyle name="Normal 57 5" xfId="102"/>
    <cellStyle name="Normal 57 5 10" xfId="4117"/>
    <cellStyle name="Normal 57 5 10 2" xfId="5577"/>
    <cellStyle name="Normal 57 5 10 2 2" xfId="14404"/>
    <cellStyle name="Normal 57 5 10 2 3" xfId="24655"/>
    <cellStyle name="Normal 57 5 10 3" xfId="7021"/>
    <cellStyle name="Normal 57 5 10 3 2" xfId="23208"/>
    <cellStyle name="Normal 57 5 10 4" xfId="18201"/>
    <cellStyle name="Normal 57 5 11" xfId="1436"/>
    <cellStyle name="Normal 57 5 11 2" xfId="10815"/>
    <cellStyle name="Normal 57 5 11 3" xfId="20819"/>
    <cellStyle name="Normal 57 5 12" xfId="5545"/>
    <cellStyle name="Normal 57 5 12 2" xfId="14374"/>
    <cellStyle name="Normal 57 5 12 3" xfId="24625"/>
    <cellStyle name="Normal 57 5 13" xfId="6991"/>
    <cellStyle name="Normal 57 5 13 2" xfId="19587"/>
    <cellStyle name="Normal 57 5 14" xfId="15812"/>
    <cellStyle name="Normal 57 5 2" xfId="170"/>
    <cellStyle name="Normal 57 5 2 10" xfId="5679"/>
    <cellStyle name="Normal 57 5 2 10 2" xfId="14506"/>
    <cellStyle name="Normal 57 5 2 10 3" xfId="24757"/>
    <cellStyle name="Normal 57 5 2 11" xfId="7123"/>
    <cellStyle name="Normal 57 5 2 11 2" xfId="19632"/>
    <cellStyle name="Normal 57 5 2 12" xfId="15869"/>
    <cellStyle name="Normal 57 5 2 2" xfId="282"/>
    <cellStyle name="Normal 57 5 2 2 10" xfId="16073"/>
    <cellStyle name="Normal 57 5 2 2 2" xfId="604"/>
    <cellStyle name="Normal 57 5 2 2 2 2" xfId="3091"/>
    <cellStyle name="Normal 57 5 2 2 2 2 2" xfId="12237"/>
    <cellStyle name="Normal 57 5 2 2 2 2 2 2" xfId="22454"/>
    <cellStyle name="Normal 57 5 2 2 2 2 3" xfId="8659"/>
    <cellStyle name="Normal 57 5 2 2 2 2 4" xfId="17447"/>
    <cellStyle name="Normal 57 5 2 2 2 3" xfId="4686"/>
    <cellStyle name="Normal 57 5 2 2 2 3 2" xfId="13526"/>
    <cellStyle name="Normal 57 5 2 2 2 3 2 2" xfId="23777"/>
    <cellStyle name="Normal 57 5 2 2 2 3 3" xfId="9947"/>
    <cellStyle name="Normal 57 5 2 2 2 3 4" xfId="18770"/>
    <cellStyle name="Normal 57 5 2 2 2 4" xfId="2200"/>
    <cellStyle name="Normal 57 5 2 2 2 4 2" xfId="11567"/>
    <cellStyle name="Normal 57 5 2 2 2 4 3" xfId="21571"/>
    <cellStyle name="Normal 57 5 2 2 2 5" xfId="6144"/>
    <cellStyle name="Normal 57 5 2 2 2 5 2" xfId="14971"/>
    <cellStyle name="Normal 57 5 2 2 2 5 3" xfId="25222"/>
    <cellStyle name="Normal 57 5 2 2 2 6" xfId="7589"/>
    <cellStyle name="Normal 57 5 2 2 2 6 2" xfId="20053"/>
    <cellStyle name="Normal 57 5 2 2 2 7" xfId="16564"/>
    <cellStyle name="Normal 57 5 2 2 3" xfId="871"/>
    <cellStyle name="Normal 57 5 2 2 3 2" xfId="3357"/>
    <cellStyle name="Normal 57 5 2 2 3 2 2" xfId="12501"/>
    <cellStyle name="Normal 57 5 2 2 3 2 2 2" xfId="22720"/>
    <cellStyle name="Normal 57 5 2 2 3 2 3" xfId="8923"/>
    <cellStyle name="Normal 57 5 2 2 3 2 4" xfId="17713"/>
    <cellStyle name="Normal 57 5 2 2 3 3" xfId="5035"/>
    <cellStyle name="Normal 57 5 2 2 3 3 2" xfId="13874"/>
    <cellStyle name="Normal 57 5 2 2 3 3 2 2" xfId="24125"/>
    <cellStyle name="Normal 57 5 2 2 3 3 3" xfId="10295"/>
    <cellStyle name="Normal 57 5 2 2 3 3 4" xfId="19118"/>
    <cellStyle name="Normal 57 5 2 2 3 4" xfId="2466"/>
    <cellStyle name="Normal 57 5 2 2 3 4 2" xfId="11833"/>
    <cellStyle name="Normal 57 5 2 2 3 4 3" xfId="21837"/>
    <cellStyle name="Normal 57 5 2 2 3 5" xfId="6492"/>
    <cellStyle name="Normal 57 5 2 2 3 5 2" xfId="15319"/>
    <cellStyle name="Normal 57 5 2 2 3 5 3" xfId="25570"/>
    <cellStyle name="Normal 57 5 2 2 3 6" xfId="7938"/>
    <cellStyle name="Normal 57 5 2 2 3 6 2" xfId="20319"/>
    <cellStyle name="Normal 57 5 2 2 3 7" xfId="16830"/>
    <cellStyle name="Normal 57 5 2 2 4" xfId="1376"/>
    <cellStyle name="Normal 57 5 2 2 4 2" xfId="3806"/>
    <cellStyle name="Normal 57 5 2 2 4 2 2" xfId="12944"/>
    <cellStyle name="Normal 57 5 2 2 4 2 2 2" xfId="23163"/>
    <cellStyle name="Normal 57 5 2 2 4 2 3" xfId="9365"/>
    <cellStyle name="Normal 57 5 2 2 4 2 4" xfId="18156"/>
    <cellStyle name="Normal 57 5 2 2 4 3" xfId="5469"/>
    <cellStyle name="Normal 57 5 2 2 4 3 2" xfId="14308"/>
    <cellStyle name="Normal 57 5 2 2 4 3 2 2" xfId="24559"/>
    <cellStyle name="Normal 57 5 2 2 4 3 3" xfId="10729"/>
    <cellStyle name="Normal 57 5 2 2 4 3 4" xfId="19552"/>
    <cellStyle name="Normal 57 5 2 2 4 4" xfId="1880"/>
    <cellStyle name="Normal 57 5 2 2 4 4 2" xfId="11250"/>
    <cellStyle name="Normal 57 5 2 2 4 4 3" xfId="21254"/>
    <cellStyle name="Normal 57 5 2 2 4 5" xfId="6926"/>
    <cellStyle name="Normal 57 5 2 2 4 5 2" xfId="15753"/>
    <cellStyle name="Normal 57 5 2 2 4 5 3" xfId="26004"/>
    <cellStyle name="Normal 57 5 2 2 4 6" xfId="8372"/>
    <cellStyle name="Normal 57 5 2 2 4 6 2" xfId="20762"/>
    <cellStyle name="Normal 57 5 2 2 4 7" xfId="16247"/>
    <cellStyle name="Normal 57 5 2 2 5" xfId="2774"/>
    <cellStyle name="Normal 57 5 2 2 5 2" xfId="12093"/>
    <cellStyle name="Normal 57 5 2 2 5 2 2" xfId="22137"/>
    <cellStyle name="Normal 57 5 2 2 5 3" xfId="8599"/>
    <cellStyle name="Normal 57 5 2 2 5 4" xfId="17130"/>
    <cellStyle name="Normal 57 5 2 2 6" xfId="4425"/>
    <cellStyle name="Normal 57 5 2 2 6 2" xfId="13265"/>
    <cellStyle name="Normal 57 5 2 2 6 2 2" xfId="23516"/>
    <cellStyle name="Normal 57 5 2 2 6 3" xfId="9686"/>
    <cellStyle name="Normal 57 5 2 2 6 4" xfId="18509"/>
    <cellStyle name="Normal 57 5 2 2 7" xfId="1697"/>
    <cellStyle name="Normal 57 5 2 2 7 2" xfId="11076"/>
    <cellStyle name="Normal 57 5 2 2 7 3" xfId="21080"/>
    <cellStyle name="Normal 57 5 2 2 8" xfId="5883"/>
    <cellStyle name="Normal 57 5 2 2 8 2" xfId="14710"/>
    <cellStyle name="Normal 57 5 2 2 8 3" xfId="24961"/>
    <cellStyle name="Normal 57 5 2 2 9" xfId="7327"/>
    <cellStyle name="Normal 57 5 2 2 9 2" xfId="19736"/>
    <cellStyle name="Normal 57 5 2 2_Degree data" xfId="3978"/>
    <cellStyle name="Normal 57 5 2 3" xfId="500"/>
    <cellStyle name="Normal 57 5 2 3 2" xfId="872"/>
    <cellStyle name="Normal 57 5 2 3 2 2" xfId="3358"/>
    <cellStyle name="Normal 57 5 2 3 2 2 2" xfId="12502"/>
    <cellStyle name="Normal 57 5 2 3 2 2 2 2" xfId="22721"/>
    <cellStyle name="Normal 57 5 2 3 2 2 3" xfId="8924"/>
    <cellStyle name="Normal 57 5 2 3 2 2 4" xfId="17714"/>
    <cellStyle name="Normal 57 5 2 3 2 3" xfId="4687"/>
    <cellStyle name="Normal 57 5 2 3 2 3 2" xfId="13527"/>
    <cellStyle name="Normal 57 5 2 3 2 3 2 2" xfId="23778"/>
    <cellStyle name="Normal 57 5 2 3 2 3 3" xfId="9948"/>
    <cellStyle name="Normal 57 5 2 3 2 3 4" xfId="18771"/>
    <cellStyle name="Normal 57 5 2 3 2 4" xfId="2467"/>
    <cellStyle name="Normal 57 5 2 3 2 4 2" xfId="11834"/>
    <cellStyle name="Normal 57 5 2 3 2 4 3" xfId="21838"/>
    <cellStyle name="Normal 57 5 2 3 2 5" xfId="6145"/>
    <cellStyle name="Normal 57 5 2 3 2 5 2" xfId="14972"/>
    <cellStyle name="Normal 57 5 2 3 2 5 3" xfId="25223"/>
    <cellStyle name="Normal 57 5 2 3 2 6" xfId="7590"/>
    <cellStyle name="Normal 57 5 2 3 2 6 2" xfId="20320"/>
    <cellStyle name="Normal 57 5 2 3 2 7" xfId="16831"/>
    <cellStyle name="Normal 57 5 2 3 3" xfId="1272"/>
    <cellStyle name="Normal 57 5 2 3 3 2" xfId="3702"/>
    <cellStyle name="Normal 57 5 2 3 3 2 2" xfId="12840"/>
    <cellStyle name="Normal 57 5 2 3 3 2 2 2" xfId="23059"/>
    <cellStyle name="Normal 57 5 2 3 3 2 3" xfId="9261"/>
    <cellStyle name="Normal 57 5 2 3 3 2 4" xfId="18052"/>
    <cellStyle name="Normal 57 5 2 3 3 3" xfId="5036"/>
    <cellStyle name="Normal 57 5 2 3 3 3 2" xfId="13875"/>
    <cellStyle name="Normal 57 5 2 3 3 3 2 2" xfId="24126"/>
    <cellStyle name="Normal 57 5 2 3 3 3 3" xfId="10296"/>
    <cellStyle name="Normal 57 5 2 3 3 3 4" xfId="19119"/>
    <cellStyle name="Normal 57 5 2 3 3 4" xfId="2096"/>
    <cellStyle name="Normal 57 5 2 3 3 4 2" xfId="11463"/>
    <cellStyle name="Normal 57 5 2 3 3 4 3" xfId="21467"/>
    <cellStyle name="Normal 57 5 2 3 3 5" xfId="6493"/>
    <cellStyle name="Normal 57 5 2 3 3 5 2" xfId="15320"/>
    <cellStyle name="Normal 57 5 2 3 3 5 3" xfId="25571"/>
    <cellStyle name="Normal 57 5 2 3 3 6" xfId="7939"/>
    <cellStyle name="Normal 57 5 2 3 3 6 2" xfId="20658"/>
    <cellStyle name="Normal 57 5 2 3 3 7" xfId="16460"/>
    <cellStyle name="Normal 57 5 2 3 4" xfId="2987"/>
    <cellStyle name="Normal 57 5 2 3 4 2" xfId="5365"/>
    <cellStyle name="Normal 57 5 2 3 4 2 2" xfId="14204"/>
    <cellStyle name="Normal 57 5 2 3 4 2 2 2" xfId="24455"/>
    <cellStyle name="Normal 57 5 2 3 4 2 3" xfId="10625"/>
    <cellStyle name="Normal 57 5 2 3 4 2 4" xfId="19448"/>
    <cellStyle name="Normal 57 5 2 3 4 3" xfId="6822"/>
    <cellStyle name="Normal 57 5 2 3 4 3 2" xfId="15649"/>
    <cellStyle name="Normal 57 5 2 3 4 3 3" xfId="25900"/>
    <cellStyle name="Normal 57 5 2 3 4 4" xfId="8268"/>
    <cellStyle name="Normal 57 5 2 3 4 4 2" xfId="22350"/>
    <cellStyle name="Normal 57 5 2 3 4 5" xfId="17343"/>
    <cellStyle name="Normal 57 5 2 3 5" xfId="4321"/>
    <cellStyle name="Normal 57 5 2 3 5 2" xfId="13161"/>
    <cellStyle name="Normal 57 5 2 3 5 2 2" xfId="23412"/>
    <cellStyle name="Normal 57 5 2 3 5 3" xfId="9582"/>
    <cellStyle name="Normal 57 5 2 3 5 4" xfId="18405"/>
    <cellStyle name="Normal 57 5 2 3 6" xfId="1593"/>
    <cellStyle name="Normal 57 5 2 3 6 2" xfId="10972"/>
    <cellStyle name="Normal 57 5 2 3 6 3" xfId="20976"/>
    <cellStyle name="Normal 57 5 2 3 7" xfId="5779"/>
    <cellStyle name="Normal 57 5 2 3 7 2" xfId="14606"/>
    <cellStyle name="Normal 57 5 2 3 7 3" xfId="24857"/>
    <cellStyle name="Normal 57 5 2 3 8" xfId="7223"/>
    <cellStyle name="Normal 57 5 2 3 8 2" xfId="19949"/>
    <cellStyle name="Normal 57 5 2 3 9" xfId="15969"/>
    <cellStyle name="Normal 57 5 2 3_Degree data" xfId="3979"/>
    <cellStyle name="Normal 57 5 2 4" xfId="400"/>
    <cellStyle name="Normal 57 5 2 4 2" xfId="2887"/>
    <cellStyle name="Normal 57 5 2 4 2 2" xfId="12177"/>
    <cellStyle name="Normal 57 5 2 4 2 2 2" xfId="22250"/>
    <cellStyle name="Normal 57 5 2 4 2 3" xfId="8531"/>
    <cellStyle name="Normal 57 5 2 4 2 4" xfId="17243"/>
    <cellStyle name="Normal 57 5 2 4 3" xfId="4685"/>
    <cellStyle name="Normal 57 5 2 4 3 2" xfId="13525"/>
    <cellStyle name="Normal 57 5 2 4 3 2 2" xfId="23776"/>
    <cellStyle name="Normal 57 5 2 4 3 3" xfId="9946"/>
    <cellStyle name="Normal 57 5 2 4 3 4" xfId="18769"/>
    <cellStyle name="Normal 57 5 2 4 4" xfId="1996"/>
    <cellStyle name="Normal 57 5 2 4 4 2" xfId="11363"/>
    <cellStyle name="Normal 57 5 2 4 4 3" xfId="21367"/>
    <cellStyle name="Normal 57 5 2 4 5" xfId="6143"/>
    <cellStyle name="Normal 57 5 2 4 5 2" xfId="14970"/>
    <cellStyle name="Normal 57 5 2 4 5 3" xfId="25221"/>
    <cellStyle name="Normal 57 5 2 4 6" xfId="7588"/>
    <cellStyle name="Normal 57 5 2 4 6 2" xfId="19849"/>
    <cellStyle name="Normal 57 5 2 4 7" xfId="16360"/>
    <cellStyle name="Normal 57 5 2 5" xfId="870"/>
    <cellStyle name="Normal 57 5 2 5 2" xfId="3356"/>
    <cellStyle name="Normal 57 5 2 5 2 2" xfId="12500"/>
    <cellStyle name="Normal 57 5 2 5 2 2 2" xfId="22719"/>
    <cellStyle name="Normal 57 5 2 5 2 3" xfId="8922"/>
    <cellStyle name="Normal 57 5 2 5 2 4" xfId="17712"/>
    <cellStyle name="Normal 57 5 2 5 3" xfId="5034"/>
    <cellStyle name="Normal 57 5 2 5 3 2" xfId="13873"/>
    <cellStyle name="Normal 57 5 2 5 3 2 2" xfId="24124"/>
    <cellStyle name="Normal 57 5 2 5 3 3" xfId="10294"/>
    <cellStyle name="Normal 57 5 2 5 3 4" xfId="19117"/>
    <cellStyle name="Normal 57 5 2 5 4" xfId="2465"/>
    <cellStyle name="Normal 57 5 2 5 4 2" xfId="11832"/>
    <cellStyle name="Normal 57 5 2 5 4 3" xfId="21836"/>
    <cellStyle name="Normal 57 5 2 5 5" xfId="6491"/>
    <cellStyle name="Normal 57 5 2 5 5 2" xfId="15318"/>
    <cellStyle name="Normal 57 5 2 5 5 3" xfId="25569"/>
    <cellStyle name="Normal 57 5 2 5 6" xfId="7937"/>
    <cellStyle name="Normal 57 5 2 5 6 2" xfId="20318"/>
    <cellStyle name="Normal 57 5 2 5 7" xfId="16829"/>
    <cellStyle name="Normal 57 5 2 6" xfId="1172"/>
    <cellStyle name="Normal 57 5 2 6 2" xfId="3602"/>
    <cellStyle name="Normal 57 5 2 6 2 2" xfId="12740"/>
    <cellStyle name="Normal 57 5 2 6 2 2 2" xfId="22959"/>
    <cellStyle name="Normal 57 5 2 6 2 3" xfId="9161"/>
    <cellStyle name="Normal 57 5 2 6 2 4" xfId="17952"/>
    <cellStyle name="Normal 57 5 2 6 3" xfId="5265"/>
    <cellStyle name="Normal 57 5 2 6 3 2" xfId="14104"/>
    <cellStyle name="Normal 57 5 2 6 3 2 2" xfId="24355"/>
    <cellStyle name="Normal 57 5 2 6 3 3" xfId="10525"/>
    <cellStyle name="Normal 57 5 2 6 3 4" xfId="19348"/>
    <cellStyle name="Normal 57 5 2 6 4" xfId="1773"/>
    <cellStyle name="Normal 57 5 2 6 4 2" xfId="11146"/>
    <cellStyle name="Normal 57 5 2 6 4 3" xfId="21150"/>
    <cellStyle name="Normal 57 5 2 6 5" xfId="6722"/>
    <cellStyle name="Normal 57 5 2 6 5 2" xfId="15549"/>
    <cellStyle name="Normal 57 5 2 6 5 3" xfId="25800"/>
    <cellStyle name="Normal 57 5 2 6 6" xfId="8168"/>
    <cellStyle name="Normal 57 5 2 6 6 2" xfId="20558"/>
    <cellStyle name="Normal 57 5 2 6 7" xfId="16143"/>
    <cellStyle name="Normal 57 5 2 7" xfId="2670"/>
    <cellStyle name="Normal 57 5 2 7 2" xfId="11990"/>
    <cellStyle name="Normal 57 5 2 7 2 2" xfId="22033"/>
    <cellStyle name="Normal 57 5 2 7 3" xfId="8443"/>
    <cellStyle name="Normal 57 5 2 7 4" xfId="17026"/>
    <cellStyle name="Normal 57 5 2 8" xfId="4221"/>
    <cellStyle name="Normal 57 5 2 8 2" xfId="13061"/>
    <cellStyle name="Normal 57 5 2 8 2 2" xfId="23312"/>
    <cellStyle name="Normal 57 5 2 8 3" xfId="9482"/>
    <cellStyle name="Normal 57 5 2 8 4" xfId="18305"/>
    <cellStyle name="Normal 57 5 2 9" xfId="1493"/>
    <cellStyle name="Normal 57 5 2 9 2" xfId="10872"/>
    <cellStyle name="Normal 57 5 2 9 3" xfId="20876"/>
    <cellStyle name="Normal 57 5 2_Degree data" xfId="3977"/>
    <cellStyle name="Normal 57 5 3" xfId="217"/>
    <cellStyle name="Normal 57 5 3 10" xfId="7166"/>
    <cellStyle name="Normal 57 5 3 10 2" xfId="19675"/>
    <cellStyle name="Normal 57 5 3 11" xfId="15912"/>
    <cellStyle name="Normal 57 5 3 2" xfId="543"/>
    <cellStyle name="Normal 57 5 3 2 2" xfId="874"/>
    <cellStyle name="Normal 57 5 3 2 2 2" xfId="3360"/>
    <cellStyle name="Normal 57 5 3 2 2 2 2" xfId="12504"/>
    <cellStyle name="Normal 57 5 3 2 2 2 2 2" xfId="22723"/>
    <cellStyle name="Normal 57 5 3 2 2 2 3" xfId="8926"/>
    <cellStyle name="Normal 57 5 3 2 2 2 4" xfId="17716"/>
    <cellStyle name="Normal 57 5 3 2 2 3" xfId="4689"/>
    <cellStyle name="Normal 57 5 3 2 2 3 2" xfId="13529"/>
    <cellStyle name="Normal 57 5 3 2 2 3 2 2" xfId="23780"/>
    <cellStyle name="Normal 57 5 3 2 2 3 3" xfId="9950"/>
    <cellStyle name="Normal 57 5 3 2 2 3 4" xfId="18773"/>
    <cellStyle name="Normal 57 5 3 2 2 4" xfId="2469"/>
    <cellStyle name="Normal 57 5 3 2 2 4 2" xfId="11836"/>
    <cellStyle name="Normal 57 5 3 2 2 4 3" xfId="21840"/>
    <cellStyle name="Normal 57 5 3 2 2 5" xfId="6147"/>
    <cellStyle name="Normal 57 5 3 2 2 5 2" xfId="14974"/>
    <cellStyle name="Normal 57 5 3 2 2 5 3" xfId="25225"/>
    <cellStyle name="Normal 57 5 3 2 2 6" xfId="7592"/>
    <cellStyle name="Normal 57 5 3 2 2 6 2" xfId="20322"/>
    <cellStyle name="Normal 57 5 3 2 2 7" xfId="16833"/>
    <cellStyle name="Normal 57 5 3 2 3" xfId="1315"/>
    <cellStyle name="Normal 57 5 3 2 3 2" xfId="3745"/>
    <cellStyle name="Normal 57 5 3 2 3 2 2" xfId="12883"/>
    <cellStyle name="Normal 57 5 3 2 3 2 2 2" xfId="23102"/>
    <cellStyle name="Normal 57 5 3 2 3 2 3" xfId="9304"/>
    <cellStyle name="Normal 57 5 3 2 3 2 4" xfId="18095"/>
    <cellStyle name="Normal 57 5 3 2 3 3" xfId="5038"/>
    <cellStyle name="Normal 57 5 3 2 3 3 2" xfId="13877"/>
    <cellStyle name="Normal 57 5 3 2 3 3 2 2" xfId="24128"/>
    <cellStyle name="Normal 57 5 3 2 3 3 3" xfId="10298"/>
    <cellStyle name="Normal 57 5 3 2 3 3 4" xfId="19121"/>
    <cellStyle name="Normal 57 5 3 2 3 4" xfId="2139"/>
    <cellStyle name="Normal 57 5 3 2 3 4 2" xfId="11506"/>
    <cellStyle name="Normal 57 5 3 2 3 4 3" xfId="21510"/>
    <cellStyle name="Normal 57 5 3 2 3 5" xfId="6495"/>
    <cellStyle name="Normal 57 5 3 2 3 5 2" xfId="15322"/>
    <cellStyle name="Normal 57 5 3 2 3 5 3" xfId="25573"/>
    <cellStyle name="Normal 57 5 3 2 3 6" xfId="7941"/>
    <cellStyle name="Normal 57 5 3 2 3 6 2" xfId="20701"/>
    <cellStyle name="Normal 57 5 3 2 3 7" xfId="16503"/>
    <cellStyle name="Normal 57 5 3 2 4" xfId="3030"/>
    <cellStyle name="Normal 57 5 3 2 4 2" xfId="5408"/>
    <cellStyle name="Normal 57 5 3 2 4 2 2" xfId="14247"/>
    <cellStyle name="Normal 57 5 3 2 4 2 2 2" xfId="24498"/>
    <cellStyle name="Normal 57 5 3 2 4 2 3" xfId="10668"/>
    <cellStyle name="Normal 57 5 3 2 4 2 4" xfId="19491"/>
    <cellStyle name="Normal 57 5 3 2 4 3" xfId="6865"/>
    <cellStyle name="Normal 57 5 3 2 4 3 2" xfId="15692"/>
    <cellStyle name="Normal 57 5 3 2 4 3 3" xfId="25943"/>
    <cellStyle name="Normal 57 5 3 2 4 4" xfId="8311"/>
    <cellStyle name="Normal 57 5 3 2 4 4 2" xfId="22393"/>
    <cellStyle name="Normal 57 5 3 2 4 5" xfId="17386"/>
    <cellStyle name="Normal 57 5 3 2 5" xfId="4364"/>
    <cellStyle name="Normal 57 5 3 2 5 2" xfId="13204"/>
    <cellStyle name="Normal 57 5 3 2 5 2 2" xfId="23455"/>
    <cellStyle name="Normal 57 5 3 2 5 3" xfId="9625"/>
    <cellStyle name="Normal 57 5 3 2 5 4" xfId="18448"/>
    <cellStyle name="Normal 57 5 3 2 6" xfId="1636"/>
    <cellStyle name="Normal 57 5 3 2 6 2" xfId="11015"/>
    <cellStyle name="Normal 57 5 3 2 6 3" xfId="21019"/>
    <cellStyle name="Normal 57 5 3 2 7" xfId="5822"/>
    <cellStyle name="Normal 57 5 3 2 7 2" xfId="14649"/>
    <cellStyle name="Normal 57 5 3 2 7 3" xfId="24900"/>
    <cellStyle name="Normal 57 5 3 2 8" xfId="7266"/>
    <cellStyle name="Normal 57 5 3 2 8 2" xfId="19992"/>
    <cellStyle name="Normal 57 5 3 2 9" xfId="16012"/>
    <cellStyle name="Normal 57 5 3 2_Degree data" xfId="3981"/>
    <cellStyle name="Normal 57 5 3 3" xfId="443"/>
    <cellStyle name="Normal 57 5 3 3 2" xfId="2930"/>
    <cellStyle name="Normal 57 5 3 3 2 2" xfId="12220"/>
    <cellStyle name="Normal 57 5 3 3 2 2 2" xfId="22293"/>
    <cellStyle name="Normal 57 5 3 3 2 3" xfId="8520"/>
    <cellStyle name="Normal 57 5 3 3 2 4" xfId="17286"/>
    <cellStyle name="Normal 57 5 3 3 3" xfId="4688"/>
    <cellStyle name="Normal 57 5 3 3 3 2" xfId="13528"/>
    <cellStyle name="Normal 57 5 3 3 3 2 2" xfId="23779"/>
    <cellStyle name="Normal 57 5 3 3 3 3" xfId="9949"/>
    <cellStyle name="Normal 57 5 3 3 3 4" xfId="18772"/>
    <cellStyle name="Normal 57 5 3 3 4" xfId="2039"/>
    <cellStyle name="Normal 57 5 3 3 4 2" xfId="11406"/>
    <cellStyle name="Normal 57 5 3 3 4 3" xfId="21410"/>
    <cellStyle name="Normal 57 5 3 3 5" xfId="6146"/>
    <cellStyle name="Normal 57 5 3 3 5 2" xfId="14973"/>
    <cellStyle name="Normal 57 5 3 3 5 3" xfId="25224"/>
    <cellStyle name="Normal 57 5 3 3 6" xfId="7591"/>
    <cellStyle name="Normal 57 5 3 3 6 2" xfId="19892"/>
    <cellStyle name="Normal 57 5 3 3 7" xfId="16403"/>
    <cellStyle name="Normal 57 5 3 4" xfId="873"/>
    <cellStyle name="Normal 57 5 3 4 2" xfId="3359"/>
    <cellStyle name="Normal 57 5 3 4 2 2" xfId="12503"/>
    <cellStyle name="Normal 57 5 3 4 2 2 2" xfId="22722"/>
    <cellStyle name="Normal 57 5 3 4 2 3" xfId="8925"/>
    <cellStyle name="Normal 57 5 3 4 2 4" xfId="17715"/>
    <cellStyle name="Normal 57 5 3 4 3" xfId="5037"/>
    <cellStyle name="Normal 57 5 3 4 3 2" xfId="13876"/>
    <cellStyle name="Normal 57 5 3 4 3 2 2" xfId="24127"/>
    <cellStyle name="Normal 57 5 3 4 3 3" xfId="10297"/>
    <cellStyle name="Normal 57 5 3 4 3 4" xfId="19120"/>
    <cellStyle name="Normal 57 5 3 4 4" xfId="2468"/>
    <cellStyle name="Normal 57 5 3 4 4 2" xfId="11835"/>
    <cellStyle name="Normal 57 5 3 4 4 3" xfId="21839"/>
    <cellStyle name="Normal 57 5 3 4 5" xfId="6494"/>
    <cellStyle name="Normal 57 5 3 4 5 2" xfId="15321"/>
    <cellStyle name="Normal 57 5 3 4 5 3" xfId="25572"/>
    <cellStyle name="Normal 57 5 3 4 6" xfId="7940"/>
    <cellStyle name="Normal 57 5 3 4 6 2" xfId="20321"/>
    <cellStyle name="Normal 57 5 3 4 7" xfId="16832"/>
    <cellStyle name="Normal 57 5 3 5" xfId="1215"/>
    <cellStyle name="Normal 57 5 3 5 2" xfId="3645"/>
    <cellStyle name="Normal 57 5 3 5 2 2" xfId="12783"/>
    <cellStyle name="Normal 57 5 3 5 2 2 2" xfId="23002"/>
    <cellStyle name="Normal 57 5 3 5 2 3" xfId="9204"/>
    <cellStyle name="Normal 57 5 3 5 2 4" xfId="17995"/>
    <cellStyle name="Normal 57 5 3 5 3" xfId="5308"/>
    <cellStyle name="Normal 57 5 3 5 3 2" xfId="14147"/>
    <cellStyle name="Normal 57 5 3 5 3 2 2" xfId="24398"/>
    <cellStyle name="Normal 57 5 3 5 3 3" xfId="10568"/>
    <cellStyle name="Normal 57 5 3 5 3 4" xfId="19391"/>
    <cellStyle name="Normal 57 5 3 5 4" xfId="1819"/>
    <cellStyle name="Normal 57 5 3 5 4 2" xfId="11189"/>
    <cellStyle name="Normal 57 5 3 5 4 3" xfId="21193"/>
    <cellStyle name="Normal 57 5 3 5 5" xfId="6765"/>
    <cellStyle name="Normal 57 5 3 5 5 2" xfId="15592"/>
    <cellStyle name="Normal 57 5 3 5 5 3" xfId="25843"/>
    <cellStyle name="Normal 57 5 3 5 6" xfId="8211"/>
    <cellStyle name="Normal 57 5 3 5 6 2" xfId="20601"/>
    <cellStyle name="Normal 57 5 3 5 7" xfId="16186"/>
    <cellStyle name="Normal 57 5 3 6" xfId="2713"/>
    <cellStyle name="Normal 57 5 3 6 2" xfId="12032"/>
    <cellStyle name="Normal 57 5 3 6 2 2" xfId="22076"/>
    <cellStyle name="Normal 57 5 3 6 3" xfId="8393"/>
    <cellStyle name="Normal 57 5 3 6 4" xfId="17069"/>
    <cellStyle name="Normal 57 5 3 7" xfId="4264"/>
    <cellStyle name="Normal 57 5 3 7 2" xfId="13104"/>
    <cellStyle name="Normal 57 5 3 7 2 2" xfId="23355"/>
    <cellStyle name="Normal 57 5 3 7 3" xfId="9525"/>
    <cellStyle name="Normal 57 5 3 7 4" xfId="18348"/>
    <cellStyle name="Normal 57 5 3 8" xfId="1536"/>
    <cellStyle name="Normal 57 5 3 8 2" xfId="10915"/>
    <cellStyle name="Normal 57 5 3 8 3" xfId="20919"/>
    <cellStyle name="Normal 57 5 3 9" xfId="5722"/>
    <cellStyle name="Normal 57 5 3 9 2" xfId="14549"/>
    <cellStyle name="Normal 57 5 3 9 3" xfId="24800"/>
    <cellStyle name="Normal 57 5 3_Degree data" xfId="3980"/>
    <cellStyle name="Normal 57 5 4" xfId="237"/>
    <cellStyle name="Normal 57 5 4 10" xfId="7078"/>
    <cellStyle name="Normal 57 5 4 10 2" xfId="19692"/>
    <cellStyle name="Normal 57 5 4 11" xfId="15824"/>
    <cellStyle name="Normal 57 5 4 2" xfId="560"/>
    <cellStyle name="Normal 57 5 4 2 2" xfId="876"/>
    <cellStyle name="Normal 57 5 4 2 2 2" xfId="3362"/>
    <cellStyle name="Normal 57 5 4 2 2 2 2" xfId="12506"/>
    <cellStyle name="Normal 57 5 4 2 2 2 2 2" xfId="22725"/>
    <cellStyle name="Normal 57 5 4 2 2 2 3" xfId="8928"/>
    <cellStyle name="Normal 57 5 4 2 2 2 4" xfId="17718"/>
    <cellStyle name="Normal 57 5 4 2 2 3" xfId="4691"/>
    <cellStyle name="Normal 57 5 4 2 2 3 2" xfId="13531"/>
    <cellStyle name="Normal 57 5 4 2 2 3 2 2" xfId="23782"/>
    <cellStyle name="Normal 57 5 4 2 2 3 3" xfId="9952"/>
    <cellStyle name="Normal 57 5 4 2 2 3 4" xfId="18775"/>
    <cellStyle name="Normal 57 5 4 2 2 4" xfId="2471"/>
    <cellStyle name="Normal 57 5 4 2 2 4 2" xfId="11838"/>
    <cellStyle name="Normal 57 5 4 2 2 4 3" xfId="21842"/>
    <cellStyle name="Normal 57 5 4 2 2 5" xfId="6149"/>
    <cellStyle name="Normal 57 5 4 2 2 5 2" xfId="14976"/>
    <cellStyle name="Normal 57 5 4 2 2 5 3" xfId="25227"/>
    <cellStyle name="Normal 57 5 4 2 2 6" xfId="7594"/>
    <cellStyle name="Normal 57 5 4 2 2 6 2" xfId="20324"/>
    <cellStyle name="Normal 57 5 4 2 2 7" xfId="16835"/>
    <cellStyle name="Normal 57 5 4 2 3" xfId="1332"/>
    <cellStyle name="Normal 57 5 4 2 3 2" xfId="3762"/>
    <cellStyle name="Normal 57 5 4 2 3 2 2" xfId="12900"/>
    <cellStyle name="Normal 57 5 4 2 3 2 2 2" xfId="23119"/>
    <cellStyle name="Normal 57 5 4 2 3 2 3" xfId="9321"/>
    <cellStyle name="Normal 57 5 4 2 3 2 4" xfId="18112"/>
    <cellStyle name="Normal 57 5 4 2 3 3" xfId="5040"/>
    <cellStyle name="Normal 57 5 4 2 3 3 2" xfId="13879"/>
    <cellStyle name="Normal 57 5 4 2 3 3 2 2" xfId="24130"/>
    <cellStyle name="Normal 57 5 4 2 3 3 3" xfId="10300"/>
    <cellStyle name="Normal 57 5 4 2 3 3 4" xfId="19123"/>
    <cellStyle name="Normal 57 5 4 2 3 4" xfId="2156"/>
    <cellStyle name="Normal 57 5 4 2 3 4 2" xfId="11523"/>
    <cellStyle name="Normal 57 5 4 2 3 4 3" xfId="21527"/>
    <cellStyle name="Normal 57 5 4 2 3 5" xfId="6497"/>
    <cellStyle name="Normal 57 5 4 2 3 5 2" xfId="15324"/>
    <cellStyle name="Normal 57 5 4 2 3 5 3" xfId="25575"/>
    <cellStyle name="Normal 57 5 4 2 3 6" xfId="7943"/>
    <cellStyle name="Normal 57 5 4 2 3 6 2" xfId="20718"/>
    <cellStyle name="Normal 57 5 4 2 3 7" xfId="16520"/>
    <cellStyle name="Normal 57 5 4 2 4" xfId="3047"/>
    <cellStyle name="Normal 57 5 4 2 4 2" xfId="5425"/>
    <cellStyle name="Normal 57 5 4 2 4 2 2" xfId="14264"/>
    <cellStyle name="Normal 57 5 4 2 4 2 2 2" xfId="24515"/>
    <cellStyle name="Normal 57 5 4 2 4 2 3" xfId="10685"/>
    <cellStyle name="Normal 57 5 4 2 4 2 4" xfId="19508"/>
    <cellStyle name="Normal 57 5 4 2 4 3" xfId="6882"/>
    <cellStyle name="Normal 57 5 4 2 4 3 2" xfId="15709"/>
    <cellStyle name="Normal 57 5 4 2 4 3 3" xfId="25960"/>
    <cellStyle name="Normal 57 5 4 2 4 4" xfId="8328"/>
    <cellStyle name="Normal 57 5 4 2 4 4 2" xfId="22410"/>
    <cellStyle name="Normal 57 5 4 2 4 5" xfId="17403"/>
    <cellStyle name="Normal 57 5 4 2 5" xfId="4381"/>
    <cellStyle name="Normal 57 5 4 2 5 2" xfId="13221"/>
    <cellStyle name="Normal 57 5 4 2 5 2 2" xfId="23472"/>
    <cellStyle name="Normal 57 5 4 2 5 3" xfId="9642"/>
    <cellStyle name="Normal 57 5 4 2 5 4" xfId="18465"/>
    <cellStyle name="Normal 57 5 4 2 6" xfId="1653"/>
    <cellStyle name="Normal 57 5 4 2 6 2" xfId="11032"/>
    <cellStyle name="Normal 57 5 4 2 6 3" xfId="21036"/>
    <cellStyle name="Normal 57 5 4 2 7" xfId="5839"/>
    <cellStyle name="Normal 57 5 4 2 7 2" xfId="14666"/>
    <cellStyle name="Normal 57 5 4 2 7 3" xfId="24917"/>
    <cellStyle name="Normal 57 5 4 2 8" xfId="7283"/>
    <cellStyle name="Normal 57 5 4 2 8 2" xfId="20009"/>
    <cellStyle name="Normal 57 5 4 2 9" xfId="16029"/>
    <cellStyle name="Normal 57 5 4 2_Degree data" xfId="3983"/>
    <cellStyle name="Normal 57 5 4 3" xfId="355"/>
    <cellStyle name="Normal 57 5 4 3 2" xfId="2842"/>
    <cellStyle name="Normal 57 5 4 3 2 2" xfId="12132"/>
    <cellStyle name="Normal 57 5 4 3 2 2 2" xfId="22205"/>
    <cellStyle name="Normal 57 5 4 3 2 3" xfId="8612"/>
    <cellStyle name="Normal 57 5 4 3 2 4" xfId="17198"/>
    <cellStyle name="Normal 57 5 4 3 3" xfId="4690"/>
    <cellStyle name="Normal 57 5 4 3 3 2" xfId="13530"/>
    <cellStyle name="Normal 57 5 4 3 3 2 2" xfId="23781"/>
    <cellStyle name="Normal 57 5 4 3 3 3" xfId="9951"/>
    <cellStyle name="Normal 57 5 4 3 3 4" xfId="18774"/>
    <cellStyle name="Normal 57 5 4 3 4" xfId="1951"/>
    <cellStyle name="Normal 57 5 4 3 4 2" xfId="11318"/>
    <cellStyle name="Normal 57 5 4 3 4 3" xfId="21322"/>
    <cellStyle name="Normal 57 5 4 3 5" xfId="6148"/>
    <cellStyle name="Normal 57 5 4 3 5 2" xfId="14975"/>
    <cellStyle name="Normal 57 5 4 3 5 3" xfId="25226"/>
    <cellStyle name="Normal 57 5 4 3 6" xfId="7593"/>
    <cellStyle name="Normal 57 5 4 3 6 2" xfId="19804"/>
    <cellStyle name="Normal 57 5 4 3 7" xfId="16315"/>
    <cellStyle name="Normal 57 5 4 4" xfId="875"/>
    <cellStyle name="Normal 57 5 4 4 2" xfId="3361"/>
    <cellStyle name="Normal 57 5 4 4 2 2" xfId="12505"/>
    <cellStyle name="Normal 57 5 4 4 2 2 2" xfId="22724"/>
    <cellStyle name="Normal 57 5 4 4 2 3" xfId="8927"/>
    <cellStyle name="Normal 57 5 4 4 2 4" xfId="17717"/>
    <cellStyle name="Normal 57 5 4 4 3" xfId="5039"/>
    <cellStyle name="Normal 57 5 4 4 3 2" xfId="13878"/>
    <cellStyle name="Normal 57 5 4 4 3 2 2" xfId="24129"/>
    <cellStyle name="Normal 57 5 4 4 3 3" xfId="10299"/>
    <cellStyle name="Normal 57 5 4 4 3 4" xfId="19122"/>
    <cellStyle name="Normal 57 5 4 4 4" xfId="2470"/>
    <cellStyle name="Normal 57 5 4 4 4 2" xfId="11837"/>
    <cellStyle name="Normal 57 5 4 4 4 3" xfId="21841"/>
    <cellStyle name="Normal 57 5 4 4 5" xfId="6496"/>
    <cellStyle name="Normal 57 5 4 4 5 2" xfId="15323"/>
    <cellStyle name="Normal 57 5 4 4 5 3" xfId="25574"/>
    <cellStyle name="Normal 57 5 4 4 6" xfId="7942"/>
    <cellStyle name="Normal 57 5 4 4 6 2" xfId="20323"/>
    <cellStyle name="Normal 57 5 4 4 7" xfId="16834"/>
    <cellStyle name="Normal 57 5 4 5" xfId="1127"/>
    <cellStyle name="Normal 57 5 4 5 2" xfId="3557"/>
    <cellStyle name="Normal 57 5 4 5 2 2" xfId="12695"/>
    <cellStyle name="Normal 57 5 4 5 2 2 2" xfId="22914"/>
    <cellStyle name="Normal 57 5 4 5 2 3" xfId="9116"/>
    <cellStyle name="Normal 57 5 4 5 2 4" xfId="17907"/>
    <cellStyle name="Normal 57 5 4 5 3" xfId="5220"/>
    <cellStyle name="Normal 57 5 4 5 3 2" xfId="14059"/>
    <cellStyle name="Normal 57 5 4 5 3 2 2" xfId="24310"/>
    <cellStyle name="Normal 57 5 4 5 3 3" xfId="10480"/>
    <cellStyle name="Normal 57 5 4 5 3 4" xfId="19303"/>
    <cellStyle name="Normal 57 5 4 5 4" xfId="1836"/>
    <cellStyle name="Normal 57 5 4 5 4 2" xfId="11206"/>
    <cellStyle name="Normal 57 5 4 5 4 3" xfId="21210"/>
    <cellStyle name="Normal 57 5 4 5 5" xfId="6677"/>
    <cellStyle name="Normal 57 5 4 5 5 2" xfId="15504"/>
    <cellStyle name="Normal 57 5 4 5 5 3" xfId="25755"/>
    <cellStyle name="Normal 57 5 4 5 6" xfId="8123"/>
    <cellStyle name="Normal 57 5 4 5 6 2" xfId="20513"/>
    <cellStyle name="Normal 57 5 4 5 7" xfId="16203"/>
    <cellStyle name="Normal 57 5 4 6" xfId="2730"/>
    <cellStyle name="Normal 57 5 4 6 2" xfId="12049"/>
    <cellStyle name="Normal 57 5 4 6 2 2" xfId="22093"/>
    <cellStyle name="Normal 57 5 4 6 3" xfId="8499"/>
    <cellStyle name="Normal 57 5 4 6 4" xfId="17086"/>
    <cellStyle name="Normal 57 5 4 7" xfId="4176"/>
    <cellStyle name="Normal 57 5 4 7 2" xfId="13016"/>
    <cellStyle name="Normal 57 5 4 7 2 2" xfId="23267"/>
    <cellStyle name="Normal 57 5 4 7 3" xfId="9437"/>
    <cellStyle name="Normal 57 5 4 7 4" xfId="18260"/>
    <cellStyle name="Normal 57 5 4 8" xfId="1448"/>
    <cellStyle name="Normal 57 5 4 8 2" xfId="10827"/>
    <cellStyle name="Normal 57 5 4 8 3" xfId="20831"/>
    <cellStyle name="Normal 57 5 4 9" xfId="5634"/>
    <cellStyle name="Normal 57 5 4 9 2" xfId="14461"/>
    <cellStyle name="Normal 57 5 4 9 3" xfId="24712"/>
    <cellStyle name="Normal 57 5 4_Degree data" xfId="3982"/>
    <cellStyle name="Normal 57 5 5" xfId="455"/>
    <cellStyle name="Normal 57 5 5 2" xfId="877"/>
    <cellStyle name="Normal 57 5 5 2 2" xfId="3363"/>
    <cellStyle name="Normal 57 5 5 2 2 2" xfId="12507"/>
    <cellStyle name="Normal 57 5 5 2 2 2 2" xfId="22726"/>
    <cellStyle name="Normal 57 5 5 2 2 3" xfId="8929"/>
    <cellStyle name="Normal 57 5 5 2 2 4" xfId="17719"/>
    <cellStyle name="Normal 57 5 5 2 3" xfId="4692"/>
    <cellStyle name="Normal 57 5 5 2 3 2" xfId="13532"/>
    <cellStyle name="Normal 57 5 5 2 3 2 2" xfId="23783"/>
    <cellStyle name="Normal 57 5 5 2 3 3" xfId="9953"/>
    <cellStyle name="Normal 57 5 5 2 3 4" xfId="18776"/>
    <cellStyle name="Normal 57 5 5 2 4" xfId="2472"/>
    <cellStyle name="Normal 57 5 5 2 4 2" xfId="11839"/>
    <cellStyle name="Normal 57 5 5 2 4 3" xfId="21843"/>
    <cellStyle name="Normal 57 5 5 2 5" xfId="6150"/>
    <cellStyle name="Normal 57 5 5 2 5 2" xfId="14977"/>
    <cellStyle name="Normal 57 5 5 2 5 3" xfId="25228"/>
    <cellStyle name="Normal 57 5 5 2 6" xfId="7595"/>
    <cellStyle name="Normal 57 5 5 2 6 2" xfId="20325"/>
    <cellStyle name="Normal 57 5 5 2 7" xfId="16836"/>
    <cellStyle name="Normal 57 5 5 3" xfId="1227"/>
    <cellStyle name="Normal 57 5 5 3 2" xfId="3657"/>
    <cellStyle name="Normal 57 5 5 3 2 2" xfId="12795"/>
    <cellStyle name="Normal 57 5 5 3 2 2 2" xfId="23014"/>
    <cellStyle name="Normal 57 5 5 3 2 3" xfId="9216"/>
    <cellStyle name="Normal 57 5 5 3 2 4" xfId="18007"/>
    <cellStyle name="Normal 57 5 5 3 3" xfId="5041"/>
    <cellStyle name="Normal 57 5 5 3 3 2" xfId="13880"/>
    <cellStyle name="Normal 57 5 5 3 3 2 2" xfId="24131"/>
    <cellStyle name="Normal 57 5 5 3 3 3" xfId="10301"/>
    <cellStyle name="Normal 57 5 5 3 3 4" xfId="19124"/>
    <cellStyle name="Normal 57 5 5 3 4" xfId="2051"/>
    <cellStyle name="Normal 57 5 5 3 4 2" xfId="11418"/>
    <cellStyle name="Normal 57 5 5 3 4 3" xfId="21422"/>
    <cellStyle name="Normal 57 5 5 3 5" xfId="6498"/>
    <cellStyle name="Normal 57 5 5 3 5 2" xfId="15325"/>
    <cellStyle name="Normal 57 5 5 3 5 3" xfId="25576"/>
    <cellStyle name="Normal 57 5 5 3 6" xfId="7944"/>
    <cellStyle name="Normal 57 5 5 3 6 2" xfId="20613"/>
    <cellStyle name="Normal 57 5 5 3 7" xfId="16415"/>
    <cellStyle name="Normal 57 5 5 4" xfId="2942"/>
    <cellStyle name="Normal 57 5 5 4 2" xfId="5320"/>
    <cellStyle name="Normal 57 5 5 4 2 2" xfId="14159"/>
    <cellStyle name="Normal 57 5 5 4 2 2 2" xfId="24410"/>
    <cellStyle name="Normal 57 5 5 4 2 3" xfId="10580"/>
    <cellStyle name="Normal 57 5 5 4 2 4" xfId="19403"/>
    <cellStyle name="Normal 57 5 5 4 3" xfId="6777"/>
    <cellStyle name="Normal 57 5 5 4 3 2" xfId="15604"/>
    <cellStyle name="Normal 57 5 5 4 3 3" xfId="25855"/>
    <cellStyle name="Normal 57 5 5 4 4" xfId="8223"/>
    <cellStyle name="Normal 57 5 5 4 4 2" xfId="22305"/>
    <cellStyle name="Normal 57 5 5 4 5" xfId="17298"/>
    <cellStyle name="Normal 57 5 5 5" xfId="4276"/>
    <cellStyle name="Normal 57 5 5 5 2" xfId="13116"/>
    <cellStyle name="Normal 57 5 5 5 2 2" xfId="23367"/>
    <cellStyle name="Normal 57 5 5 5 3" xfId="9537"/>
    <cellStyle name="Normal 57 5 5 5 4" xfId="18360"/>
    <cellStyle name="Normal 57 5 5 6" xfId="1548"/>
    <cellStyle name="Normal 57 5 5 6 2" xfId="10927"/>
    <cellStyle name="Normal 57 5 5 6 3" xfId="20931"/>
    <cellStyle name="Normal 57 5 5 7" xfId="5734"/>
    <cellStyle name="Normal 57 5 5 7 2" xfId="14561"/>
    <cellStyle name="Normal 57 5 5 7 3" xfId="24812"/>
    <cellStyle name="Normal 57 5 5 8" xfId="7178"/>
    <cellStyle name="Normal 57 5 5 8 2" xfId="19904"/>
    <cellStyle name="Normal 57 5 5 9" xfId="15924"/>
    <cellStyle name="Normal 57 5 5_Degree data" xfId="3984"/>
    <cellStyle name="Normal 57 5 6" xfId="343"/>
    <cellStyle name="Normal 57 5 6 2" xfId="878"/>
    <cellStyle name="Normal 57 5 6 2 2" xfId="3364"/>
    <cellStyle name="Normal 57 5 6 2 2 2" xfId="12508"/>
    <cellStyle name="Normal 57 5 6 2 2 2 2" xfId="22727"/>
    <cellStyle name="Normal 57 5 6 2 2 3" xfId="8930"/>
    <cellStyle name="Normal 57 5 6 2 2 4" xfId="17720"/>
    <cellStyle name="Normal 57 5 6 2 3" xfId="4693"/>
    <cellStyle name="Normal 57 5 6 2 3 2" xfId="13533"/>
    <cellStyle name="Normal 57 5 6 2 3 2 2" xfId="23784"/>
    <cellStyle name="Normal 57 5 6 2 3 3" xfId="9954"/>
    <cellStyle name="Normal 57 5 6 2 3 4" xfId="18777"/>
    <cellStyle name="Normal 57 5 6 2 4" xfId="2473"/>
    <cellStyle name="Normal 57 5 6 2 4 2" xfId="11840"/>
    <cellStyle name="Normal 57 5 6 2 4 3" xfId="21844"/>
    <cellStyle name="Normal 57 5 6 2 5" xfId="6151"/>
    <cellStyle name="Normal 57 5 6 2 5 2" xfId="14978"/>
    <cellStyle name="Normal 57 5 6 2 5 3" xfId="25229"/>
    <cellStyle name="Normal 57 5 6 2 6" xfId="7596"/>
    <cellStyle name="Normal 57 5 6 2 6 2" xfId="20326"/>
    <cellStyle name="Normal 57 5 6 2 7" xfId="16837"/>
    <cellStyle name="Normal 57 5 6 3" xfId="1115"/>
    <cellStyle name="Normal 57 5 6 3 2" xfId="3545"/>
    <cellStyle name="Normal 57 5 6 3 2 2" xfId="12683"/>
    <cellStyle name="Normal 57 5 6 3 2 2 2" xfId="22902"/>
    <cellStyle name="Normal 57 5 6 3 2 3" xfId="9104"/>
    <cellStyle name="Normal 57 5 6 3 2 4" xfId="17895"/>
    <cellStyle name="Normal 57 5 6 3 3" xfId="5042"/>
    <cellStyle name="Normal 57 5 6 3 3 2" xfId="13881"/>
    <cellStyle name="Normal 57 5 6 3 3 2 2" xfId="24132"/>
    <cellStyle name="Normal 57 5 6 3 3 3" xfId="10302"/>
    <cellStyle name="Normal 57 5 6 3 3 4" xfId="19125"/>
    <cellStyle name="Normal 57 5 6 3 4" xfId="2603"/>
    <cellStyle name="Normal 57 5 6 3 4 2" xfId="11969"/>
    <cellStyle name="Normal 57 5 6 3 4 3" xfId="21973"/>
    <cellStyle name="Normal 57 5 6 3 5" xfId="6499"/>
    <cellStyle name="Normal 57 5 6 3 5 2" xfId="15326"/>
    <cellStyle name="Normal 57 5 6 3 5 3" xfId="25577"/>
    <cellStyle name="Normal 57 5 6 3 6" xfId="7945"/>
    <cellStyle name="Normal 57 5 6 3 6 2" xfId="20501"/>
    <cellStyle name="Normal 57 5 6 3 7" xfId="16966"/>
    <cellStyle name="Normal 57 5 6 4" xfId="2830"/>
    <cellStyle name="Normal 57 5 6 4 2" xfId="5208"/>
    <cellStyle name="Normal 57 5 6 4 2 2" xfId="14047"/>
    <cellStyle name="Normal 57 5 6 4 2 2 2" xfId="24298"/>
    <cellStyle name="Normal 57 5 6 4 2 3" xfId="10468"/>
    <cellStyle name="Normal 57 5 6 4 2 4" xfId="19291"/>
    <cellStyle name="Normal 57 5 6 4 3" xfId="6665"/>
    <cellStyle name="Normal 57 5 6 4 3 2" xfId="15492"/>
    <cellStyle name="Normal 57 5 6 4 3 3" xfId="25743"/>
    <cellStyle name="Normal 57 5 6 4 4" xfId="8111"/>
    <cellStyle name="Normal 57 5 6 4 4 2" xfId="22193"/>
    <cellStyle name="Normal 57 5 6 4 5" xfId="17186"/>
    <cellStyle name="Normal 57 5 6 5" xfId="4162"/>
    <cellStyle name="Normal 57 5 6 5 2" xfId="13002"/>
    <cellStyle name="Normal 57 5 6 5 2 2" xfId="23253"/>
    <cellStyle name="Normal 57 5 6 5 3" xfId="9423"/>
    <cellStyle name="Normal 57 5 6 5 4" xfId="18246"/>
    <cellStyle name="Normal 57 5 6 6" xfId="1939"/>
    <cellStyle name="Normal 57 5 6 6 2" xfId="11306"/>
    <cellStyle name="Normal 57 5 6 6 3" xfId="21310"/>
    <cellStyle name="Normal 57 5 6 7" xfId="5622"/>
    <cellStyle name="Normal 57 5 6 7 2" xfId="14449"/>
    <cellStyle name="Normal 57 5 6 7 3" xfId="24700"/>
    <cellStyle name="Normal 57 5 6 8" xfId="7066"/>
    <cellStyle name="Normal 57 5 6 8 2" xfId="19792"/>
    <cellStyle name="Normal 57 5 6 9" xfId="16303"/>
    <cellStyle name="Normal 57 5 6_Degree data" xfId="3985"/>
    <cellStyle name="Normal 57 5 7" xfId="869"/>
    <cellStyle name="Normal 57 5 7 2" xfId="3355"/>
    <cellStyle name="Normal 57 5 7 2 2" xfId="12499"/>
    <cellStyle name="Normal 57 5 7 2 2 2" xfId="22718"/>
    <cellStyle name="Normal 57 5 7 2 3" xfId="8921"/>
    <cellStyle name="Normal 57 5 7 2 4" xfId="17711"/>
    <cellStyle name="Normal 57 5 7 3" xfId="4684"/>
    <cellStyle name="Normal 57 5 7 3 2" xfId="13524"/>
    <cellStyle name="Normal 57 5 7 3 2 2" xfId="23775"/>
    <cellStyle name="Normal 57 5 7 3 3" xfId="9945"/>
    <cellStyle name="Normal 57 5 7 3 4" xfId="18768"/>
    <cellStyle name="Normal 57 5 7 4" xfId="2464"/>
    <cellStyle name="Normal 57 5 7 4 2" xfId="11831"/>
    <cellStyle name="Normal 57 5 7 4 3" xfId="21835"/>
    <cellStyle name="Normal 57 5 7 5" xfId="6142"/>
    <cellStyle name="Normal 57 5 7 5 2" xfId="14969"/>
    <cellStyle name="Normal 57 5 7 5 3" xfId="25220"/>
    <cellStyle name="Normal 57 5 7 6" xfId="7587"/>
    <cellStyle name="Normal 57 5 7 6 2" xfId="20317"/>
    <cellStyle name="Normal 57 5 7 7" xfId="16828"/>
    <cellStyle name="Normal 57 5 8" xfId="1070"/>
    <cellStyle name="Normal 57 5 8 2" xfId="3500"/>
    <cellStyle name="Normal 57 5 8 2 2" xfId="12638"/>
    <cellStyle name="Normal 57 5 8 2 2 2" xfId="22857"/>
    <cellStyle name="Normal 57 5 8 2 3" xfId="9060"/>
    <cellStyle name="Normal 57 5 8 2 4" xfId="17850"/>
    <cellStyle name="Normal 57 5 8 3" xfId="5033"/>
    <cellStyle name="Normal 57 5 8 3 2" xfId="13872"/>
    <cellStyle name="Normal 57 5 8 3 2 2" xfId="24123"/>
    <cellStyle name="Normal 57 5 8 3 3" xfId="10293"/>
    <cellStyle name="Normal 57 5 8 3 4" xfId="19116"/>
    <cellStyle name="Normal 57 5 8 4" xfId="1724"/>
    <cellStyle name="Normal 57 5 8 4 2" xfId="11100"/>
    <cellStyle name="Normal 57 5 8 4 3" xfId="21104"/>
    <cellStyle name="Normal 57 5 8 5" xfId="6490"/>
    <cellStyle name="Normal 57 5 8 5 2" xfId="15317"/>
    <cellStyle name="Normal 57 5 8 5 3" xfId="25568"/>
    <cellStyle name="Normal 57 5 8 6" xfId="7936"/>
    <cellStyle name="Normal 57 5 8 6 2" xfId="20456"/>
    <cellStyle name="Normal 57 5 8 7" xfId="16097"/>
    <cellStyle name="Normal 57 5 9" xfId="2622"/>
    <cellStyle name="Normal 57 5 9 2" xfId="5163"/>
    <cellStyle name="Normal 57 5 9 2 2" xfId="14002"/>
    <cellStyle name="Normal 57 5 9 2 2 2" xfId="24253"/>
    <cellStyle name="Normal 57 5 9 2 3" xfId="10423"/>
    <cellStyle name="Normal 57 5 9 2 4" xfId="19246"/>
    <cellStyle name="Normal 57 5 9 3" xfId="6620"/>
    <cellStyle name="Normal 57 5 9 3 2" xfId="15447"/>
    <cellStyle name="Normal 57 5 9 3 3" xfId="25698"/>
    <cellStyle name="Normal 57 5 9 4" xfId="8066"/>
    <cellStyle name="Normal 57 5 9 4 2" xfId="21987"/>
    <cellStyle name="Normal 57 5 9 5" xfId="16980"/>
    <cellStyle name="Normal 57 5_Degree data" xfId="3976"/>
    <cellStyle name="Normal 57 6" xfId="135"/>
    <cellStyle name="Normal 57 6 10" xfId="1410"/>
    <cellStyle name="Normal 57 6 10 2" xfId="10789"/>
    <cellStyle name="Normal 57 6 10 3" xfId="20793"/>
    <cellStyle name="Normal 57 6 11" xfId="5521"/>
    <cellStyle name="Normal 57 6 11 2" xfId="14350"/>
    <cellStyle name="Normal 57 6 11 3" xfId="24601"/>
    <cellStyle name="Normal 57 6 12" xfId="6963"/>
    <cellStyle name="Normal 57 6 12 2" xfId="19605"/>
    <cellStyle name="Normal 57 6 13" xfId="15786"/>
    <cellStyle name="Normal 57 6 2" xfId="191"/>
    <cellStyle name="Normal 57 6 2 10" xfId="7142"/>
    <cellStyle name="Normal 57 6 2 10 2" xfId="19651"/>
    <cellStyle name="Normal 57 6 2 11" xfId="15888"/>
    <cellStyle name="Normal 57 6 2 2" xfId="519"/>
    <cellStyle name="Normal 57 6 2 2 2" xfId="881"/>
    <cellStyle name="Normal 57 6 2 2 2 2" xfId="3367"/>
    <cellStyle name="Normal 57 6 2 2 2 2 2" xfId="12511"/>
    <cellStyle name="Normal 57 6 2 2 2 2 2 2" xfId="22730"/>
    <cellStyle name="Normal 57 6 2 2 2 2 3" xfId="8933"/>
    <cellStyle name="Normal 57 6 2 2 2 2 4" xfId="17723"/>
    <cellStyle name="Normal 57 6 2 2 2 3" xfId="4696"/>
    <cellStyle name="Normal 57 6 2 2 2 3 2" xfId="13536"/>
    <cellStyle name="Normal 57 6 2 2 2 3 2 2" xfId="23787"/>
    <cellStyle name="Normal 57 6 2 2 2 3 3" xfId="9957"/>
    <cellStyle name="Normal 57 6 2 2 2 3 4" xfId="18780"/>
    <cellStyle name="Normal 57 6 2 2 2 4" xfId="2476"/>
    <cellStyle name="Normal 57 6 2 2 2 4 2" xfId="11843"/>
    <cellStyle name="Normal 57 6 2 2 2 4 3" xfId="21847"/>
    <cellStyle name="Normal 57 6 2 2 2 5" xfId="6154"/>
    <cellStyle name="Normal 57 6 2 2 2 5 2" xfId="14981"/>
    <cellStyle name="Normal 57 6 2 2 2 5 3" xfId="25232"/>
    <cellStyle name="Normal 57 6 2 2 2 6" xfId="7599"/>
    <cellStyle name="Normal 57 6 2 2 2 6 2" xfId="20329"/>
    <cellStyle name="Normal 57 6 2 2 2 7" xfId="16840"/>
    <cellStyle name="Normal 57 6 2 2 3" xfId="1291"/>
    <cellStyle name="Normal 57 6 2 2 3 2" xfId="3721"/>
    <cellStyle name="Normal 57 6 2 2 3 2 2" xfId="12859"/>
    <cellStyle name="Normal 57 6 2 2 3 2 2 2" xfId="23078"/>
    <cellStyle name="Normal 57 6 2 2 3 2 3" xfId="9280"/>
    <cellStyle name="Normal 57 6 2 2 3 2 4" xfId="18071"/>
    <cellStyle name="Normal 57 6 2 2 3 3" xfId="5045"/>
    <cellStyle name="Normal 57 6 2 2 3 3 2" xfId="13884"/>
    <cellStyle name="Normal 57 6 2 2 3 3 2 2" xfId="24135"/>
    <cellStyle name="Normal 57 6 2 2 3 3 3" xfId="10305"/>
    <cellStyle name="Normal 57 6 2 2 3 3 4" xfId="19128"/>
    <cellStyle name="Normal 57 6 2 2 3 4" xfId="2115"/>
    <cellStyle name="Normal 57 6 2 2 3 4 2" xfId="11482"/>
    <cellStyle name="Normal 57 6 2 2 3 4 3" xfId="21486"/>
    <cellStyle name="Normal 57 6 2 2 3 5" xfId="6502"/>
    <cellStyle name="Normal 57 6 2 2 3 5 2" xfId="15329"/>
    <cellStyle name="Normal 57 6 2 2 3 5 3" xfId="25580"/>
    <cellStyle name="Normal 57 6 2 2 3 6" xfId="7948"/>
    <cellStyle name="Normal 57 6 2 2 3 6 2" xfId="20677"/>
    <cellStyle name="Normal 57 6 2 2 3 7" xfId="16479"/>
    <cellStyle name="Normal 57 6 2 2 4" xfId="3006"/>
    <cellStyle name="Normal 57 6 2 2 4 2" xfId="5384"/>
    <cellStyle name="Normal 57 6 2 2 4 2 2" xfId="14223"/>
    <cellStyle name="Normal 57 6 2 2 4 2 2 2" xfId="24474"/>
    <cellStyle name="Normal 57 6 2 2 4 2 3" xfId="10644"/>
    <cellStyle name="Normal 57 6 2 2 4 2 4" xfId="19467"/>
    <cellStyle name="Normal 57 6 2 2 4 3" xfId="6841"/>
    <cellStyle name="Normal 57 6 2 2 4 3 2" xfId="15668"/>
    <cellStyle name="Normal 57 6 2 2 4 3 3" xfId="25919"/>
    <cellStyle name="Normal 57 6 2 2 4 4" xfId="8287"/>
    <cellStyle name="Normal 57 6 2 2 4 4 2" xfId="22369"/>
    <cellStyle name="Normal 57 6 2 2 4 5" xfId="17362"/>
    <cellStyle name="Normal 57 6 2 2 5" xfId="4340"/>
    <cellStyle name="Normal 57 6 2 2 5 2" xfId="13180"/>
    <cellStyle name="Normal 57 6 2 2 5 2 2" xfId="23431"/>
    <cellStyle name="Normal 57 6 2 2 5 3" xfId="9601"/>
    <cellStyle name="Normal 57 6 2 2 5 4" xfId="18424"/>
    <cellStyle name="Normal 57 6 2 2 6" xfId="1612"/>
    <cellStyle name="Normal 57 6 2 2 6 2" xfId="10991"/>
    <cellStyle name="Normal 57 6 2 2 6 3" xfId="20995"/>
    <cellStyle name="Normal 57 6 2 2 7" xfId="5798"/>
    <cellStyle name="Normal 57 6 2 2 7 2" xfId="14625"/>
    <cellStyle name="Normal 57 6 2 2 7 3" xfId="24876"/>
    <cellStyle name="Normal 57 6 2 2 8" xfId="7242"/>
    <cellStyle name="Normal 57 6 2 2 8 2" xfId="19968"/>
    <cellStyle name="Normal 57 6 2 2 9" xfId="15988"/>
    <cellStyle name="Normal 57 6 2 2_Degree data" xfId="3988"/>
    <cellStyle name="Normal 57 6 2 3" xfId="419"/>
    <cellStyle name="Normal 57 6 2 3 2" xfId="2906"/>
    <cellStyle name="Normal 57 6 2 3 2 2" xfId="12196"/>
    <cellStyle name="Normal 57 6 2 3 2 2 2" xfId="22269"/>
    <cellStyle name="Normal 57 6 2 3 2 3" xfId="8525"/>
    <cellStyle name="Normal 57 6 2 3 2 4" xfId="17262"/>
    <cellStyle name="Normal 57 6 2 3 3" xfId="4695"/>
    <cellStyle name="Normal 57 6 2 3 3 2" xfId="13535"/>
    <cellStyle name="Normal 57 6 2 3 3 2 2" xfId="23786"/>
    <cellStyle name="Normal 57 6 2 3 3 3" xfId="9956"/>
    <cellStyle name="Normal 57 6 2 3 3 4" xfId="18779"/>
    <cellStyle name="Normal 57 6 2 3 4" xfId="2015"/>
    <cellStyle name="Normal 57 6 2 3 4 2" xfId="11382"/>
    <cellStyle name="Normal 57 6 2 3 4 3" xfId="21386"/>
    <cellStyle name="Normal 57 6 2 3 5" xfId="6153"/>
    <cellStyle name="Normal 57 6 2 3 5 2" xfId="14980"/>
    <cellStyle name="Normal 57 6 2 3 5 3" xfId="25231"/>
    <cellStyle name="Normal 57 6 2 3 6" xfId="7598"/>
    <cellStyle name="Normal 57 6 2 3 6 2" xfId="19868"/>
    <cellStyle name="Normal 57 6 2 3 7" xfId="16379"/>
    <cellStyle name="Normal 57 6 2 4" xfId="880"/>
    <cellStyle name="Normal 57 6 2 4 2" xfId="3366"/>
    <cellStyle name="Normal 57 6 2 4 2 2" xfId="12510"/>
    <cellStyle name="Normal 57 6 2 4 2 2 2" xfId="22729"/>
    <cellStyle name="Normal 57 6 2 4 2 3" xfId="8932"/>
    <cellStyle name="Normal 57 6 2 4 2 4" xfId="17722"/>
    <cellStyle name="Normal 57 6 2 4 3" xfId="5044"/>
    <cellStyle name="Normal 57 6 2 4 3 2" xfId="13883"/>
    <cellStyle name="Normal 57 6 2 4 3 2 2" xfId="24134"/>
    <cellStyle name="Normal 57 6 2 4 3 3" xfId="10304"/>
    <cellStyle name="Normal 57 6 2 4 3 4" xfId="19127"/>
    <cellStyle name="Normal 57 6 2 4 4" xfId="2475"/>
    <cellStyle name="Normal 57 6 2 4 4 2" xfId="11842"/>
    <cellStyle name="Normal 57 6 2 4 4 3" xfId="21846"/>
    <cellStyle name="Normal 57 6 2 4 5" xfId="6501"/>
    <cellStyle name="Normal 57 6 2 4 5 2" xfId="15328"/>
    <cellStyle name="Normal 57 6 2 4 5 3" xfId="25579"/>
    <cellStyle name="Normal 57 6 2 4 6" xfId="7947"/>
    <cellStyle name="Normal 57 6 2 4 6 2" xfId="20328"/>
    <cellStyle name="Normal 57 6 2 4 7" xfId="16839"/>
    <cellStyle name="Normal 57 6 2 5" xfId="1191"/>
    <cellStyle name="Normal 57 6 2 5 2" xfId="3621"/>
    <cellStyle name="Normal 57 6 2 5 2 2" xfId="12759"/>
    <cellStyle name="Normal 57 6 2 5 2 2 2" xfId="22978"/>
    <cellStyle name="Normal 57 6 2 5 2 3" xfId="9180"/>
    <cellStyle name="Normal 57 6 2 5 2 4" xfId="17971"/>
    <cellStyle name="Normal 57 6 2 5 3" xfId="5284"/>
    <cellStyle name="Normal 57 6 2 5 3 2" xfId="14123"/>
    <cellStyle name="Normal 57 6 2 5 3 2 2" xfId="24374"/>
    <cellStyle name="Normal 57 6 2 5 3 3" xfId="10544"/>
    <cellStyle name="Normal 57 6 2 5 3 4" xfId="19367"/>
    <cellStyle name="Normal 57 6 2 5 4" xfId="1794"/>
    <cellStyle name="Normal 57 6 2 5 4 2" xfId="11165"/>
    <cellStyle name="Normal 57 6 2 5 4 3" xfId="21169"/>
    <cellStyle name="Normal 57 6 2 5 5" xfId="6741"/>
    <cellStyle name="Normal 57 6 2 5 5 2" xfId="15568"/>
    <cellStyle name="Normal 57 6 2 5 5 3" xfId="25819"/>
    <cellStyle name="Normal 57 6 2 5 6" xfId="8187"/>
    <cellStyle name="Normal 57 6 2 5 6 2" xfId="20577"/>
    <cellStyle name="Normal 57 6 2 5 7" xfId="16162"/>
    <cellStyle name="Normal 57 6 2 6" xfId="2689"/>
    <cellStyle name="Normal 57 6 2 6 2" xfId="12008"/>
    <cellStyle name="Normal 57 6 2 6 2 2" xfId="22052"/>
    <cellStyle name="Normal 57 6 2 6 3" xfId="8569"/>
    <cellStyle name="Normal 57 6 2 6 4" xfId="17045"/>
    <cellStyle name="Normal 57 6 2 7" xfId="4240"/>
    <cellStyle name="Normal 57 6 2 7 2" xfId="13080"/>
    <cellStyle name="Normal 57 6 2 7 2 2" xfId="23331"/>
    <cellStyle name="Normal 57 6 2 7 3" xfId="9501"/>
    <cellStyle name="Normal 57 6 2 7 4" xfId="18324"/>
    <cellStyle name="Normal 57 6 2 8" xfId="1512"/>
    <cellStyle name="Normal 57 6 2 8 2" xfId="10891"/>
    <cellStyle name="Normal 57 6 2 8 3" xfId="20895"/>
    <cellStyle name="Normal 57 6 2 9" xfId="5698"/>
    <cellStyle name="Normal 57 6 2 9 2" xfId="14525"/>
    <cellStyle name="Normal 57 6 2 9 3" xfId="24776"/>
    <cellStyle name="Normal 57 6 2_Degree data" xfId="3987"/>
    <cellStyle name="Normal 57 6 3" xfId="255"/>
    <cellStyle name="Normal 57 6 3 10" xfId="7096"/>
    <cellStyle name="Normal 57 6 3 10 2" xfId="19710"/>
    <cellStyle name="Normal 57 6 3 11" xfId="15842"/>
    <cellStyle name="Normal 57 6 3 2" xfId="578"/>
    <cellStyle name="Normal 57 6 3 2 2" xfId="883"/>
    <cellStyle name="Normal 57 6 3 2 2 2" xfId="3369"/>
    <cellStyle name="Normal 57 6 3 2 2 2 2" xfId="12513"/>
    <cellStyle name="Normal 57 6 3 2 2 2 2 2" xfId="22732"/>
    <cellStyle name="Normal 57 6 3 2 2 2 3" xfId="8935"/>
    <cellStyle name="Normal 57 6 3 2 2 2 4" xfId="17725"/>
    <cellStyle name="Normal 57 6 3 2 2 3" xfId="4698"/>
    <cellStyle name="Normal 57 6 3 2 2 3 2" xfId="13538"/>
    <cellStyle name="Normal 57 6 3 2 2 3 2 2" xfId="23789"/>
    <cellStyle name="Normal 57 6 3 2 2 3 3" xfId="9959"/>
    <cellStyle name="Normal 57 6 3 2 2 3 4" xfId="18782"/>
    <cellStyle name="Normal 57 6 3 2 2 4" xfId="2478"/>
    <cellStyle name="Normal 57 6 3 2 2 4 2" xfId="11845"/>
    <cellStyle name="Normal 57 6 3 2 2 4 3" xfId="21849"/>
    <cellStyle name="Normal 57 6 3 2 2 5" xfId="6156"/>
    <cellStyle name="Normal 57 6 3 2 2 5 2" xfId="14983"/>
    <cellStyle name="Normal 57 6 3 2 2 5 3" xfId="25234"/>
    <cellStyle name="Normal 57 6 3 2 2 6" xfId="7601"/>
    <cellStyle name="Normal 57 6 3 2 2 6 2" xfId="20331"/>
    <cellStyle name="Normal 57 6 3 2 2 7" xfId="16842"/>
    <cellStyle name="Normal 57 6 3 2 3" xfId="1350"/>
    <cellStyle name="Normal 57 6 3 2 3 2" xfId="3780"/>
    <cellStyle name="Normal 57 6 3 2 3 2 2" xfId="12918"/>
    <cellStyle name="Normal 57 6 3 2 3 2 2 2" xfId="23137"/>
    <cellStyle name="Normal 57 6 3 2 3 2 3" xfId="9339"/>
    <cellStyle name="Normal 57 6 3 2 3 2 4" xfId="18130"/>
    <cellStyle name="Normal 57 6 3 2 3 3" xfId="5047"/>
    <cellStyle name="Normal 57 6 3 2 3 3 2" xfId="13886"/>
    <cellStyle name="Normal 57 6 3 2 3 3 2 2" xfId="24137"/>
    <cellStyle name="Normal 57 6 3 2 3 3 3" xfId="10307"/>
    <cellStyle name="Normal 57 6 3 2 3 3 4" xfId="19130"/>
    <cellStyle name="Normal 57 6 3 2 3 4" xfId="2174"/>
    <cellStyle name="Normal 57 6 3 2 3 4 2" xfId="11541"/>
    <cellStyle name="Normal 57 6 3 2 3 4 3" xfId="21545"/>
    <cellStyle name="Normal 57 6 3 2 3 5" xfId="6504"/>
    <cellStyle name="Normal 57 6 3 2 3 5 2" xfId="15331"/>
    <cellStyle name="Normal 57 6 3 2 3 5 3" xfId="25582"/>
    <cellStyle name="Normal 57 6 3 2 3 6" xfId="7950"/>
    <cellStyle name="Normal 57 6 3 2 3 6 2" xfId="20736"/>
    <cellStyle name="Normal 57 6 3 2 3 7" xfId="16538"/>
    <cellStyle name="Normal 57 6 3 2 4" xfId="3065"/>
    <cellStyle name="Normal 57 6 3 2 4 2" xfId="5443"/>
    <cellStyle name="Normal 57 6 3 2 4 2 2" xfId="14282"/>
    <cellStyle name="Normal 57 6 3 2 4 2 2 2" xfId="24533"/>
    <cellStyle name="Normal 57 6 3 2 4 2 3" xfId="10703"/>
    <cellStyle name="Normal 57 6 3 2 4 2 4" xfId="19526"/>
    <cellStyle name="Normal 57 6 3 2 4 3" xfId="6900"/>
    <cellStyle name="Normal 57 6 3 2 4 3 2" xfId="15727"/>
    <cellStyle name="Normal 57 6 3 2 4 3 3" xfId="25978"/>
    <cellStyle name="Normal 57 6 3 2 4 4" xfId="8346"/>
    <cellStyle name="Normal 57 6 3 2 4 4 2" xfId="22428"/>
    <cellStyle name="Normal 57 6 3 2 4 5" xfId="17421"/>
    <cellStyle name="Normal 57 6 3 2 5" xfId="4399"/>
    <cellStyle name="Normal 57 6 3 2 5 2" xfId="13239"/>
    <cellStyle name="Normal 57 6 3 2 5 2 2" xfId="23490"/>
    <cellStyle name="Normal 57 6 3 2 5 3" xfId="9660"/>
    <cellStyle name="Normal 57 6 3 2 5 4" xfId="18483"/>
    <cellStyle name="Normal 57 6 3 2 6" xfId="1671"/>
    <cellStyle name="Normal 57 6 3 2 6 2" xfId="11050"/>
    <cellStyle name="Normal 57 6 3 2 6 3" xfId="21054"/>
    <cellStyle name="Normal 57 6 3 2 7" xfId="5857"/>
    <cellStyle name="Normal 57 6 3 2 7 2" xfId="14684"/>
    <cellStyle name="Normal 57 6 3 2 7 3" xfId="24935"/>
    <cellStyle name="Normal 57 6 3 2 8" xfId="7301"/>
    <cellStyle name="Normal 57 6 3 2 8 2" xfId="20027"/>
    <cellStyle name="Normal 57 6 3 2 9" xfId="16047"/>
    <cellStyle name="Normal 57 6 3 2_Degree data" xfId="3990"/>
    <cellStyle name="Normal 57 6 3 3" xfId="373"/>
    <cellStyle name="Normal 57 6 3 3 2" xfId="2860"/>
    <cellStyle name="Normal 57 6 3 3 2 2" xfId="12150"/>
    <cellStyle name="Normal 57 6 3 3 2 2 2" xfId="22223"/>
    <cellStyle name="Normal 57 6 3 3 2 3" xfId="8537"/>
    <cellStyle name="Normal 57 6 3 3 2 4" xfId="17216"/>
    <cellStyle name="Normal 57 6 3 3 3" xfId="4697"/>
    <cellStyle name="Normal 57 6 3 3 3 2" xfId="13537"/>
    <cellStyle name="Normal 57 6 3 3 3 2 2" xfId="23788"/>
    <cellStyle name="Normal 57 6 3 3 3 3" xfId="9958"/>
    <cellStyle name="Normal 57 6 3 3 3 4" xfId="18781"/>
    <cellStyle name="Normal 57 6 3 3 4" xfId="1969"/>
    <cellStyle name="Normal 57 6 3 3 4 2" xfId="11336"/>
    <cellStyle name="Normal 57 6 3 3 4 3" xfId="21340"/>
    <cellStyle name="Normal 57 6 3 3 5" xfId="6155"/>
    <cellStyle name="Normal 57 6 3 3 5 2" xfId="14982"/>
    <cellStyle name="Normal 57 6 3 3 5 3" xfId="25233"/>
    <cellStyle name="Normal 57 6 3 3 6" xfId="7600"/>
    <cellStyle name="Normal 57 6 3 3 6 2" xfId="19822"/>
    <cellStyle name="Normal 57 6 3 3 7" xfId="16333"/>
    <cellStyle name="Normal 57 6 3 4" xfId="882"/>
    <cellStyle name="Normal 57 6 3 4 2" xfId="3368"/>
    <cellStyle name="Normal 57 6 3 4 2 2" xfId="12512"/>
    <cellStyle name="Normal 57 6 3 4 2 2 2" xfId="22731"/>
    <cellStyle name="Normal 57 6 3 4 2 3" xfId="8934"/>
    <cellStyle name="Normal 57 6 3 4 2 4" xfId="17724"/>
    <cellStyle name="Normal 57 6 3 4 3" xfId="5046"/>
    <cellStyle name="Normal 57 6 3 4 3 2" xfId="13885"/>
    <cellStyle name="Normal 57 6 3 4 3 2 2" xfId="24136"/>
    <cellStyle name="Normal 57 6 3 4 3 3" xfId="10306"/>
    <cellStyle name="Normal 57 6 3 4 3 4" xfId="19129"/>
    <cellStyle name="Normal 57 6 3 4 4" xfId="2477"/>
    <cellStyle name="Normal 57 6 3 4 4 2" xfId="11844"/>
    <cellStyle name="Normal 57 6 3 4 4 3" xfId="21848"/>
    <cellStyle name="Normal 57 6 3 4 5" xfId="6503"/>
    <cellStyle name="Normal 57 6 3 4 5 2" xfId="15330"/>
    <cellStyle name="Normal 57 6 3 4 5 3" xfId="25581"/>
    <cellStyle name="Normal 57 6 3 4 6" xfId="7949"/>
    <cellStyle name="Normal 57 6 3 4 6 2" xfId="20330"/>
    <cellStyle name="Normal 57 6 3 4 7" xfId="16841"/>
    <cellStyle name="Normal 57 6 3 5" xfId="1145"/>
    <cellStyle name="Normal 57 6 3 5 2" xfId="3575"/>
    <cellStyle name="Normal 57 6 3 5 2 2" xfId="12713"/>
    <cellStyle name="Normal 57 6 3 5 2 2 2" xfId="22932"/>
    <cellStyle name="Normal 57 6 3 5 2 3" xfId="9134"/>
    <cellStyle name="Normal 57 6 3 5 2 4" xfId="17925"/>
    <cellStyle name="Normal 57 6 3 5 3" xfId="5238"/>
    <cellStyle name="Normal 57 6 3 5 3 2" xfId="14077"/>
    <cellStyle name="Normal 57 6 3 5 3 2 2" xfId="24328"/>
    <cellStyle name="Normal 57 6 3 5 3 3" xfId="10498"/>
    <cellStyle name="Normal 57 6 3 5 3 4" xfId="19321"/>
    <cellStyle name="Normal 57 6 3 5 4" xfId="1854"/>
    <cellStyle name="Normal 57 6 3 5 4 2" xfId="11224"/>
    <cellStyle name="Normal 57 6 3 5 4 3" xfId="21228"/>
    <cellStyle name="Normal 57 6 3 5 5" xfId="6695"/>
    <cellStyle name="Normal 57 6 3 5 5 2" xfId="15522"/>
    <cellStyle name="Normal 57 6 3 5 5 3" xfId="25773"/>
    <cellStyle name="Normal 57 6 3 5 6" xfId="8141"/>
    <cellStyle name="Normal 57 6 3 5 6 2" xfId="20531"/>
    <cellStyle name="Normal 57 6 3 5 7" xfId="16221"/>
    <cellStyle name="Normal 57 6 3 6" xfId="2748"/>
    <cellStyle name="Normal 57 6 3 6 2" xfId="12067"/>
    <cellStyle name="Normal 57 6 3 6 2 2" xfId="22111"/>
    <cellStyle name="Normal 57 6 3 6 3" xfId="8557"/>
    <cellStyle name="Normal 57 6 3 6 4" xfId="17104"/>
    <cellStyle name="Normal 57 6 3 7" xfId="4194"/>
    <cellStyle name="Normal 57 6 3 7 2" xfId="13034"/>
    <cellStyle name="Normal 57 6 3 7 2 2" xfId="23285"/>
    <cellStyle name="Normal 57 6 3 7 3" xfId="9455"/>
    <cellStyle name="Normal 57 6 3 7 4" xfId="18278"/>
    <cellStyle name="Normal 57 6 3 8" xfId="1466"/>
    <cellStyle name="Normal 57 6 3 8 2" xfId="10845"/>
    <cellStyle name="Normal 57 6 3 8 3" xfId="20849"/>
    <cellStyle name="Normal 57 6 3 9" xfId="5652"/>
    <cellStyle name="Normal 57 6 3 9 2" xfId="14479"/>
    <cellStyle name="Normal 57 6 3 9 3" xfId="24730"/>
    <cellStyle name="Normal 57 6 3_Degree data" xfId="3989"/>
    <cellStyle name="Normal 57 6 4" xfId="473"/>
    <cellStyle name="Normal 57 6 4 2" xfId="884"/>
    <cellStyle name="Normal 57 6 4 2 2" xfId="3370"/>
    <cellStyle name="Normal 57 6 4 2 2 2" xfId="12514"/>
    <cellStyle name="Normal 57 6 4 2 2 2 2" xfId="22733"/>
    <cellStyle name="Normal 57 6 4 2 2 3" xfId="8936"/>
    <cellStyle name="Normal 57 6 4 2 2 4" xfId="17726"/>
    <cellStyle name="Normal 57 6 4 2 3" xfId="4699"/>
    <cellStyle name="Normal 57 6 4 2 3 2" xfId="13539"/>
    <cellStyle name="Normal 57 6 4 2 3 2 2" xfId="23790"/>
    <cellStyle name="Normal 57 6 4 2 3 3" xfId="9960"/>
    <cellStyle name="Normal 57 6 4 2 3 4" xfId="18783"/>
    <cellStyle name="Normal 57 6 4 2 4" xfId="2479"/>
    <cellStyle name="Normal 57 6 4 2 4 2" xfId="11846"/>
    <cellStyle name="Normal 57 6 4 2 4 3" xfId="21850"/>
    <cellStyle name="Normal 57 6 4 2 5" xfId="6157"/>
    <cellStyle name="Normal 57 6 4 2 5 2" xfId="14984"/>
    <cellStyle name="Normal 57 6 4 2 5 3" xfId="25235"/>
    <cellStyle name="Normal 57 6 4 2 6" xfId="7602"/>
    <cellStyle name="Normal 57 6 4 2 6 2" xfId="20332"/>
    <cellStyle name="Normal 57 6 4 2 7" xfId="16843"/>
    <cellStyle name="Normal 57 6 4 3" xfId="1245"/>
    <cellStyle name="Normal 57 6 4 3 2" xfId="3675"/>
    <cellStyle name="Normal 57 6 4 3 2 2" xfId="12813"/>
    <cellStyle name="Normal 57 6 4 3 2 2 2" xfId="23032"/>
    <cellStyle name="Normal 57 6 4 3 2 3" xfId="9234"/>
    <cellStyle name="Normal 57 6 4 3 2 4" xfId="18025"/>
    <cellStyle name="Normal 57 6 4 3 3" xfId="5048"/>
    <cellStyle name="Normal 57 6 4 3 3 2" xfId="13887"/>
    <cellStyle name="Normal 57 6 4 3 3 2 2" xfId="24138"/>
    <cellStyle name="Normal 57 6 4 3 3 3" xfId="10308"/>
    <cellStyle name="Normal 57 6 4 3 3 4" xfId="19131"/>
    <cellStyle name="Normal 57 6 4 3 4" xfId="2069"/>
    <cellStyle name="Normal 57 6 4 3 4 2" xfId="11436"/>
    <cellStyle name="Normal 57 6 4 3 4 3" xfId="21440"/>
    <cellStyle name="Normal 57 6 4 3 5" xfId="6505"/>
    <cellStyle name="Normal 57 6 4 3 5 2" xfId="15332"/>
    <cellStyle name="Normal 57 6 4 3 5 3" xfId="25583"/>
    <cellStyle name="Normal 57 6 4 3 6" xfId="7951"/>
    <cellStyle name="Normal 57 6 4 3 6 2" xfId="20631"/>
    <cellStyle name="Normal 57 6 4 3 7" xfId="16433"/>
    <cellStyle name="Normal 57 6 4 4" xfId="2960"/>
    <cellStyle name="Normal 57 6 4 4 2" xfId="5338"/>
    <cellStyle name="Normal 57 6 4 4 2 2" xfId="14177"/>
    <cellStyle name="Normal 57 6 4 4 2 2 2" xfId="24428"/>
    <cellStyle name="Normal 57 6 4 4 2 3" xfId="10598"/>
    <cellStyle name="Normal 57 6 4 4 2 4" xfId="19421"/>
    <cellStyle name="Normal 57 6 4 4 3" xfId="6795"/>
    <cellStyle name="Normal 57 6 4 4 3 2" xfId="15622"/>
    <cellStyle name="Normal 57 6 4 4 3 3" xfId="25873"/>
    <cellStyle name="Normal 57 6 4 4 4" xfId="8241"/>
    <cellStyle name="Normal 57 6 4 4 4 2" xfId="22323"/>
    <cellStyle name="Normal 57 6 4 4 5" xfId="17316"/>
    <cellStyle name="Normal 57 6 4 5" xfId="4294"/>
    <cellStyle name="Normal 57 6 4 5 2" xfId="13134"/>
    <cellStyle name="Normal 57 6 4 5 2 2" xfId="23385"/>
    <cellStyle name="Normal 57 6 4 5 3" xfId="9555"/>
    <cellStyle name="Normal 57 6 4 5 4" xfId="18378"/>
    <cellStyle name="Normal 57 6 4 6" xfId="1566"/>
    <cellStyle name="Normal 57 6 4 6 2" xfId="10945"/>
    <cellStyle name="Normal 57 6 4 6 3" xfId="20949"/>
    <cellStyle name="Normal 57 6 4 7" xfId="5752"/>
    <cellStyle name="Normal 57 6 4 7 2" xfId="14579"/>
    <cellStyle name="Normal 57 6 4 7 3" xfId="24830"/>
    <cellStyle name="Normal 57 6 4 8" xfId="7196"/>
    <cellStyle name="Normal 57 6 4 8 2" xfId="19922"/>
    <cellStyle name="Normal 57 6 4 9" xfId="15942"/>
    <cellStyle name="Normal 57 6 4_Degree data" xfId="3991"/>
    <cellStyle name="Normal 57 6 5" xfId="317"/>
    <cellStyle name="Normal 57 6 5 2" xfId="2804"/>
    <cellStyle name="Normal 57 6 5 2 2" xfId="12110"/>
    <cellStyle name="Normal 57 6 5 2 2 2" xfId="22167"/>
    <cellStyle name="Normal 57 6 5 2 3" xfId="8446"/>
    <cellStyle name="Normal 57 6 5 2 4" xfId="17160"/>
    <cellStyle name="Normal 57 6 5 3" xfId="4694"/>
    <cellStyle name="Normal 57 6 5 3 2" xfId="13534"/>
    <cellStyle name="Normal 57 6 5 3 2 2" xfId="23785"/>
    <cellStyle name="Normal 57 6 5 3 3" xfId="9955"/>
    <cellStyle name="Normal 57 6 5 3 4" xfId="18778"/>
    <cellStyle name="Normal 57 6 5 4" xfId="1913"/>
    <cellStyle name="Normal 57 6 5 4 2" xfId="11280"/>
    <cellStyle name="Normal 57 6 5 4 3" xfId="21284"/>
    <cellStyle name="Normal 57 6 5 5" xfId="6152"/>
    <cellStyle name="Normal 57 6 5 5 2" xfId="14979"/>
    <cellStyle name="Normal 57 6 5 5 3" xfId="25230"/>
    <cellStyle name="Normal 57 6 5 6" xfId="7597"/>
    <cellStyle name="Normal 57 6 5 6 2" xfId="19766"/>
    <cellStyle name="Normal 57 6 5 7" xfId="16277"/>
    <cellStyle name="Normal 57 6 6" xfId="879"/>
    <cellStyle name="Normal 57 6 6 2" xfId="3365"/>
    <cellStyle name="Normal 57 6 6 2 2" xfId="12509"/>
    <cellStyle name="Normal 57 6 6 2 2 2" xfId="22728"/>
    <cellStyle name="Normal 57 6 6 2 3" xfId="8931"/>
    <cellStyle name="Normal 57 6 6 2 4" xfId="17721"/>
    <cellStyle name="Normal 57 6 6 3" xfId="5043"/>
    <cellStyle name="Normal 57 6 6 3 2" xfId="13882"/>
    <cellStyle name="Normal 57 6 6 3 2 2" xfId="24133"/>
    <cellStyle name="Normal 57 6 6 3 3" xfId="10303"/>
    <cellStyle name="Normal 57 6 6 3 4" xfId="19126"/>
    <cellStyle name="Normal 57 6 6 4" xfId="2474"/>
    <cellStyle name="Normal 57 6 6 4 2" xfId="11841"/>
    <cellStyle name="Normal 57 6 6 4 3" xfId="21845"/>
    <cellStyle name="Normal 57 6 6 5" xfId="6500"/>
    <cellStyle name="Normal 57 6 6 5 2" xfId="15327"/>
    <cellStyle name="Normal 57 6 6 5 3" xfId="25578"/>
    <cellStyle name="Normal 57 6 6 6" xfId="7946"/>
    <cellStyle name="Normal 57 6 6 6 2" xfId="20327"/>
    <cellStyle name="Normal 57 6 6 7" xfId="16838"/>
    <cellStyle name="Normal 57 6 7" xfId="1089"/>
    <cellStyle name="Normal 57 6 7 2" xfId="3519"/>
    <cellStyle name="Normal 57 6 7 2 2" xfId="12657"/>
    <cellStyle name="Normal 57 6 7 2 2 2" xfId="22876"/>
    <cellStyle name="Normal 57 6 7 2 3" xfId="9079"/>
    <cellStyle name="Normal 57 6 7 2 4" xfId="17869"/>
    <cellStyle name="Normal 57 6 7 3" xfId="5182"/>
    <cellStyle name="Normal 57 6 7 3 2" xfId="14021"/>
    <cellStyle name="Normal 57 6 7 3 2 2" xfId="24272"/>
    <cellStyle name="Normal 57 6 7 3 3" xfId="10442"/>
    <cellStyle name="Normal 57 6 7 3 4" xfId="19265"/>
    <cellStyle name="Normal 57 6 7 4" xfId="1742"/>
    <cellStyle name="Normal 57 6 7 4 2" xfId="11118"/>
    <cellStyle name="Normal 57 6 7 4 3" xfId="21122"/>
    <cellStyle name="Normal 57 6 7 5" xfId="6639"/>
    <cellStyle name="Normal 57 6 7 5 2" xfId="15466"/>
    <cellStyle name="Normal 57 6 7 5 3" xfId="25717"/>
    <cellStyle name="Normal 57 6 7 6" xfId="8085"/>
    <cellStyle name="Normal 57 6 7 6 2" xfId="20475"/>
    <cellStyle name="Normal 57 6 7 7" xfId="16115"/>
    <cellStyle name="Normal 57 6 8" xfId="2642"/>
    <cellStyle name="Normal 57 6 8 2" xfId="5596"/>
    <cellStyle name="Normal 57 6 8 2 2" xfId="14423"/>
    <cellStyle name="Normal 57 6 8 2 3" xfId="24674"/>
    <cellStyle name="Normal 57 6 8 3" xfId="7040"/>
    <cellStyle name="Normal 57 6 8 3 2" xfId="22006"/>
    <cellStyle name="Normal 57 6 8 4" xfId="16999"/>
    <cellStyle name="Normal 57 6 9" xfId="4136"/>
    <cellStyle name="Normal 57 6 9 2" xfId="12976"/>
    <cellStyle name="Normal 57 6 9 2 2" xfId="23227"/>
    <cellStyle name="Normal 57 6 9 3" xfId="9397"/>
    <cellStyle name="Normal 57 6 9 4" xfId="18220"/>
    <cellStyle name="Normal 57 6_Degree data" xfId="3986"/>
    <cellStyle name="Normal 57 7" xfId="141"/>
    <cellStyle name="Normal 57 7 10" xfId="5655"/>
    <cellStyle name="Normal 57 7 10 2" xfId="14482"/>
    <cellStyle name="Normal 57 7 10 3" xfId="24733"/>
    <cellStyle name="Normal 57 7 11" xfId="7099"/>
    <cellStyle name="Normal 57 7 11 2" xfId="19608"/>
    <cellStyle name="Normal 57 7 12" xfId="15845"/>
    <cellStyle name="Normal 57 7 2" xfId="258"/>
    <cellStyle name="Normal 57 7 2 10" xfId="16050"/>
    <cellStyle name="Normal 57 7 2 2" xfId="581"/>
    <cellStyle name="Normal 57 7 2 2 2" xfId="3068"/>
    <cellStyle name="Normal 57 7 2 2 2 2" xfId="12231"/>
    <cellStyle name="Normal 57 7 2 2 2 2 2" xfId="22431"/>
    <cellStyle name="Normal 57 7 2 2 2 3" xfId="8653"/>
    <cellStyle name="Normal 57 7 2 2 2 4" xfId="17424"/>
    <cellStyle name="Normal 57 7 2 2 3" xfId="4701"/>
    <cellStyle name="Normal 57 7 2 2 3 2" xfId="13541"/>
    <cellStyle name="Normal 57 7 2 2 3 2 2" xfId="23792"/>
    <cellStyle name="Normal 57 7 2 2 3 3" xfId="9962"/>
    <cellStyle name="Normal 57 7 2 2 3 4" xfId="18785"/>
    <cellStyle name="Normal 57 7 2 2 4" xfId="2177"/>
    <cellStyle name="Normal 57 7 2 2 4 2" xfId="11544"/>
    <cellStyle name="Normal 57 7 2 2 4 3" xfId="21548"/>
    <cellStyle name="Normal 57 7 2 2 5" xfId="6159"/>
    <cellStyle name="Normal 57 7 2 2 5 2" xfId="14986"/>
    <cellStyle name="Normal 57 7 2 2 5 3" xfId="25237"/>
    <cellStyle name="Normal 57 7 2 2 6" xfId="7604"/>
    <cellStyle name="Normal 57 7 2 2 6 2" xfId="20030"/>
    <cellStyle name="Normal 57 7 2 2 7" xfId="16541"/>
    <cellStyle name="Normal 57 7 2 3" xfId="886"/>
    <cellStyle name="Normal 57 7 2 3 2" xfId="3372"/>
    <cellStyle name="Normal 57 7 2 3 2 2" xfId="12516"/>
    <cellStyle name="Normal 57 7 2 3 2 2 2" xfId="22735"/>
    <cellStyle name="Normal 57 7 2 3 2 3" xfId="8938"/>
    <cellStyle name="Normal 57 7 2 3 2 4" xfId="17728"/>
    <cellStyle name="Normal 57 7 2 3 3" xfId="5050"/>
    <cellStyle name="Normal 57 7 2 3 3 2" xfId="13889"/>
    <cellStyle name="Normal 57 7 2 3 3 2 2" xfId="24140"/>
    <cellStyle name="Normal 57 7 2 3 3 3" xfId="10310"/>
    <cellStyle name="Normal 57 7 2 3 3 4" xfId="19133"/>
    <cellStyle name="Normal 57 7 2 3 4" xfId="2481"/>
    <cellStyle name="Normal 57 7 2 3 4 2" xfId="11848"/>
    <cellStyle name="Normal 57 7 2 3 4 3" xfId="21852"/>
    <cellStyle name="Normal 57 7 2 3 5" xfId="6507"/>
    <cellStyle name="Normal 57 7 2 3 5 2" xfId="15334"/>
    <cellStyle name="Normal 57 7 2 3 5 3" xfId="25585"/>
    <cellStyle name="Normal 57 7 2 3 6" xfId="7953"/>
    <cellStyle name="Normal 57 7 2 3 6 2" xfId="20334"/>
    <cellStyle name="Normal 57 7 2 3 7" xfId="16845"/>
    <cellStyle name="Normal 57 7 2 4" xfId="1353"/>
    <cellStyle name="Normal 57 7 2 4 2" xfId="3783"/>
    <cellStyle name="Normal 57 7 2 4 2 2" xfId="12921"/>
    <cellStyle name="Normal 57 7 2 4 2 2 2" xfId="23140"/>
    <cellStyle name="Normal 57 7 2 4 2 3" xfId="9342"/>
    <cellStyle name="Normal 57 7 2 4 2 4" xfId="18133"/>
    <cellStyle name="Normal 57 7 2 4 3" xfId="5446"/>
    <cellStyle name="Normal 57 7 2 4 3 2" xfId="14285"/>
    <cellStyle name="Normal 57 7 2 4 3 2 2" xfId="24536"/>
    <cellStyle name="Normal 57 7 2 4 3 3" xfId="10706"/>
    <cellStyle name="Normal 57 7 2 4 3 4" xfId="19529"/>
    <cellStyle name="Normal 57 7 2 4 4" xfId="1857"/>
    <cellStyle name="Normal 57 7 2 4 4 2" xfId="11227"/>
    <cellStyle name="Normal 57 7 2 4 4 3" xfId="21231"/>
    <cellStyle name="Normal 57 7 2 4 5" xfId="6903"/>
    <cellStyle name="Normal 57 7 2 4 5 2" xfId="15730"/>
    <cellStyle name="Normal 57 7 2 4 5 3" xfId="25981"/>
    <cellStyle name="Normal 57 7 2 4 6" xfId="8349"/>
    <cellStyle name="Normal 57 7 2 4 6 2" xfId="20739"/>
    <cellStyle name="Normal 57 7 2 4 7" xfId="16224"/>
    <cellStyle name="Normal 57 7 2 5" xfId="2751"/>
    <cellStyle name="Normal 57 7 2 5 2" xfId="12070"/>
    <cellStyle name="Normal 57 7 2 5 2 2" xfId="22114"/>
    <cellStyle name="Normal 57 7 2 5 3" xfId="8640"/>
    <cellStyle name="Normal 57 7 2 5 4" xfId="17107"/>
    <cellStyle name="Normal 57 7 2 6" xfId="4402"/>
    <cellStyle name="Normal 57 7 2 6 2" xfId="13242"/>
    <cellStyle name="Normal 57 7 2 6 2 2" xfId="23493"/>
    <cellStyle name="Normal 57 7 2 6 3" xfId="9663"/>
    <cellStyle name="Normal 57 7 2 6 4" xfId="18486"/>
    <cellStyle name="Normal 57 7 2 7" xfId="1674"/>
    <cellStyle name="Normal 57 7 2 7 2" xfId="11053"/>
    <cellStyle name="Normal 57 7 2 7 3" xfId="21057"/>
    <cellStyle name="Normal 57 7 2 8" xfId="5860"/>
    <cellStyle name="Normal 57 7 2 8 2" xfId="14687"/>
    <cellStyle name="Normal 57 7 2 8 3" xfId="24938"/>
    <cellStyle name="Normal 57 7 2 9" xfId="7304"/>
    <cellStyle name="Normal 57 7 2 9 2" xfId="19713"/>
    <cellStyle name="Normal 57 7 2_Degree data" xfId="3993"/>
    <cellStyle name="Normal 57 7 3" xfId="476"/>
    <cellStyle name="Normal 57 7 3 2" xfId="887"/>
    <cellStyle name="Normal 57 7 3 2 2" xfId="3373"/>
    <cellStyle name="Normal 57 7 3 2 2 2" xfId="12517"/>
    <cellStyle name="Normal 57 7 3 2 2 2 2" xfId="22736"/>
    <cellStyle name="Normal 57 7 3 2 2 3" xfId="8939"/>
    <cellStyle name="Normal 57 7 3 2 2 4" xfId="17729"/>
    <cellStyle name="Normal 57 7 3 2 3" xfId="4702"/>
    <cellStyle name="Normal 57 7 3 2 3 2" xfId="13542"/>
    <cellStyle name="Normal 57 7 3 2 3 2 2" xfId="23793"/>
    <cellStyle name="Normal 57 7 3 2 3 3" xfId="9963"/>
    <cellStyle name="Normal 57 7 3 2 3 4" xfId="18786"/>
    <cellStyle name="Normal 57 7 3 2 4" xfId="2482"/>
    <cellStyle name="Normal 57 7 3 2 4 2" xfId="11849"/>
    <cellStyle name="Normal 57 7 3 2 4 3" xfId="21853"/>
    <cellStyle name="Normal 57 7 3 2 5" xfId="6160"/>
    <cellStyle name="Normal 57 7 3 2 5 2" xfId="14987"/>
    <cellStyle name="Normal 57 7 3 2 5 3" xfId="25238"/>
    <cellStyle name="Normal 57 7 3 2 6" xfId="7605"/>
    <cellStyle name="Normal 57 7 3 2 6 2" xfId="20335"/>
    <cellStyle name="Normal 57 7 3 2 7" xfId="16846"/>
    <cellStyle name="Normal 57 7 3 3" xfId="1248"/>
    <cellStyle name="Normal 57 7 3 3 2" xfId="3678"/>
    <cellStyle name="Normal 57 7 3 3 2 2" xfId="12816"/>
    <cellStyle name="Normal 57 7 3 3 2 2 2" xfId="23035"/>
    <cellStyle name="Normal 57 7 3 3 2 3" xfId="9237"/>
    <cellStyle name="Normal 57 7 3 3 2 4" xfId="18028"/>
    <cellStyle name="Normal 57 7 3 3 3" xfId="5051"/>
    <cellStyle name="Normal 57 7 3 3 3 2" xfId="13890"/>
    <cellStyle name="Normal 57 7 3 3 3 2 2" xfId="24141"/>
    <cellStyle name="Normal 57 7 3 3 3 3" xfId="10311"/>
    <cellStyle name="Normal 57 7 3 3 3 4" xfId="19134"/>
    <cellStyle name="Normal 57 7 3 3 4" xfId="2072"/>
    <cellStyle name="Normal 57 7 3 3 4 2" xfId="11439"/>
    <cellStyle name="Normal 57 7 3 3 4 3" xfId="21443"/>
    <cellStyle name="Normal 57 7 3 3 5" xfId="6508"/>
    <cellStyle name="Normal 57 7 3 3 5 2" xfId="15335"/>
    <cellStyle name="Normal 57 7 3 3 5 3" xfId="25586"/>
    <cellStyle name="Normal 57 7 3 3 6" xfId="7954"/>
    <cellStyle name="Normal 57 7 3 3 6 2" xfId="20634"/>
    <cellStyle name="Normal 57 7 3 3 7" xfId="16436"/>
    <cellStyle name="Normal 57 7 3 4" xfId="2963"/>
    <cellStyle name="Normal 57 7 3 4 2" xfId="5341"/>
    <cellStyle name="Normal 57 7 3 4 2 2" xfId="14180"/>
    <cellStyle name="Normal 57 7 3 4 2 2 2" xfId="24431"/>
    <cellStyle name="Normal 57 7 3 4 2 3" xfId="10601"/>
    <cellStyle name="Normal 57 7 3 4 2 4" xfId="19424"/>
    <cellStyle name="Normal 57 7 3 4 3" xfId="6798"/>
    <cellStyle name="Normal 57 7 3 4 3 2" xfId="15625"/>
    <cellStyle name="Normal 57 7 3 4 3 3" xfId="25876"/>
    <cellStyle name="Normal 57 7 3 4 4" xfId="8244"/>
    <cellStyle name="Normal 57 7 3 4 4 2" xfId="22326"/>
    <cellStyle name="Normal 57 7 3 4 5" xfId="17319"/>
    <cellStyle name="Normal 57 7 3 5" xfId="4297"/>
    <cellStyle name="Normal 57 7 3 5 2" xfId="13137"/>
    <cellStyle name="Normal 57 7 3 5 2 2" xfId="23388"/>
    <cellStyle name="Normal 57 7 3 5 3" xfId="9558"/>
    <cellStyle name="Normal 57 7 3 5 4" xfId="18381"/>
    <cellStyle name="Normal 57 7 3 6" xfId="1569"/>
    <cellStyle name="Normal 57 7 3 6 2" xfId="10948"/>
    <cellStyle name="Normal 57 7 3 6 3" xfId="20952"/>
    <cellStyle name="Normal 57 7 3 7" xfId="5755"/>
    <cellStyle name="Normal 57 7 3 7 2" xfId="14582"/>
    <cellStyle name="Normal 57 7 3 7 3" xfId="24833"/>
    <cellStyle name="Normal 57 7 3 8" xfId="7199"/>
    <cellStyle name="Normal 57 7 3 8 2" xfId="19925"/>
    <cellStyle name="Normal 57 7 3 9" xfId="15945"/>
    <cellStyle name="Normal 57 7 3_Degree data" xfId="3994"/>
    <cellStyle name="Normal 57 7 4" xfId="376"/>
    <cellStyle name="Normal 57 7 4 2" xfId="2863"/>
    <cellStyle name="Normal 57 7 4 2 2" xfId="12153"/>
    <cellStyle name="Normal 57 7 4 2 2 2" xfId="22226"/>
    <cellStyle name="Normal 57 7 4 2 3" xfId="8624"/>
    <cellStyle name="Normal 57 7 4 2 4" xfId="17219"/>
    <cellStyle name="Normal 57 7 4 3" xfId="4700"/>
    <cellStyle name="Normal 57 7 4 3 2" xfId="13540"/>
    <cellStyle name="Normal 57 7 4 3 2 2" xfId="23791"/>
    <cellStyle name="Normal 57 7 4 3 3" xfId="9961"/>
    <cellStyle name="Normal 57 7 4 3 4" xfId="18784"/>
    <cellStyle name="Normal 57 7 4 4" xfId="1972"/>
    <cellStyle name="Normal 57 7 4 4 2" xfId="11339"/>
    <cellStyle name="Normal 57 7 4 4 3" xfId="21343"/>
    <cellStyle name="Normal 57 7 4 5" xfId="6158"/>
    <cellStyle name="Normal 57 7 4 5 2" xfId="14985"/>
    <cellStyle name="Normal 57 7 4 5 3" xfId="25236"/>
    <cellStyle name="Normal 57 7 4 6" xfId="7603"/>
    <cellStyle name="Normal 57 7 4 6 2" xfId="19825"/>
    <cellStyle name="Normal 57 7 4 7" xfId="16336"/>
    <cellStyle name="Normal 57 7 5" xfId="885"/>
    <cellStyle name="Normal 57 7 5 2" xfId="3371"/>
    <cellStyle name="Normal 57 7 5 2 2" xfId="12515"/>
    <cellStyle name="Normal 57 7 5 2 2 2" xfId="22734"/>
    <cellStyle name="Normal 57 7 5 2 3" xfId="8937"/>
    <cellStyle name="Normal 57 7 5 2 4" xfId="17727"/>
    <cellStyle name="Normal 57 7 5 3" xfId="5049"/>
    <cellStyle name="Normal 57 7 5 3 2" xfId="13888"/>
    <cellStyle name="Normal 57 7 5 3 2 2" xfId="24139"/>
    <cellStyle name="Normal 57 7 5 3 3" xfId="10309"/>
    <cellStyle name="Normal 57 7 5 3 4" xfId="19132"/>
    <cellStyle name="Normal 57 7 5 4" xfId="2480"/>
    <cellStyle name="Normal 57 7 5 4 2" xfId="11847"/>
    <cellStyle name="Normal 57 7 5 4 3" xfId="21851"/>
    <cellStyle name="Normal 57 7 5 5" xfId="6506"/>
    <cellStyle name="Normal 57 7 5 5 2" xfId="15333"/>
    <cellStyle name="Normal 57 7 5 5 3" xfId="25584"/>
    <cellStyle name="Normal 57 7 5 6" xfId="7952"/>
    <cellStyle name="Normal 57 7 5 6 2" xfId="20333"/>
    <cellStyle name="Normal 57 7 5 7" xfId="16844"/>
    <cellStyle name="Normal 57 7 6" xfId="1148"/>
    <cellStyle name="Normal 57 7 6 2" xfId="3578"/>
    <cellStyle name="Normal 57 7 6 2 2" xfId="12716"/>
    <cellStyle name="Normal 57 7 6 2 2 2" xfId="22935"/>
    <cellStyle name="Normal 57 7 6 2 3" xfId="9137"/>
    <cellStyle name="Normal 57 7 6 2 4" xfId="17928"/>
    <cellStyle name="Normal 57 7 6 3" xfId="5241"/>
    <cellStyle name="Normal 57 7 6 3 2" xfId="14080"/>
    <cellStyle name="Normal 57 7 6 3 2 2" xfId="24331"/>
    <cellStyle name="Normal 57 7 6 3 3" xfId="10501"/>
    <cellStyle name="Normal 57 7 6 3 4" xfId="19324"/>
    <cellStyle name="Normal 57 7 6 4" xfId="1748"/>
    <cellStyle name="Normal 57 7 6 4 2" xfId="11121"/>
    <cellStyle name="Normal 57 7 6 4 3" xfId="21125"/>
    <cellStyle name="Normal 57 7 6 5" xfId="6698"/>
    <cellStyle name="Normal 57 7 6 5 2" xfId="15525"/>
    <cellStyle name="Normal 57 7 6 5 3" xfId="25776"/>
    <cellStyle name="Normal 57 7 6 6" xfId="8144"/>
    <cellStyle name="Normal 57 7 6 6 2" xfId="20534"/>
    <cellStyle name="Normal 57 7 6 7" xfId="16118"/>
    <cellStyle name="Normal 57 7 7" xfId="2646"/>
    <cellStyle name="Normal 57 7 7 2" xfId="11980"/>
    <cellStyle name="Normal 57 7 7 2 2" xfId="22009"/>
    <cellStyle name="Normal 57 7 7 3" xfId="8400"/>
    <cellStyle name="Normal 57 7 7 4" xfId="17002"/>
    <cellStyle name="Normal 57 7 8" xfId="4197"/>
    <cellStyle name="Normal 57 7 8 2" xfId="13037"/>
    <cellStyle name="Normal 57 7 8 2 2" xfId="23288"/>
    <cellStyle name="Normal 57 7 8 3" xfId="9458"/>
    <cellStyle name="Normal 57 7 8 4" xfId="18281"/>
    <cellStyle name="Normal 57 7 9" xfId="1469"/>
    <cellStyle name="Normal 57 7 9 2" xfId="10848"/>
    <cellStyle name="Normal 57 7 9 3" xfId="20852"/>
    <cellStyle name="Normal 57 7_Degree data" xfId="3992"/>
    <cellStyle name="Normal 57 8" xfId="178"/>
    <cellStyle name="Normal 57 8 10" xfId="7129"/>
    <cellStyle name="Normal 57 8 10 2" xfId="19638"/>
    <cellStyle name="Normal 57 8 11" xfId="15875"/>
    <cellStyle name="Normal 57 8 2" xfId="506"/>
    <cellStyle name="Normal 57 8 2 2" xfId="889"/>
    <cellStyle name="Normal 57 8 2 2 2" xfId="3375"/>
    <cellStyle name="Normal 57 8 2 2 2 2" xfId="12519"/>
    <cellStyle name="Normal 57 8 2 2 2 2 2" xfId="22738"/>
    <cellStyle name="Normal 57 8 2 2 2 3" xfId="8941"/>
    <cellStyle name="Normal 57 8 2 2 2 4" xfId="17731"/>
    <cellStyle name="Normal 57 8 2 2 3" xfId="4704"/>
    <cellStyle name="Normal 57 8 2 2 3 2" xfId="13544"/>
    <cellStyle name="Normal 57 8 2 2 3 2 2" xfId="23795"/>
    <cellStyle name="Normal 57 8 2 2 3 3" xfId="9965"/>
    <cellStyle name="Normal 57 8 2 2 3 4" xfId="18788"/>
    <cellStyle name="Normal 57 8 2 2 4" xfId="2484"/>
    <cellStyle name="Normal 57 8 2 2 4 2" xfId="11851"/>
    <cellStyle name="Normal 57 8 2 2 4 3" xfId="21855"/>
    <cellStyle name="Normal 57 8 2 2 5" xfId="6162"/>
    <cellStyle name="Normal 57 8 2 2 5 2" xfId="14989"/>
    <cellStyle name="Normal 57 8 2 2 5 3" xfId="25240"/>
    <cellStyle name="Normal 57 8 2 2 6" xfId="7607"/>
    <cellStyle name="Normal 57 8 2 2 6 2" xfId="20337"/>
    <cellStyle name="Normal 57 8 2 2 7" xfId="16848"/>
    <cellStyle name="Normal 57 8 2 3" xfId="1278"/>
    <cellStyle name="Normal 57 8 2 3 2" xfId="3708"/>
    <cellStyle name="Normal 57 8 2 3 2 2" xfId="12846"/>
    <cellStyle name="Normal 57 8 2 3 2 2 2" xfId="23065"/>
    <cellStyle name="Normal 57 8 2 3 2 3" xfId="9267"/>
    <cellStyle name="Normal 57 8 2 3 2 4" xfId="18058"/>
    <cellStyle name="Normal 57 8 2 3 3" xfId="5053"/>
    <cellStyle name="Normal 57 8 2 3 3 2" xfId="13892"/>
    <cellStyle name="Normal 57 8 2 3 3 2 2" xfId="24143"/>
    <cellStyle name="Normal 57 8 2 3 3 3" xfId="10313"/>
    <cellStyle name="Normal 57 8 2 3 3 4" xfId="19136"/>
    <cellStyle name="Normal 57 8 2 3 4" xfId="2102"/>
    <cellStyle name="Normal 57 8 2 3 4 2" xfId="11469"/>
    <cellStyle name="Normal 57 8 2 3 4 3" xfId="21473"/>
    <cellStyle name="Normal 57 8 2 3 5" xfId="6510"/>
    <cellStyle name="Normal 57 8 2 3 5 2" xfId="15337"/>
    <cellStyle name="Normal 57 8 2 3 5 3" xfId="25588"/>
    <cellStyle name="Normal 57 8 2 3 6" xfId="7956"/>
    <cellStyle name="Normal 57 8 2 3 6 2" xfId="20664"/>
    <cellStyle name="Normal 57 8 2 3 7" xfId="16466"/>
    <cellStyle name="Normal 57 8 2 4" xfId="2993"/>
    <cellStyle name="Normal 57 8 2 4 2" xfId="5371"/>
    <cellStyle name="Normal 57 8 2 4 2 2" xfId="14210"/>
    <cellStyle name="Normal 57 8 2 4 2 2 2" xfId="24461"/>
    <cellStyle name="Normal 57 8 2 4 2 3" xfId="10631"/>
    <cellStyle name="Normal 57 8 2 4 2 4" xfId="19454"/>
    <cellStyle name="Normal 57 8 2 4 3" xfId="6828"/>
    <cellStyle name="Normal 57 8 2 4 3 2" xfId="15655"/>
    <cellStyle name="Normal 57 8 2 4 3 3" xfId="25906"/>
    <cellStyle name="Normal 57 8 2 4 4" xfId="8274"/>
    <cellStyle name="Normal 57 8 2 4 4 2" xfId="22356"/>
    <cellStyle name="Normal 57 8 2 4 5" xfId="17349"/>
    <cellStyle name="Normal 57 8 2 5" xfId="4327"/>
    <cellStyle name="Normal 57 8 2 5 2" xfId="13167"/>
    <cellStyle name="Normal 57 8 2 5 2 2" xfId="23418"/>
    <cellStyle name="Normal 57 8 2 5 3" xfId="9588"/>
    <cellStyle name="Normal 57 8 2 5 4" xfId="18411"/>
    <cellStyle name="Normal 57 8 2 6" xfId="1599"/>
    <cellStyle name="Normal 57 8 2 6 2" xfId="10978"/>
    <cellStyle name="Normal 57 8 2 6 3" xfId="20982"/>
    <cellStyle name="Normal 57 8 2 7" xfId="5785"/>
    <cellStyle name="Normal 57 8 2 7 2" xfId="14612"/>
    <cellStyle name="Normal 57 8 2 7 3" xfId="24863"/>
    <cellStyle name="Normal 57 8 2 8" xfId="7229"/>
    <cellStyle name="Normal 57 8 2 8 2" xfId="19955"/>
    <cellStyle name="Normal 57 8 2 9" xfId="15975"/>
    <cellStyle name="Normal 57 8 2_Degree data" xfId="3996"/>
    <cellStyle name="Normal 57 8 3" xfId="406"/>
    <cellStyle name="Normal 57 8 3 2" xfId="2893"/>
    <cellStyle name="Normal 57 8 3 2 2" xfId="12183"/>
    <cellStyle name="Normal 57 8 3 2 2 2" xfId="22256"/>
    <cellStyle name="Normal 57 8 3 2 3" xfId="8449"/>
    <cellStyle name="Normal 57 8 3 2 4" xfId="17249"/>
    <cellStyle name="Normal 57 8 3 3" xfId="4703"/>
    <cellStyle name="Normal 57 8 3 3 2" xfId="13543"/>
    <cellStyle name="Normal 57 8 3 3 2 2" xfId="23794"/>
    <cellStyle name="Normal 57 8 3 3 3" xfId="9964"/>
    <cellStyle name="Normal 57 8 3 3 4" xfId="18787"/>
    <cellStyle name="Normal 57 8 3 4" xfId="2002"/>
    <cellStyle name="Normal 57 8 3 4 2" xfId="11369"/>
    <cellStyle name="Normal 57 8 3 4 3" xfId="21373"/>
    <cellStyle name="Normal 57 8 3 5" xfId="6161"/>
    <cellStyle name="Normal 57 8 3 5 2" xfId="14988"/>
    <cellStyle name="Normal 57 8 3 5 3" xfId="25239"/>
    <cellStyle name="Normal 57 8 3 6" xfId="7606"/>
    <cellStyle name="Normal 57 8 3 6 2" xfId="19855"/>
    <cellStyle name="Normal 57 8 3 7" xfId="16366"/>
    <cellStyle name="Normal 57 8 4" xfId="888"/>
    <cellStyle name="Normal 57 8 4 2" xfId="3374"/>
    <cellStyle name="Normal 57 8 4 2 2" xfId="12518"/>
    <cellStyle name="Normal 57 8 4 2 2 2" xfId="22737"/>
    <cellStyle name="Normal 57 8 4 2 3" xfId="8940"/>
    <cellStyle name="Normal 57 8 4 2 4" xfId="17730"/>
    <cellStyle name="Normal 57 8 4 3" xfId="5052"/>
    <cellStyle name="Normal 57 8 4 3 2" xfId="13891"/>
    <cellStyle name="Normal 57 8 4 3 2 2" xfId="24142"/>
    <cellStyle name="Normal 57 8 4 3 3" xfId="10312"/>
    <cellStyle name="Normal 57 8 4 3 4" xfId="19135"/>
    <cellStyle name="Normal 57 8 4 4" xfId="2483"/>
    <cellStyle name="Normal 57 8 4 4 2" xfId="11850"/>
    <cellStyle name="Normal 57 8 4 4 3" xfId="21854"/>
    <cellStyle name="Normal 57 8 4 5" xfId="6509"/>
    <cellStyle name="Normal 57 8 4 5 2" xfId="15336"/>
    <cellStyle name="Normal 57 8 4 5 3" xfId="25587"/>
    <cellStyle name="Normal 57 8 4 6" xfId="7955"/>
    <cellStyle name="Normal 57 8 4 6 2" xfId="20336"/>
    <cellStyle name="Normal 57 8 4 7" xfId="16847"/>
    <cellStyle name="Normal 57 8 5" xfId="1178"/>
    <cellStyle name="Normal 57 8 5 2" xfId="3608"/>
    <cellStyle name="Normal 57 8 5 2 2" xfId="12746"/>
    <cellStyle name="Normal 57 8 5 2 2 2" xfId="22965"/>
    <cellStyle name="Normal 57 8 5 2 3" xfId="9167"/>
    <cellStyle name="Normal 57 8 5 2 4" xfId="17958"/>
    <cellStyle name="Normal 57 8 5 3" xfId="5271"/>
    <cellStyle name="Normal 57 8 5 3 2" xfId="14110"/>
    <cellStyle name="Normal 57 8 5 3 2 2" xfId="24361"/>
    <cellStyle name="Normal 57 8 5 3 3" xfId="10531"/>
    <cellStyle name="Normal 57 8 5 3 4" xfId="19354"/>
    <cellStyle name="Normal 57 8 5 4" xfId="1781"/>
    <cellStyle name="Normal 57 8 5 4 2" xfId="11152"/>
    <cellStyle name="Normal 57 8 5 4 3" xfId="21156"/>
    <cellStyle name="Normal 57 8 5 5" xfId="6728"/>
    <cellStyle name="Normal 57 8 5 5 2" xfId="15555"/>
    <cellStyle name="Normal 57 8 5 5 3" xfId="25806"/>
    <cellStyle name="Normal 57 8 5 6" xfId="8174"/>
    <cellStyle name="Normal 57 8 5 6 2" xfId="20564"/>
    <cellStyle name="Normal 57 8 5 7" xfId="16149"/>
    <cellStyle name="Normal 57 8 6" xfId="2676"/>
    <cellStyle name="Normal 57 8 6 2" xfId="11995"/>
    <cellStyle name="Normal 57 8 6 2 2" xfId="22039"/>
    <cellStyle name="Normal 57 8 6 3" xfId="8579"/>
    <cellStyle name="Normal 57 8 6 4" xfId="17032"/>
    <cellStyle name="Normal 57 8 7" xfId="4227"/>
    <cellStyle name="Normal 57 8 7 2" xfId="13067"/>
    <cellStyle name="Normal 57 8 7 2 2" xfId="23318"/>
    <cellStyle name="Normal 57 8 7 3" xfId="9488"/>
    <cellStyle name="Normal 57 8 7 4" xfId="18311"/>
    <cellStyle name="Normal 57 8 8" xfId="1499"/>
    <cellStyle name="Normal 57 8 8 2" xfId="10878"/>
    <cellStyle name="Normal 57 8 8 3" xfId="20882"/>
    <cellStyle name="Normal 57 8 9" xfId="5685"/>
    <cellStyle name="Normal 57 8 9 2" xfId="14512"/>
    <cellStyle name="Normal 57 8 9 3" xfId="24763"/>
    <cellStyle name="Normal 57 8_Degree data" xfId="3995"/>
    <cellStyle name="Normal 57 9" xfId="231"/>
    <cellStyle name="Normal 57 9 10" xfId="7072"/>
    <cellStyle name="Normal 57 9 10 2" xfId="19686"/>
    <cellStyle name="Normal 57 9 11" xfId="15818"/>
    <cellStyle name="Normal 57 9 2" xfId="554"/>
    <cellStyle name="Normal 57 9 2 2" xfId="891"/>
    <cellStyle name="Normal 57 9 2 2 2" xfId="3377"/>
    <cellStyle name="Normal 57 9 2 2 2 2" xfId="12521"/>
    <cellStyle name="Normal 57 9 2 2 2 2 2" xfId="22740"/>
    <cellStyle name="Normal 57 9 2 2 2 3" xfId="8943"/>
    <cellStyle name="Normal 57 9 2 2 2 4" xfId="17733"/>
    <cellStyle name="Normal 57 9 2 2 3" xfId="4706"/>
    <cellStyle name="Normal 57 9 2 2 3 2" xfId="13546"/>
    <cellStyle name="Normal 57 9 2 2 3 2 2" xfId="23797"/>
    <cellStyle name="Normal 57 9 2 2 3 3" xfId="9967"/>
    <cellStyle name="Normal 57 9 2 2 3 4" xfId="18790"/>
    <cellStyle name="Normal 57 9 2 2 4" xfId="2486"/>
    <cellStyle name="Normal 57 9 2 2 4 2" xfId="11853"/>
    <cellStyle name="Normal 57 9 2 2 4 3" xfId="21857"/>
    <cellStyle name="Normal 57 9 2 2 5" xfId="6164"/>
    <cellStyle name="Normal 57 9 2 2 5 2" xfId="14991"/>
    <cellStyle name="Normal 57 9 2 2 5 3" xfId="25242"/>
    <cellStyle name="Normal 57 9 2 2 6" xfId="7609"/>
    <cellStyle name="Normal 57 9 2 2 6 2" xfId="20339"/>
    <cellStyle name="Normal 57 9 2 2 7" xfId="16850"/>
    <cellStyle name="Normal 57 9 2 3" xfId="1326"/>
    <cellStyle name="Normal 57 9 2 3 2" xfId="3756"/>
    <cellStyle name="Normal 57 9 2 3 2 2" xfId="12894"/>
    <cellStyle name="Normal 57 9 2 3 2 2 2" xfId="23113"/>
    <cellStyle name="Normal 57 9 2 3 2 3" xfId="9315"/>
    <cellStyle name="Normal 57 9 2 3 2 4" xfId="18106"/>
    <cellStyle name="Normal 57 9 2 3 3" xfId="5055"/>
    <cellStyle name="Normal 57 9 2 3 3 2" xfId="13894"/>
    <cellStyle name="Normal 57 9 2 3 3 2 2" xfId="24145"/>
    <cellStyle name="Normal 57 9 2 3 3 3" xfId="10315"/>
    <cellStyle name="Normal 57 9 2 3 3 4" xfId="19138"/>
    <cellStyle name="Normal 57 9 2 3 4" xfId="2150"/>
    <cellStyle name="Normal 57 9 2 3 4 2" xfId="11517"/>
    <cellStyle name="Normal 57 9 2 3 4 3" xfId="21521"/>
    <cellStyle name="Normal 57 9 2 3 5" xfId="6512"/>
    <cellStyle name="Normal 57 9 2 3 5 2" xfId="15339"/>
    <cellStyle name="Normal 57 9 2 3 5 3" xfId="25590"/>
    <cellStyle name="Normal 57 9 2 3 6" xfId="7958"/>
    <cellStyle name="Normal 57 9 2 3 6 2" xfId="20712"/>
    <cellStyle name="Normal 57 9 2 3 7" xfId="16514"/>
    <cellStyle name="Normal 57 9 2 4" xfId="3041"/>
    <cellStyle name="Normal 57 9 2 4 2" xfId="5419"/>
    <cellStyle name="Normal 57 9 2 4 2 2" xfId="14258"/>
    <cellStyle name="Normal 57 9 2 4 2 2 2" xfId="24509"/>
    <cellStyle name="Normal 57 9 2 4 2 3" xfId="10679"/>
    <cellStyle name="Normal 57 9 2 4 2 4" xfId="19502"/>
    <cellStyle name="Normal 57 9 2 4 3" xfId="6876"/>
    <cellStyle name="Normal 57 9 2 4 3 2" xfId="15703"/>
    <cellStyle name="Normal 57 9 2 4 3 3" xfId="25954"/>
    <cellStyle name="Normal 57 9 2 4 4" xfId="8322"/>
    <cellStyle name="Normal 57 9 2 4 4 2" xfId="22404"/>
    <cellStyle name="Normal 57 9 2 4 5" xfId="17397"/>
    <cellStyle name="Normal 57 9 2 5" xfId="4375"/>
    <cellStyle name="Normal 57 9 2 5 2" xfId="13215"/>
    <cellStyle name="Normal 57 9 2 5 2 2" xfId="23466"/>
    <cellStyle name="Normal 57 9 2 5 3" xfId="9636"/>
    <cellStyle name="Normal 57 9 2 5 4" xfId="18459"/>
    <cellStyle name="Normal 57 9 2 6" xfId="1647"/>
    <cellStyle name="Normal 57 9 2 6 2" xfId="11026"/>
    <cellStyle name="Normal 57 9 2 6 3" xfId="21030"/>
    <cellStyle name="Normal 57 9 2 7" xfId="5833"/>
    <cellStyle name="Normal 57 9 2 7 2" xfId="14660"/>
    <cellStyle name="Normal 57 9 2 7 3" xfId="24911"/>
    <cellStyle name="Normal 57 9 2 8" xfId="7277"/>
    <cellStyle name="Normal 57 9 2 8 2" xfId="20003"/>
    <cellStyle name="Normal 57 9 2 9" xfId="16023"/>
    <cellStyle name="Normal 57 9 2_Degree data" xfId="3998"/>
    <cellStyle name="Normal 57 9 3" xfId="349"/>
    <cellStyle name="Normal 57 9 3 2" xfId="2836"/>
    <cellStyle name="Normal 57 9 3 2 2" xfId="12126"/>
    <cellStyle name="Normal 57 9 3 2 2 2" xfId="22199"/>
    <cellStyle name="Normal 57 9 3 2 3" xfId="8479"/>
    <cellStyle name="Normal 57 9 3 2 4" xfId="17192"/>
    <cellStyle name="Normal 57 9 3 3" xfId="4705"/>
    <cellStyle name="Normal 57 9 3 3 2" xfId="13545"/>
    <cellStyle name="Normal 57 9 3 3 2 2" xfId="23796"/>
    <cellStyle name="Normal 57 9 3 3 3" xfId="9966"/>
    <cellStyle name="Normal 57 9 3 3 4" xfId="18789"/>
    <cellStyle name="Normal 57 9 3 4" xfId="1945"/>
    <cellStyle name="Normal 57 9 3 4 2" xfId="11312"/>
    <cellStyle name="Normal 57 9 3 4 3" xfId="21316"/>
    <cellStyle name="Normal 57 9 3 5" xfId="6163"/>
    <cellStyle name="Normal 57 9 3 5 2" xfId="14990"/>
    <cellStyle name="Normal 57 9 3 5 3" xfId="25241"/>
    <cellStyle name="Normal 57 9 3 6" xfId="7608"/>
    <cellStyle name="Normal 57 9 3 6 2" xfId="19798"/>
    <cellStyle name="Normal 57 9 3 7" xfId="16309"/>
    <cellStyle name="Normal 57 9 4" xfId="890"/>
    <cellStyle name="Normal 57 9 4 2" xfId="3376"/>
    <cellStyle name="Normal 57 9 4 2 2" xfId="12520"/>
    <cellStyle name="Normal 57 9 4 2 2 2" xfId="22739"/>
    <cellStyle name="Normal 57 9 4 2 3" xfId="8942"/>
    <cellStyle name="Normal 57 9 4 2 4" xfId="17732"/>
    <cellStyle name="Normal 57 9 4 3" xfId="5054"/>
    <cellStyle name="Normal 57 9 4 3 2" xfId="13893"/>
    <cellStyle name="Normal 57 9 4 3 2 2" xfId="24144"/>
    <cellStyle name="Normal 57 9 4 3 3" xfId="10314"/>
    <cellStyle name="Normal 57 9 4 3 4" xfId="19137"/>
    <cellStyle name="Normal 57 9 4 4" xfId="2485"/>
    <cellStyle name="Normal 57 9 4 4 2" xfId="11852"/>
    <cellStyle name="Normal 57 9 4 4 3" xfId="21856"/>
    <cellStyle name="Normal 57 9 4 5" xfId="6511"/>
    <cellStyle name="Normal 57 9 4 5 2" xfId="15338"/>
    <cellStyle name="Normal 57 9 4 5 3" xfId="25589"/>
    <cellStyle name="Normal 57 9 4 6" xfId="7957"/>
    <cellStyle name="Normal 57 9 4 6 2" xfId="20338"/>
    <cellStyle name="Normal 57 9 4 7" xfId="16849"/>
    <cellStyle name="Normal 57 9 5" xfId="1121"/>
    <cellStyle name="Normal 57 9 5 2" xfId="3551"/>
    <cellStyle name="Normal 57 9 5 2 2" xfId="12689"/>
    <cellStyle name="Normal 57 9 5 2 2 2" xfId="22908"/>
    <cellStyle name="Normal 57 9 5 2 3" xfId="9110"/>
    <cellStyle name="Normal 57 9 5 2 4" xfId="17901"/>
    <cellStyle name="Normal 57 9 5 3" xfId="5214"/>
    <cellStyle name="Normal 57 9 5 3 2" xfId="14053"/>
    <cellStyle name="Normal 57 9 5 3 2 2" xfId="24304"/>
    <cellStyle name="Normal 57 9 5 3 3" xfId="10474"/>
    <cellStyle name="Normal 57 9 5 3 4" xfId="19297"/>
    <cellStyle name="Normal 57 9 5 4" xfId="1830"/>
    <cellStyle name="Normal 57 9 5 4 2" xfId="11200"/>
    <cellStyle name="Normal 57 9 5 4 3" xfId="21204"/>
    <cellStyle name="Normal 57 9 5 5" xfId="6671"/>
    <cellStyle name="Normal 57 9 5 5 2" xfId="15498"/>
    <cellStyle name="Normal 57 9 5 5 3" xfId="25749"/>
    <cellStyle name="Normal 57 9 5 6" xfId="8117"/>
    <cellStyle name="Normal 57 9 5 6 2" xfId="20507"/>
    <cellStyle name="Normal 57 9 5 7" xfId="16197"/>
    <cellStyle name="Normal 57 9 6" xfId="2724"/>
    <cellStyle name="Normal 57 9 6 2" xfId="12043"/>
    <cellStyle name="Normal 57 9 6 2 2" xfId="22087"/>
    <cellStyle name="Normal 57 9 6 3" xfId="8625"/>
    <cellStyle name="Normal 57 9 6 4" xfId="17080"/>
    <cellStyle name="Normal 57 9 7" xfId="4170"/>
    <cellStyle name="Normal 57 9 7 2" xfId="13010"/>
    <cellStyle name="Normal 57 9 7 2 2" xfId="23261"/>
    <cellStyle name="Normal 57 9 7 3" xfId="9431"/>
    <cellStyle name="Normal 57 9 7 4" xfId="18254"/>
    <cellStyle name="Normal 57 9 8" xfId="1442"/>
    <cellStyle name="Normal 57 9 8 2" xfId="10821"/>
    <cellStyle name="Normal 57 9 8 3" xfId="20825"/>
    <cellStyle name="Normal 57 9 9" xfId="5628"/>
    <cellStyle name="Normal 57 9 9 2" xfId="14455"/>
    <cellStyle name="Normal 57 9 9 3" xfId="24706"/>
    <cellStyle name="Normal 57 9_Degree data" xfId="3997"/>
    <cellStyle name="Normal 57_Degree data" xfId="3941"/>
    <cellStyle name="Normal 58" xfId="47"/>
    <cellStyle name="Normal 58 10" xfId="450"/>
    <cellStyle name="Normal 58 10 2" xfId="893"/>
    <cellStyle name="Normal 58 10 2 2" xfId="3379"/>
    <cellStyle name="Normal 58 10 2 2 2" xfId="12523"/>
    <cellStyle name="Normal 58 10 2 2 2 2" xfId="22742"/>
    <cellStyle name="Normal 58 10 2 2 3" xfId="8945"/>
    <cellStyle name="Normal 58 10 2 2 4" xfId="17735"/>
    <cellStyle name="Normal 58 10 2 3" xfId="4708"/>
    <cellStyle name="Normal 58 10 2 3 2" xfId="13548"/>
    <cellStyle name="Normal 58 10 2 3 2 2" xfId="23799"/>
    <cellStyle name="Normal 58 10 2 3 3" xfId="9969"/>
    <cellStyle name="Normal 58 10 2 3 4" xfId="18792"/>
    <cellStyle name="Normal 58 10 2 4" xfId="2488"/>
    <cellStyle name="Normal 58 10 2 4 2" xfId="11855"/>
    <cellStyle name="Normal 58 10 2 4 3" xfId="21859"/>
    <cellStyle name="Normal 58 10 2 5" xfId="6166"/>
    <cellStyle name="Normal 58 10 2 5 2" xfId="14993"/>
    <cellStyle name="Normal 58 10 2 5 3" xfId="25244"/>
    <cellStyle name="Normal 58 10 2 6" xfId="7611"/>
    <cellStyle name="Normal 58 10 2 6 2" xfId="20341"/>
    <cellStyle name="Normal 58 10 2 7" xfId="16852"/>
    <cellStyle name="Normal 58 10 3" xfId="1222"/>
    <cellStyle name="Normal 58 10 3 2" xfId="3652"/>
    <cellStyle name="Normal 58 10 3 2 2" xfId="12790"/>
    <cellStyle name="Normal 58 10 3 2 2 2" xfId="23009"/>
    <cellStyle name="Normal 58 10 3 2 3" xfId="9211"/>
    <cellStyle name="Normal 58 10 3 2 4" xfId="18002"/>
    <cellStyle name="Normal 58 10 3 3" xfId="5057"/>
    <cellStyle name="Normal 58 10 3 3 2" xfId="13896"/>
    <cellStyle name="Normal 58 10 3 3 2 2" xfId="24147"/>
    <cellStyle name="Normal 58 10 3 3 3" xfId="10317"/>
    <cellStyle name="Normal 58 10 3 3 4" xfId="19140"/>
    <cellStyle name="Normal 58 10 3 4" xfId="2046"/>
    <cellStyle name="Normal 58 10 3 4 2" xfId="11413"/>
    <cellStyle name="Normal 58 10 3 4 3" xfId="21417"/>
    <cellStyle name="Normal 58 10 3 5" xfId="6514"/>
    <cellStyle name="Normal 58 10 3 5 2" xfId="15341"/>
    <cellStyle name="Normal 58 10 3 5 3" xfId="25592"/>
    <cellStyle name="Normal 58 10 3 6" xfId="7960"/>
    <cellStyle name="Normal 58 10 3 6 2" xfId="20608"/>
    <cellStyle name="Normal 58 10 3 7" xfId="16410"/>
    <cellStyle name="Normal 58 10 4" xfId="2937"/>
    <cellStyle name="Normal 58 10 4 2" xfId="5315"/>
    <cellStyle name="Normal 58 10 4 2 2" xfId="14154"/>
    <cellStyle name="Normal 58 10 4 2 2 2" xfId="24405"/>
    <cellStyle name="Normal 58 10 4 2 3" xfId="10575"/>
    <cellStyle name="Normal 58 10 4 2 4" xfId="19398"/>
    <cellStyle name="Normal 58 10 4 3" xfId="6772"/>
    <cellStyle name="Normal 58 10 4 3 2" xfId="15599"/>
    <cellStyle name="Normal 58 10 4 3 3" xfId="25850"/>
    <cellStyle name="Normal 58 10 4 4" xfId="8218"/>
    <cellStyle name="Normal 58 10 4 4 2" xfId="22300"/>
    <cellStyle name="Normal 58 10 4 5" xfId="17293"/>
    <cellStyle name="Normal 58 10 5" xfId="4271"/>
    <cellStyle name="Normal 58 10 5 2" xfId="13111"/>
    <cellStyle name="Normal 58 10 5 2 2" xfId="23362"/>
    <cellStyle name="Normal 58 10 5 3" xfId="9532"/>
    <cellStyle name="Normal 58 10 5 4" xfId="18355"/>
    <cellStyle name="Normal 58 10 6" xfId="1543"/>
    <cellStyle name="Normal 58 10 6 2" xfId="10922"/>
    <cellStyle name="Normal 58 10 6 3" xfId="20926"/>
    <cellStyle name="Normal 58 10 7" xfId="5729"/>
    <cellStyle name="Normal 58 10 7 2" xfId="14556"/>
    <cellStyle name="Normal 58 10 7 3" xfId="24807"/>
    <cellStyle name="Normal 58 10 8" xfId="7173"/>
    <cellStyle name="Normal 58 10 8 2" xfId="19899"/>
    <cellStyle name="Normal 58 10 9" xfId="15919"/>
    <cellStyle name="Normal 58 10_Degree data" xfId="4000"/>
    <cellStyle name="Normal 58 11" xfId="306"/>
    <cellStyle name="Normal 58 11 2" xfId="894"/>
    <cellStyle name="Normal 58 11 2 2" xfId="3380"/>
    <cellStyle name="Normal 58 11 2 2 2" xfId="12524"/>
    <cellStyle name="Normal 58 11 2 2 2 2" xfId="22743"/>
    <cellStyle name="Normal 58 11 2 2 3" xfId="8946"/>
    <cellStyle name="Normal 58 11 2 2 4" xfId="17736"/>
    <cellStyle name="Normal 58 11 2 3" xfId="4709"/>
    <cellStyle name="Normal 58 11 2 3 2" xfId="13549"/>
    <cellStyle name="Normal 58 11 2 3 2 2" xfId="23800"/>
    <cellStyle name="Normal 58 11 2 3 3" xfId="9970"/>
    <cellStyle name="Normal 58 11 2 3 4" xfId="18793"/>
    <cellStyle name="Normal 58 11 2 4" xfId="2489"/>
    <cellStyle name="Normal 58 11 2 4 2" xfId="11856"/>
    <cellStyle name="Normal 58 11 2 4 3" xfId="21860"/>
    <cellStyle name="Normal 58 11 2 5" xfId="6167"/>
    <cellStyle name="Normal 58 11 2 5 2" xfId="14994"/>
    <cellStyle name="Normal 58 11 2 5 3" xfId="25245"/>
    <cellStyle name="Normal 58 11 2 6" xfId="7612"/>
    <cellStyle name="Normal 58 11 2 6 2" xfId="20342"/>
    <cellStyle name="Normal 58 11 2 7" xfId="16853"/>
    <cellStyle name="Normal 58 11 3" xfId="1078"/>
    <cellStyle name="Normal 58 11 3 2" xfId="3508"/>
    <cellStyle name="Normal 58 11 3 2 2" xfId="12646"/>
    <cellStyle name="Normal 58 11 3 2 2 2" xfId="22865"/>
    <cellStyle name="Normal 58 11 3 2 3" xfId="9068"/>
    <cellStyle name="Normal 58 11 3 2 4" xfId="17858"/>
    <cellStyle name="Normal 58 11 3 3" xfId="5058"/>
    <cellStyle name="Normal 58 11 3 3 2" xfId="13897"/>
    <cellStyle name="Normal 58 11 3 3 2 2" xfId="24148"/>
    <cellStyle name="Normal 58 11 3 3 3" xfId="10318"/>
    <cellStyle name="Normal 58 11 3 3 4" xfId="19141"/>
    <cellStyle name="Normal 58 11 3 4" xfId="2604"/>
    <cellStyle name="Normal 58 11 3 4 2" xfId="11970"/>
    <cellStyle name="Normal 58 11 3 4 3" xfId="21974"/>
    <cellStyle name="Normal 58 11 3 5" xfId="6515"/>
    <cellStyle name="Normal 58 11 3 5 2" xfId="15342"/>
    <cellStyle name="Normal 58 11 3 5 3" xfId="25593"/>
    <cellStyle name="Normal 58 11 3 6" xfId="7961"/>
    <cellStyle name="Normal 58 11 3 6 2" xfId="20464"/>
    <cellStyle name="Normal 58 11 3 7" xfId="16967"/>
    <cellStyle name="Normal 58 11 4" xfId="2793"/>
    <cellStyle name="Normal 58 11 4 2" xfId="5171"/>
    <cellStyle name="Normal 58 11 4 2 2" xfId="14010"/>
    <cellStyle name="Normal 58 11 4 2 2 2" xfId="24261"/>
    <cellStyle name="Normal 58 11 4 2 3" xfId="10431"/>
    <cellStyle name="Normal 58 11 4 2 4" xfId="19254"/>
    <cellStyle name="Normal 58 11 4 3" xfId="6628"/>
    <cellStyle name="Normal 58 11 4 3 2" xfId="15455"/>
    <cellStyle name="Normal 58 11 4 3 3" xfId="25706"/>
    <cellStyle name="Normal 58 11 4 4" xfId="8074"/>
    <cellStyle name="Normal 58 11 4 4 2" xfId="22156"/>
    <cellStyle name="Normal 58 11 4 5" xfId="17149"/>
    <cellStyle name="Normal 58 11 5" xfId="4125"/>
    <cellStyle name="Normal 58 11 5 2" xfId="12965"/>
    <cellStyle name="Normal 58 11 5 2 2" xfId="23216"/>
    <cellStyle name="Normal 58 11 5 3" xfId="9386"/>
    <cellStyle name="Normal 58 11 5 4" xfId="18209"/>
    <cellStyle name="Normal 58 11 6" xfId="1902"/>
    <cellStyle name="Normal 58 11 6 2" xfId="11269"/>
    <cellStyle name="Normal 58 11 6 3" xfId="21273"/>
    <cellStyle name="Normal 58 11 7" xfId="5585"/>
    <cellStyle name="Normal 58 11 7 2" xfId="14412"/>
    <cellStyle name="Normal 58 11 7 3" xfId="24663"/>
    <cellStyle name="Normal 58 11 8" xfId="7029"/>
    <cellStyle name="Normal 58 11 8 2" xfId="19755"/>
    <cellStyle name="Normal 58 11 9" xfId="16266"/>
    <cellStyle name="Normal 58 11_Degree data" xfId="4001"/>
    <cellStyle name="Normal 58 12" xfId="892"/>
    <cellStyle name="Normal 58 12 2" xfId="3378"/>
    <cellStyle name="Normal 58 12 2 2" xfId="12522"/>
    <cellStyle name="Normal 58 12 2 2 2" xfId="22741"/>
    <cellStyle name="Normal 58 12 2 3" xfId="8944"/>
    <cellStyle name="Normal 58 12 2 4" xfId="17734"/>
    <cellStyle name="Normal 58 12 3" xfId="4707"/>
    <cellStyle name="Normal 58 12 3 2" xfId="13547"/>
    <cellStyle name="Normal 58 12 3 2 2" xfId="23798"/>
    <cellStyle name="Normal 58 12 3 3" xfId="9968"/>
    <cellStyle name="Normal 58 12 3 4" xfId="18791"/>
    <cellStyle name="Normal 58 12 4" xfId="2487"/>
    <cellStyle name="Normal 58 12 4 2" xfId="11854"/>
    <cellStyle name="Normal 58 12 4 3" xfId="21858"/>
    <cellStyle name="Normal 58 12 5" xfId="6165"/>
    <cellStyle name="Normal 58 12 5 2" xfId="14992"/>
    <cellStyle name="Normal 58 12 5 3" xfId="25243"/>
    <cellStyle name="Normal 58 12 6" xfId="7610"/>
    <cellStyle name="Normal 58 12 6 2" xfId="20340"/>
    <cellStyle name="Normal 58 12 7" xfId="16851"/>
    <cellStyle name="Normal 58 13" xfId="1051"/>
    <cellStyle name="Normal 58 13 2" xfId="3481"/>
    <cellStyle name="Normal 58 13 2 2" xfId="12619"/>
    <cellStyle name="Normal 58 13 2 2 2" xfId="22838"/>
    <cellStyle name="Normal 58 13 2 3" xfId="9041"/>
    <cellStyle name="Normal 58 13 2 4" xfId="17831"/>
    <cellStyle name="Normal 58 13 3" xfId="5056"/>
    <cellStyle name="Normal 58 13 3 2" xfId="13895"/>
    <cellStyle name="Normal 58 13 3 2 2" xfId="24146"/>
    <cellStyle name="Normal 58 13 3 3" xfId="10316"/>
    <cellStyle name="Normal 58 13 3 4" xfId="19139"/>
    <cellStyle name="Normal 58 13 4" xfId="1716"/>
    <cellStyle name="Normal 58 13 4 2" xfId="11095"/>
    <cellStyle name="Normal 58 13 4 3" xfId="21099"/>
    <cellStyle name="Normal 58 13 5" xfId="6513"/>
    <cellStyle name="Normal 58 13 5 2" xfId="15340"/>
    <cellStyle name="Normal 58 13 5 3" xfId="25591"/>
    <cellStyle name="Normal 58 13 6" xfId="7959"/>
    <cellStyle name="Normal 58 13 6 2" xfId="20437"/>
    <cellStyle name="Normal 58 13 7" xfId="16092"/>
    <cellStyle name="Normal 58 14" xfId="2616"/>
    <cellStyle name="Normal 58 14 2" xfId="5144"/>
    <cellStyle name="Normal 58 14 2 2" xfId="13983"/>
    <cellStyle name="Normal 58 14 2 2 2" xfId="24234"/>
    <cellStyle name="Normal 58 14 2 3" xfId="10404"/>
    <cellStyle name="Normal 58 14 2 4" xfId="19227"/>
    <cellStyle name="Normal 58 14 3" xfId="6601"/>
    <cellStyle name="Normal 58 14 3 2" xfId="15428"/>
    <cellStyle name="Normal 58 14 3 3" xfId="25679"/>
    <cellStyle name="Normal 58 14 4" xfId="8047"/>
    <cellStyle name="Normal 58 14 4 2" xfId="21982"/>
    <cellStyle name="Normal 58 14 5" xfId="16975"/>
    <cellStyle name="Normal 58 15" xfId="4098"/>
    <cellStyle name="Normal 58 15 2" xfId="5558"/>
    <cellStyle name="Normal 58 15 2 2" xfId="14385"/>
    <cellStyle name="Normal 58 15 2 3" xfId="24636"/>
    <cellStyle name="Normal 58 15 3" xfId="7002"/>
    <cellStyle name="Normal 58 15 3 2" xfId="23189"/>
    <cellStyle name="Normal 58 15 4" xfId="18182"/>
    <cellStyle name="Normal 58 16" xfId="1398"/>
    <cellStyle name="Normal 58 16 2" xfId="10778"/>
    <cellStyle name="Normal 58 16 3" xfId="20782"/>
    <cellStyle name="Normal 58 17" xfId="5516"/>
    <cellStyle name="Normal 58 17 2" xfId="14345"/>
    <cellStyle name="Normal 58 17 3" xfId="24596"/>
    <cellStyle name="Normal 58 18" xfId="6957"/>
    <cellStyle name="Normal 58 18 2" xfId="19582"/>
    <cellStyle name="Normal 58 19" xfId="15775"/>
    <cellStyle name="Normal 58 2" xfId="46"/>
    <cellStyle name="Normal 58 3" xfId="119"/>
    <cellStyle name="Normal 58 3 10" xfId="4110"/>
    <cellStyle name="Normal 58 3 10 2" xfId="5570"/>
    <cellStyle name="Normal 58 3 10 2 2" xfId="14397"/>
    <cellStyle name="Normal 58 3 10 2 3" xfId="24648"/>
    <cellStyle name="Normal 58 3 10 3" xfId="7014"/>
    <cellStyle name="Normal 58 3 10 3 2" xfId="23201"/>
    <cellStyle name="Normal 58 3 10 4" xfId="18194"/>
    <cellStyle name="Normal 58 3 11" xfId="1404"/>
    <cellStyle name="Normal 58 3 11 2" xfId="10783"/>
    <cellStyle name="Normal 58 3 11 3" xfId="20787"/>
    <cellStyle name="Normal 58 3 12" xfId="5538"/>
    <cellStyle name="Normal 58 3 12 2" xfId="14367"/>
    <cellStyle name="Normal 58 3 12 3" xfId="24618"/>
    <cellStyle name="Normal 58 3 13" xfId="6984"/>
    <cellStyle name="Normal 58 3 13 2" xfId="19595"/>
    <cellStyle name="Normal 58 3 14" xfId="15780"/>
    <cellStyle name="Normal 58 3 2" xfId="163"/>
    <cellStyle name="Normal 58 3 2 10" xfId="1429"/>
    <cellStyle name="Normal 58 3 2 10 2" xfId="10808"/>
    <cellStyle name="Normal 58 3 2 10 3" xfId="20812"/>
    <cellStyle name="Normal 58 3 2 11" xfId="5615"/>
    <cellStyle name="Normal 58 3 2 11 2" xfId="14442"/>
    <cellStyle name="Normal 58 3 2 11 3" xfId="24693"/>
    <cellStyle name="Normal 58 3 2 12" xfId="7059"/>
    <cellStyle name="Normal 58 3 2 12 2" xfId="19625"/>
    <cellStyle name="Normal 58 3 2 13" xfId="15805"/>
    <cellStyle name="Normal 58 3 2 2" xfId="275"/>
    <cellStyle name="Normal 58 3 2 2 10" xfId="7116"/>
    <cellStyle name="Normal 58 3 2 2 10 2" xfId="19729"/>
    <cellStyle name="Normal 58 3 2 2 11" xfId="15862"/>
    <cellStyle name="Normal 58 3 2 2 2" xfId="597"/>
    <cellStyle name="Normal 58 3 2 2 2 2" xfId="898"/>
    <cellStyle name="Normal 58 3 2 2 2 2 2" xfId="3384"/>
    <cellStyle name="Normal 58 3 2 2 2 2 2 2" xfId="12528"/>
    <cellStyle name="Normal 58 3 2 2 2 2 2 2 2" xfId="22747"/>
    <cellStyle name="Normal 58 3 2 2 2 2 2 3" xfId="8950"/>
    <cellStyle name="Normal 58 3 2 2 2 2 2 4" xfId="17740"/>
    <cellStyle name="Normal 58 3 2 2 2 2 3" xfId="4713"/>
    <cellStyle name="Normal 58 3 2 2 2 2 3 2" xfId="13553"/>
    <cellStyle name="Normal 58 3 2 2 2 2 3 2 2" xfId="23804"/>
    <cellStyle name="Normal 58 3 2 2 2 2 3 3" xfId="9974"/>
    <cellStyle name="Normal 58 3 2 2 2 2 3 4" xfId="18797"/>
    <cellStyle name="Normal 58 3 2 2 2 2 4" xfId="2493"/>
    <cellStyle name="Normal 58 3 2 2 2 2 4 2" xfId="11860"/>
    <cellStyle name="Normal 58 3 2 2 2 2 4 3" xfId="21864"/>
    <cellStyle name="Normal 58 3 2 2 2 2 5" xfId="6171"/>
    <cellStyle name="Normal 58 3 2 2 2 2 5 2" xfId="14998"/>
    <cellStyle name="Normal 58 3 2 2 2 2 5 3" xfId="25249"/>
    <cellStyle name="Normal 58 3 2 2 2 2 6" xfId="7616"/>
    <cellStyle name="Normal 58 3 2 2 2 2 6 2" xfId="20346"/>
    <cellStyle name="Normal 58 3 2 2 2 2 7" xfId="16857"/>
    <cellStyle name="Normal 58 3 2 2 2 3" xfId="1369"/>
    <cellStyle name="Normal 58 3 2 2 2 3 2" xfId="3799"/>
    <cellStyle name="Normal 58 3 2 2 2 3 2 2" xfId="12937"/>
    <cellStyle name="Normal 58 3 2 2 2 3 2 2 2" xfId="23156"/>
    <cellStyle name="Normal 58 3 2 2 2 3 2 3" xfId="9358"/>
    <cellStyle name="Normal 58 3 2 2 2 3 2 4" xfId="18149"/>
    <cellStyle name="Normal 58 3 2 2 2 3 3" xfId="5062"/>
    <cellStyle name="Normal 58 3 2 2 2 3 3 2" xfId="13901"/>
    <cellStyle name="Normal 58 3 2 2 2 3 3 2 2" xfId="24152"/>
    <cellStyle name="Normal 58 3 2 2 2 3 3 3" xfId="10322"/>
    <cellStyle name="Normal 58 3 2 2 2 3 3 4" xfId="19145"/>
    <cellStyle name="Normal 58 3 2 2 2 3 4" xfId="2193"/>
    <cellStyle name="Normal 58 3 2 2 2 3 4 2" xfId="11560"/>
    <cellStyle name="Normal 58 3 2 2 2 3 4 3" xfId="21564"/>
    <cellStyle name="Normal 58 3 2 2 2 3 5" xfId="6519"/>
    <cellStyle name="Normal 58 3 2 2 2 3 5 2" xfId="15346"/>
    <cellStyle name="Normal 58 3 2 2 2 3 5 3" xfId="25597"/>
    <cellStyle name="Normal 58 3 2 2 2 3 6" xfId="7965"/>
    <cellStyle name="Normal 58 3 2 2 2 3 6 2" xfId="20755"/>
    <cellStyle name="Normal 58 3 2 2 2 3 7" xfId="16557"/>
    <cellStyle name="Normal 58 3 2 2 2 4" xfId="3084"/>
    <cellStyle name="Normal 58 3 2 2 2 4 2" xfId="5462"/>
    <cellStyle name="Normal 58 3 2 2 2 4 2 2" xfId="14301"/>
    <cellStyle name="Normal 58 3 2 2 2 4 2 2 2" xfId="24552"/>
    <cellStyle name="Normal 58 3 2 2 2 4 2 3" xfId="10722"/>
    <cellStyle name="Normal 58 3 2 2 2 4 2 4" xfId="19545"/>
    <cellStyle name="Normal 58 3 2 2 2 4 3" xfId="6919"/>
    <cellStyle name="Normal 58 3 2 2 2 4 3 2" xfId="15746"/>
    <cellStyle name="Normal 58 3 2 2 2 4 3 3" xfId="25997"/>
    <cellStyle name="Normal 58 3 2 2 2 4 4" xfId="8365"/>
    <cellStyle name="Normal 58 3 2 2 2 4 4 2" xfId="22447"/>
    <cellStyle name="Normal 58 3 2 2 2 4 5" xfId="17440"/>
    <cellStyle name="Normal 58 3 2 2 2 5" xfId="4418"/>
    <cellStyle name="Normal 58 3 2 2 2 5 2" xfId="13258"/>
    <cellStyle name="Normal 58 3 2 2 2 5 2 2" xfId="23509"/>
    <cellStyle name="Normal 58 3 2 2 2 5 3" xfId="9679"/>
    <cellStyle name="Normal 58 3 2 2 2 5 4" xfId="18502"/>
    <cellStyle name="Normal 58 3 2 2 2 6" xfId="1690"/>
    <cellStyle name="Normal 58 3 2 2 2 6 2" xfId="11069"/>
    <cellStyle name="Normal 58 3 2 2 2 6 3" xfId="21073"/>
    <cellStyle name="Normal 58 3 2 2 2 7" xfId="5876"/>
    <cellStyle name="Normal 58 3 2 2 2 7 2" xfId="14703"/>
    <cellStyle name="Normal 58 3 2 2 2 7 3" xfId="24954"/>
    <cellStyle name="Normal 58 3 2 2 2 8" xfId="7320"/>
    <cellStyle name="Normal 58 3 2 2 2 8 2" xfId="20046"/>
    <cellStyle name="Normal 58 3 2 2 2 9" xfId="16066"/>
    <cellStyle name="Normal 58 3 2 2 2_Degree data" xfId="4005"/>
    <cellStyle name="Normal 58 3 2 2 3" xfId="393"/>
    <cellStyle name="Normal 58 3 2 2 3 2" xfId="2880"/>
    <cellStyle name="Normal 58 3 2 2 3 2 2" xfId="12170"/>
    <cellStyle name="Normal 58 3 2 2 3 2 2 2" xfId="22243"/>
    <cellStyle name="Normal 58 3 2 2 3 2 3" xfId="8471"/>
    <cellStyle name="Normal 58 3 2 2 3 2 4" xfId="17236"/>
    <cellStyle name="Normal 58 3 2 2 3 3" xfId="4712"/>
    <cellStyle name="Normal 58 3 2 2 3 3 2" xfId="13552"/>
    <cellStyle name="Normal 58 3 2 2 3 3 2 2" xfId="23803"/>
    <cellStyle name="Normal 58 3 2 2 3 3 3" xfId="9973"/>
    <cellStyle name="Normal 58 3 2 2 3 3 4" xfId="18796"/>
    <cellStyle name="Normal 58 3 2 2 3 4" xfId="1989"/>
    <cellStyle name="Normal 58 3 2 2 3 4 2" xfId="11356"/>
    <cellStyle name="Normal 58 3 2 2 3 4 3" xfId="21360"/>
    <cellStyle name="Normal 58 3 2 2 3 5" xfId="6170"/>
    <cellStyle name="Normal 58 3 2 2 3 5 2" xfId="14997"/>
    <cellStyle name="Normal 58 3 2 2 3 5 3" xfId="25248"/>
    <cellStyle name="Normal 58 3 2 2 3 6" xfId="7615"/>
    <cellStyle name="Normal 58 3 2 2 3 6 2" xfId="19842"/>
    <cellStyle name="Normal 58 3 2 2 3 7" xfId="16353"/>
    <cellStyle name="Normal 58 3 2 2 4" xfId="897"/>
    <cellStyle name="Normal 58 3 2 2 4 2" xfId="3383"/>
    <cellStyle name="Normal 58 3 2 2 4 2 2" xfId="12527"/>
    <cellStyle name="Normal 58 3 2 2 4 2 2 2" xfId="22746"/>
    <cellStyle name="Normal 58 3 2 2 4 2 3" xfId="8949"/>
    <cellStyle name="Normal 58 3 2 2 4 2 4" xfId="17739"/>
    <cellStyle name="Normal 58 3 2 2 4 3" xfId="5061"/>
    <cellStyle name="Normal 58 3 2 2 4 3 2" xfId="13900"/>
    <cellStyle name="Normal 58 3 2 2 4 3 2 2" xfId="24151"/>
    <cellStyle name="Normal 58 3 2 2 4 3 3" xfId="10321"/>
    <cellStyle name="Normal 58 3 2 2 4 3 4" xfId="19144"/>
    <cellStyle name="Normal 58 3 2 2 4 4" xfId="2492"/>
    <cellStyle name="Normal 58 3 2 2 4 4 2" xfId="11859"/>
    <cellStyle name="Normal 58 3 2 2 4 4 3" xfId="21863"/>
    <cellStyle name="Normal 58 3 2 2 4 5" xfId="6518"/>
    <cellStyle name="Normal 58 3 2 2 4 5 2" xfId="15345"/>
    <cellStyle name="Normal 58 3 2 2 4 5 3" xfId="25596"/>
    <cellStyle name="Normal 58 3 2 2 4 6" xfId="7964"/>
    <cellStyle name="Normal 58 3 2 2 4 6 2" xfId="20345"/>
    <cellStyle name="Normal 58 3 2 2 4 7" xfId="16856"/>
    <cellStyle name="Normal 58 3 2 2 5" xfId="1165"/>
    <cellStyle name="Normal 58 3 2 2 5 2" xfId="3595"/>
    <cellStyle name="Normal 58 3 2 2 5 2 2" xfId="12733"/>
    <cellStyle name="Normal 58 3 2 2 5 2 2 2" xfId="22952"/>
    <cellStyle name="Normal 58 3 2 2 5 2 3" xfId="9154"/>
    <cellStyle name="Normal 58 3 2 2 5 2 4" xfId="17945"/>
    <cellStyle name="Normal 58 3 2 2 5 3" xfId="5258"/>
    <cellStyle name="Normal 58 3 2 2 5 3 2" xfId="14097"/>
    <cellStyle name="Normal 58 3 2 2 5 3 2 2" xfId="24348"/>
    <cellStyle name="Normal 58 3 2 2 5 3 3" xfId="10518"/>
    <cellStyle name="Normal 58 3 2 2 5 3 4" xfId="19341"/>
    <cellStyle name="Normal 58 3 2 2 5 4" xfId="1873"/>
    <cellStyle name="Normal 58 3 2 2 5 4 2" xfId="11243"/>
    <cellStyle name="Normal 58 3 2 2 5 4 3" xfId="21247"/>
    <cellStyle name="Normal 58 3 2 2 5 5" xfId="6715"/>
    <cellStyle name="Normal 58 3 2 2 5 5 2" xfId="15542"/>
    <cellStyle name="Normal 58 3 2 2 5 5 3" xfId="25793"/>
    <cellStyle name="Normal 58 3 2 2 5 6" xfId="8161"/>
    <cellStyle name="Normal 58 3 2 2 5 6 2" xfId="20551"/>
    <cellStyle name="Normal 58 3 2 2 5 7" xfId="16240"/>
    <cellStyle name="Normal 58 3 2 2 6" xfId="2767"/>
    <cellStyle name="Normal 58 3 2 2 6 2" xfId="12086"/>
    <cellStyle name="Normal 58 3 2 2 6 2 2" xfId="22130"/>
    <cellStyle name="Normal 58 3 2 2 6 3" xfId="8551"/>
    <cellStyle name="Normal 58 3 2 2 6 4" xfId="17123"/>
    <cellStyle name="Normal 58 3 2 2 7" xfId="4214"/>
    <cellStyle name="Normal 58 3 2 2 7 2" xfId="13054"/>
    <cellStyle name="Normal 58 3 2 2 7 2 2" xfId="23305"/>
    <cellStyle name="Normal 58 3 2 2 7 3" xfId="9475"/>
    <cellStyle name="Normal 58 3 2 2 7 4" xfId="18298"/>
    <cellStyle name="Normal 58 3 2 2 8" xfId="1486"/>
    <cellStyle name="Normal 58 3 2 2 8 2" xfId="10865"/>
    <cellStyle name="Normal 58 3 2 2 8 3" xfId="20869"/>
    <cellStyle name="Normal 58 3 2 2 9" xfId="5672"/>
    <cellStyle name="Normal 58 3 2 2 9 2" xfId="14499"/>
    <cellStyle name="Normal 58 3 2 2 9 3" xfId="24750"/>
    <cellStyle name="Normal 58 3 2 2_Degree data" xfId="4004"/>
    <cellStyle name="Normal 58 3 2 3" xfId="229"/>
    <cellStyle name="Normal 58 3 2 3 10" xfId="16022"/>
    <cellStyle name="Normal 58 3 2 3 2" xfId="553"/>
    <cellStyle name="Normal 58 3 2 3 2 2" xfId="3040"/>
    <cellStyle name="Normal 58 3 2 3 2 2 2" xfId="12230"/>
    <cellStyle name="Normal 58 3 2 3 2 2 2 2" xfId="22403"/>
    <cellStyle name="Normal 58 3 2 3 2 2 3" xfId="8455"/>
    <cellStyle name="Normal 58 3 2 3 2 2 4" xfId="17396"/>
    <cellStyle name="Normal 58 3 2 3 2 3" xfId="4714"/>
    <cellStyle name="Normal 58 3 2 3 2 3 2" xfId="13554"/>
    <cellStyle name="Normal 58 3 2 3 2 3 2 2" xfId="23805"/>
    <cellStyle name="Normal 58 3 2 3 2 3 3" xfId="9975"/>
    <cellStyle name="Normal 58 3 2 3 2 3 4" xfId="18798"/>
    <cellStyle name="Normal 58 3 2 3 2 4" xfId="2149"/>
    <cellStyle name="Normal 58 3 2 3 2 4 2" xfId="11516"/>
    <cellStyle name="Normal 58 3 2 3 2 4 3" xfId="21520"/>
    <cellStyle name="Normal 58 3 2 3 2 5" xfId="6172"/>
    <cellStyle name="Normal 58 3 2 3 2 5 2" xfId="14999"/>
    <cellStyle name="Normal 58 3 2 3 2 5 3" xfId="25250"/>
    <cellStyle name="Normal 58 3 2 3 2 6" xfId="7617"/>
    <cellStyle name="Normal 58 3 2 3 2 6 2" xfId="20002"/>
    <cellStyle name="Normal 58 3 2 3 2 7" xfId="16513"/>
    <cellStyle name="Normal 58 3 2 3 3" xfId="899"/>
    <cellStyle name="Normal 58 3 2 3 3 2" xfId="3385"/>
    <cellStyle name="Normal 58 3 2 3 3 2 2" xfId="12529"/>
    <cellStyle name="Normal 58 3 2 3 3 2 2 2" xfId="22748"/>
    <cellStyle name="Normal 58 3 2 3 3 2 3" xfId="8951"/>
    <cellStyle name="Normal 58 3 2 3 3 2 4" xfId="17741"/>
    <cellStyle name="Normal 58 3 2 3 3 3" xfId="5063"/>
    <cellStyle name="Normal 58 3 2 3 3 3 2" xfId="13902"/>
    <cellStyle name="Normal 58 3 2 3 3 3 2 2" xfId="24153"/>
    <cellStyle name="Normal 58 3 2 3 3 3 3" xfId="10323"/>
    <cellStyle name="Normal 58 3 2 3 3 3 4" xfId="19146"/>
    <cellStyle name="Normal 58 3 2 3 3 4" xfId="2494"/>
    <cellStyle name="Normal 58 3 2 3 3 4 2" xfId="11861"/>
    <cellStyle name="Normal 58 3 2 3 3 4 3" xfId="21865"/>
    <cellStyle name="Normal 58 3 2 3 3 5" xfId="6520"/>
    <cellStyle name="Normal 58 3 2 3 3 5 2" xfId="15347"/>
    <cellStyle name="Normal 58 3 2 3 3 5 3" xfId="25598"/>
    <cellStyle name="Normal 58 3 2 3 3 6" xfId="7966"/>
    <cellStyle name="Normal 58 3 2 3 3 6 2" xfId="20347"/>
    <cellStyle name="Normal 58 3 2 3 3 7" xfId="16858"/>
    <cellStyle name="Normal 58 3 2 3 4" xfId="1325"/>
    <cellStyle name="Normal 58 3 2 3 4 2" xfId="3755"/>
    <cellStyle name="Normal 58 3 2 3 4 2 2" xfId="12893"/>
    <cellStyle name="Normal 58 3 2 3 4 2 2 2" xfId="23112"/>
    <cellStyle name="Normal 58 3 2 3 4 2 3" xfId="9314"/>
    <cellStyle name="Normal 58 3 2 3 4 2 4" xfId="18105"/>
    <cellStyle name="Normal 58 3 2 3 4 3" xfId="5418"/>
    <cellStyle name="Normal 58 3 2 3 4 3 2" xfId="14257"/>
    <cellStyle name="Normal 58 3 2 3 4 3 2 2" xfId="24508"/>
    <cellStyle name="Normal 58 3 2 3 4 3 3" xfId="10678"/>
    <cellStyle name="Normal 58 3 2 3 4 3 4" xfId="19501"/>
    <cellStyle name="Normal 58 3 2 3 4 4" xfId="1829"/>
    <cellStyle name="Normal 58 3 2 3 4 4 2" xfId="11199"/>
    <cellStyle name="Normal 58 3 2 3 4 4 3" xfId="21203"/>
    <cellStyle name="Normal 58 3 2 3 4 5" xfId="6875"/>
    <cellStyle name="Normal 58 3 2 3 4 5 2" xfId="15702"/>
    <cellStyle name="Normal 58 3 2 3 4 5 3" xfId="25953"/>
    <cellStyle name="Normal 58 3 2 3 4 6" xfId="8321"/>
    <cellStyle name="Normal 58 3 2 3 4 6 2" xfId="20711"/>
    <cellStyle name="Normal 58 3 2 3 4 7" xfId="16196"/>
    <cellStyle name="Normal 58 3 2 3 5" xfId="2723"/>
    <cellStyle name="Normal 58 3 2 3 5 2" xfId="12042"/>
    <cellStyle name="Normal 58 3 2 3 5 2 2" xfId="22086"/>
    <cellStyle name="Normal 58 3 2 3 5 3" xfId="8395"/>
    <cellStyle name="Normal 58 3 2 3 5 4" xfId="17079"/>
    <cellStyle name="Normal 58 3 2 3 6" xfId="4374"/>
    <cellStyle name="Normal 58 3 2 3 6 2" xfId="13214"/>
    <cellStyle name="Normal 58 3 2 3 6 2 2" xfId="23465"/>
    <cellStyle name="Normal 58 3 2 3 6 3" xfId="9635"/>
    <cellStyle name="Normal 58 3 2 3 6 4" xfId="18458"/>
    <cellStyle name="Normal 58 3 2 3 7" xfId="1646"/>
    <cellStyle name="Normal 58 3 2 3 7 2" xfId="11025"/>
    <cellStyle name="Normal 58 3 2 3 7 3" xfId="21029"/>
    <cellStyle name="Normal 58 3 2 3 8" xfId="5832"/>
    <cellStyle name="Normal 58 3 2 3 8 2" xfId="14659"/>
    <cellStyle name="Normal 58 3 2 3 8 3" xfId="24910"/>
    <cellStyle name="Normal 58 3 2 3 9" xfId="7276"/>
    <cellStyle name="Normal 58 3 2 3 9 2" xfId="19685"/>
    <cellStyle name="Normal 58 3 2 3_Degree data" xfId="4006"/>
    <cellStyle name="Normal 58 3 2 4" xfId="493"/>
    <cellStyle name="Normal 58 3 2 4 2" xfId="900"/>
    <cellStyle name="Normal 58 3 2 4 2 2" xfId="3386"/>
    <cellStyle name="Normal 58 3 2 4 2 2 2" xfId="12530"/>
    <cellStyle name="Normal 58 3 2 4 2 2 2 2" xfId="22749"/>
    <cellStyle name="Normal 58 3 2 4 2 2 3" xfId="8952"/>
    <cellStyle name="Normal 58 3 2 4 2 2 4" xfId="17742"/>
    <cellStyle name="Normal 58 3 2 4 2 3" xfId="4715"/>
    <cellStyle name="Normal 58 3 2 4 2 3 2" xfId="13555"/>
    <cellStyle name="Normal 58 3 2 4 2 3 2 2" xfId="23806"/>
    <cellStyle name="Normal 58 3 2 4 2 3 3" xfId="9976"/>
    <cellStyle name="Normal 58 3 2 4 2 3 4" xfId="18799"/>
    <cellStyle name="Normal 58 3 2 4 2 4" xfId="2495"/>
    <cellStyle name="Normal 58 3 2 4 2 4 2" xfId="11862"/>
    <cellStyle name="Normal 58 3 2 4 2 4 3" xfId="21866"/>
    <cellStyle name="Normal 58 3 2 4 2 5" xfId="6173"/>
    <cellStyle name="Normal 58 3 2 4 2 5 2" xfId="15000"/>
    <cellStyle name="Normal 58 3 2 4 2 5 3" xfId="25251"/>
    <cellStyle name="Normal 58 3 2 4 2 6" xfId="7618"/>
    <cellStyle name="Normal 58 3 2 4 2 6 2" xfId="20348"/>
    <cellStyle name="Normal 58 3 2 4 2 7" xfId="16859"/>
    <cellStyle name="Normal 58 3 2 4 3" xfId="1265"/>
    <cellStyle name="Normal 58 3 2 4 3 2" xfId="3695"/>
    <cellStyle name="Normal 58 3 2 4 3 2 2" xfId="12833"/>
    <cellStyle name="Normal 58 3 2 4 3 2 2 2" xfId="23052"/>
    <cellStyle name="Normal 58 3 2 4 3 2 3" xfId="9254"/>
    <cellStyle name="Normal 58 3 2 4 3 2 4" xfId="18045"/>
    <cellStyle name="Normal 58 3 2 4 3 3" xfId="5064"/>
    <cellStyle name="Normal 58 3 2 4 3 3 2" xfId="13903"/>
    <cellStyle name="Normal 58 3 2 4 3 3 2 2" xfId="24154"/>
    <cellStyle name="Normal 58 3 2 4 3 3 3" xfId="10324"/>
    <cellStyle name="Normal 58 3 2 4 3 3 4" xfId="19147"/>
    <cellStyle name="Normal 58 3 2 4 3 4" xfId="2089"/>
    <cellStyle name="Normal 58 3 2 4 3 4 2" xfId="11456"/>
    <cellStyle name="Normal 58 3 2 4 3 4 3" xfId="21460"/>
    <cellStyle name="Normal 58 3 2 4 3 5" xfId="6521"/>
    <cellStyle name="Normal 58 3 2 4 3 5 2" xfId="15348"/>
    <cellStyle name="Normal 58 3 2 4 3 5 3" xfId="25599"/>
    <cellStyle name="Normal 58 3 2 4 3 6" xfId="7967"/>
    <cellStyle name="Normal 58 3 2 4 3 6 2" xfId="20651"/>
    <cellStyle name="Normal 58 3 2 4 3 7" xfId="16453"/>
    <cellStyle name="Normal 58 3 2 4 4" xfId="2980"/>
    <cellStyle name="Normal 58 3 2 4 4 2" xfId="5358"/>
    <cellStyle name="Normal 58 3 2 4 4 2 2" xfId="14197"/>
    <cellStyle name="Normal 58 3 2 4 4 2 2 2" xfId="24448"/>
    <cellStyle name="Normal 58 3 2 4 4 2 3" xfId="10618"/>
    <cellStyle name="Normal 58 3 2 4 4 2 4" xfId="19441"/>
    <cellStyle name="Normal 58 3 2 4 4 3" xfId="6815"/>
    <cellStyle name="Normal 58 3 2 4 4 3 2" xfId="15642"/>
    <cellStyle name="Normal 58 3 2 4 4 3 3" xfId="25893"/>
    <cellStyle name="Normal 58 3 2 4 4 4" xfId="8261"/>
    <cellStyle name="Normal 58 3 2 4 4 4 2" xfId="22343"/>
    <cellStyle name="Normal 58 3 2 4 4 5" xfId="17336"/>
    <cellStyle name="Normal 58 3 2 4 5" xfId="4314"/>
    <cellStyle name="Normal 58 3 2 4 5 2" xfId="13154"/>
    <cellStyle name="Normal 58 3 2 4 5 2 2" xfId="23405"/>
    <cellStyle name="Normal 58 3 2 4 5 3" xfId="9575"/>
    <cellStyle name="Normal 58 3 2 4 5 4" xfId="18398"/>
    <cellStyle name="Normal 58 3 2 4 6" xfId="1586"/>
    <cellStyle name="Normal 58 3 2 4 6 2" xfId="10965"/>
    <cellStyle name="Normal 58 3 2 4 6 3" xfId="20969"/>
    <cellStyle name="Normal 58 3 2 4 7" xfId="5772"/>
    <cellStyle name="Normal 58 3 2 4 7 2" xfId="14599"/>
    <cellStyle name="Normal 58 3 2 4 7 3" xfId="24850"/>
    <cellStyle name="Normal 58 3 2 4 8" xfId="7216"/>
    <cellStyle name="Normal 58 3 2 4 8 2" xfId="19942"/>
    <cellStyle name="Normal 58 3 2 4 9" xfId="15962"/>
    <cellStyle name="Normal 58 3 2 4_Degree data" xfId="4007"/>
    <cellStyle name="Normal 58 3 2 5" xfId="336"/>
    <cellStyle name="Normal 58 3 2 5 2" xfId="2823"/>
    <cellStyle name="Normal 58 3 2 5 2 2" xfId="12124"/>
    <cellStyle name="Normal 58 3 2 5 2 2 2" xfId="22186"/>
    <cellStyle name="Normal 58 3 2 5 2 3" xfId="8542"/>
    <cellStyle name="Normal 58 3 2 5 2 4" xfId="17179"/>
    <cellStyle name="Normal 58 3 2 5 3" xfId="4711"/>
    <cellStyle name="Normal 58 3 2 5 3 2" xfId="13551"/>
    <cellStyle name="Normal 58 3 2 5 3 2 2" xfId="23802"/>
    <cellStyle name="Normal 58 3 2 5 3 3" xfId="9972"/>
    <cellStyle name="Normal 58 3 2 5 3 4" xfId="18795"/>
    <cellStyle name="Normal 58 3 2 5 4" xfId="1932"/>
    <cellStyle name="Normal 58 3 2 5 4 2" xfId="11299"/>
    <cellStyle name="Normal 58 3 2 5 4 3" xfId="21303"/>
    <cellStyle name="Normal 58 3 2 5 5" xfId="6169"/>
    <cellStyle name="Normal 58 3 2 5 5 2" xfId="14996"/>
    <cellStyle name="Normal 58 3 2 5 5 3" xfId="25247"/>
    <cellStyle name="Normal 58 3 2 5 6" xfId="7614"/>
    <cellStyle name="Normal 58 3 2 5 6 2" xfId="19785"/>
    <cellStyle name="Normal 58 3 2 5 7" xfId="16296"/>
    <cellStyle name="Normal 58 3 2 6" xfId="896"/>
    <cellStyle name="Normal 58 3 2 6 2" xfId="3382"/>
    <cellStyle name="Normal 58 3 2 6 2 2" xfId="12526"/>
    <cellStyle name="Normal 58 3 2 6 2 2 2" xfId="22745"/>
    <cellStyle name="Normal 58 3 2 6 2 3" xfId="8948"/>
    <cellStyle name="Normal 58 3 2 6 2 4" xfId="17738"/>
    <cellStyle name="Normal 58 3 2 6 3" xfId="5060"/>
    <cellStyle name="Normal 58 3 2 6 3 2" xfId="13899"/>
    <cellStyle name="Normal 58 3 2 6 3 2 2" xfId="24150"/>
    <cellStyle name="Normal 58 3 2 6 3 3" xfId="10320"/>
    <cellStyle name="Normal 58 3 2 6 3 4" xfId="19143"/>
    <cellStyle name="Normal 58 3 2 6 4" xfId="2491"/>
    <cellStyle name="Normal 58 3 2 6 4 2" xfId="11858"/>
    <cellStyle name="Normal 58 3 2 6 4 3" xfId="21862"/>
    <cellStyle name="Normal 58 3 2 6 5" xfId="6517"/>
    <cellStyle name="Normal 58 3 2 6 5 2" xfId="15344"/>
    <cellStyle name="Normal 58 3 2 6 5 3" xfId="25595"/>
    <cellStyle name="Normal 58 3 2 6 6" xfId="7963"/>
    <cellStyle name="Normal 58 3 2 6 6 2" xfId="20344"/>
    <cellStyle name="Normal 58 3 2 6 7" xfId="16855"/>
    <cellStyle name="Normal 58 3 2 7" xfId="1108"/>
    <cellStyle name="Normal 58 3 2 7 2" xfId="3538"/>
    <cellStyle name="Normal 58 3 2 7 2 2" xfId="12676"/>
    <cellStyle name="Normal 58 3 2 7 2 2 2" xfId="22895"/>
    <cellStyle name="Normal 58 3 2 7 2 3" xfId="9097"/>
    <cellStyle name="Normal 58 3 2 7 2 4" xfId="17888"/>
    <cellStyle name="Normal 58 3 2 7 3" xfId="5201"/>
    <cellStyle name="Normal 58 3 2 7 3 2" xfId="14040"/>
    <cellStyle name="Normal 58 3 2 7 3 2 2" xfId="24291"/>
    <cellStyle name="Normal 58 3 2 7 3 3" xfId="10461"/>
    <cellStyle name="Normal 58 3 2 7 3 4" xfId="19284"/>
    <cellStyle name="Normal 58 3 2 7 4" xfId="1766"/>
    <cellStyle name="Normal 58 3 2 7 4 2" xfId="11139"/>
    <cellStyle name="Normal 58 3 2 7 4 3" xfId="21143"/>
    <cellStyle name="Normal 58 3 2 7 5" xfId="6658"/>
    <cellStyle name="Normal 58 3 2 7 5 2" xfId="15485"/>
    <cellStyle name="Normal 58 3 2 7 5 3" xfId="25736"/>
    <cellStyle name="Normal 58 3 2 7 6" xfId="8104"/>
    <cellStyle name="Normal 58 3 2 7 6 2" xfId="20494"/>
    <cellStyle name="Normal 58 3 2 7 7" xfId="16136"/>
    <cellStyle name="Normal 58 3 2 8" xfId="2663"/>
    <cellStyle name="Normal 58 3 2 8 2" xfId="11985"/>
    <cellStyle name="Normal 58 3 2 8 2 2" xfId="22026"/>
    <cellStyle name="Normal 58 3 2 8 3" xfId="8603"/>
    <cellStyle name="Normal 58 3 2 8 4" xfId="17019"/>
    <cellStyle name="Normal 58 3 2 9" xfId="4155"/>
    <cellStyle name="Normal 58 3 2 9 2" xfId="12995"/>
    <cellStyle name="Normal 58 3 2 9 2 2" xfId="23246"/>
    <cellStyle name="Normal 58 3 2 9 3" xfId="9416"/>
    <cellStyle name="Normal 58 3 2 9 4" xfId="18239"/>
    <cellStyle name="Normal 58 3 2_Degree data" xfId="4003"/>
    <cellStyle name="Normal 58 3 3" xfId="210"/>
    <cellStyle name="Normal 58 3 3 10" xfId="7159"/>
    <cellStyle name="Normal 58 3 3 10 2" xfId="19668"/>
    <cellStyle name="Normal 58 3 3 11" xfId="15905"/>
    <cellStyle name="Normal 58 3 3 2" xfId="536"/>
    <cellStyle name="Normal 58 3 3 2 2" xfId="902"/>
    <cellStyle name="Normal 58 3 3 2 2 2" xfId="3388"/>
    <cellStyle name="Normal 58 3 3 2 2 2 2" xfId="12532"/>
    <cellStyle name="Normal 58 3 3 2 2 2 2 2" xfId="22751"/>
    <cellStyle name="Normal 58 3 3 2 2 2 3" xfId="8954"/>
    <cellStyle name="Normal 58 3 3 2 2 2 4" xfId="17744"/>
    <cellStyle name="Normal 58 3 3 2 2 3" xfId="4717"/>
    <cellStyle name="Normal 58 3 3 2 2 3 2" xfId="13557"/>
    <cellStyle name="Normal 58 3 3 2 2 3 2 2" xfId="23808"/>
    <cellStyle name="Normal 58 3 3 2 2 3 3" xfId="9978"/>
    <cellStyle name="Normal 58 3 3 2 2 3 4" xfId="18801"/>
    <cellStyle name="Normal 58 3 3 2 2 4" xfId="2497"/>
    <cellStyle name="Normal 58 3 3 2 2 4 2" xfId="11864"/>
    <cellStyle name="Normal 58 3 3 2 2 4 3" xfId="21868"/>
    <cellStyle name="Normal 58 3 3 2 2 5" xfId="6175"/>
    <cellStyle name="Normal 58 3 3 2 2 5 2" xfId="15002"/>
    <cellStyle name="Normal 58 3 3 2 2 5 3" xfId="25253"/>
    <cellStyle name="Normal 58 3 3 2 2 6" xfId="7620"/>
    <cellStyle name="Normal 58 3 3 2 2 6 2" xfId="20350"/>
    <cellStyle name="Normal 58 3 3 2 2 7" xfId="16861"/>
    <cellStyle name="Normal 58 3 3 2 3" xfId="1308"/>
    <cellStyle name="Normal 58 3 3 2 3 2" xfId="3738"/>
    <cellStyle name="Normal 58 3 3 2 3 2 2" xfId="12876"/>
    <cellStyle name="Normal 58 3 3 2 3 2 2 2" xfId="23095"/>
    <cellStyle name="Normal 58 3 3 2 3 2 3" xfId="9297"/>
    <cellStyle name="Normal 58 3 3 2 3 2 4" xfId="18088"/>
    <cellStyle name="Normal 58 3 3 2 3 3" xfId="5066"/>
    <cellStyle name="Normal 58 3 3 2 3 3 2" xfId="13905"/>
    <cellStyle name="Normal 58 3 3 2 3 3 2 2" xfId="24156"/>
    <cellStyle name="Normal 58 3 3 2 3 3 3" xfId="10326"/>
    <cellStyle name="Normal 58 3 3 2 3 3 4" xfId="19149"/>
    <cellStyle name="Normal 58 3 3 2 3 4" xfId="2132"/>
    <cellStyle name="Normal 58 3 3 2 3 4 2" xfId="11499"/>
    <cellStyle name="Normal 58 3 3 2 3 4 3" xfId="21503"/>
    <cellStyle name="Normal 58 3 3 2 3 5" xfId="6523"/>
    <cellStyle name="Normal 58 3 3 2 3 5 2" xfId="15350"/>
    <cellStyle name="Normal 58 3 3 2 3 5 3" xfId="25601"/>
    <cellStyle name="Normal 58 3 3 2 3 6" xfId="7969"/>
    <cellStyle name="Normal 58 3 3 2 3 6 2" xfId="20694"/>
    <cellStyle name="Normal 58 3 3 2 3 7" xfId="16496"/>
    <cellStyle name="Normal 58 3 3 2 4" xfId="3023"/>
    <cellStyle name="Normal 58 3 3 2 4 2" xfId="5401"/>
    <cellStyle name="Normal 58 3 3 2 4 2 2" xfId="14240"/>
    <cellStyle name="Normal 58 3 3 2 4 2 2 2" xfId="24491"/>
    <cellStyle name="Normal 58 3 3 2 4 2 3" xfId="10661"/>
    <cellStyle name="Normal 58 3 3 2 4 2 4" xfId="19484"/>
    <cellStyle name="Normal 58 3 3 2 4 3" xfId="6858"/>
    <cellStyle name="Normal 58 3 3 2 4 3 2" xfId="15685"/>
    <cellStyle name="Normal 58 3 3 2 4 3 3" xfId="25936"/>
    <cellStyle name="Normal 58 3 3 2 4 4" xfId="8304"/>
    <cellStyle name="Normal 58 3 3 2 4 4 2" xfId="22386"/>
    <cellStyle name="Normal 58 3 3 2 4 5" xfId="17379"/>
    <cellStyle name="Normal 58 3 3 2 5" xfId="4357"/>
    <cellStyle name="Normal 58 3 3 2 5 2" xfId="13197"/>
    <cellStyle name="Normal 58 3 3 2 5 2 2" xfId="23448"/>
    <cellStyle name="Normal 58 3 3 2 5 3" xfId="9618"/>
    <cellStyle name="Normal 58 3 3 2 5 4" xfId="18441"/>
    <cellStyle name="Normal 58 3 3 2 6" xfId="1629"/>
    <cellStyle name="Normal 58 3 3 2 6 2" xfId="11008"/>
    <cellStyle name="Normal 58 3 3 2 6 3" xfId="21012"/>
    <cellStyle name="Normal 58 3 3 2 7" xfId="5815"/>
    <cellStyle name="Normal 58 3 3 2 7 2" xfId="14642"/>
    <cellStyle name="Normal 58 3 3 2 7 3" xfId="24893"/>
    <cellStyle name="Normal 58 3 3 2 8" xfId="7259"/>
    <cellStyle name="Normal 58 3 3 2 8 2" xfId="19985"/>
    <cellStyle name="Normal 58 3 3 2 9" xfId="16005"/>
    <cellStyle name="Normal 58 3 3 2_Degree data" xfId="4009"/>
    <cellStyle name="Normal 58 3 3 3" xfId="436"/>
    <cellStyle name="Normal 58 3 3 3 2" xfId="2923"/>
    <cellStyle name="Normal 58 3 3 3 2 2" xfId="12213"/>
    <cellStyle name="Normal 58 3 3 3 2 2 2" xfId="22286"/>
    <cellStyle name="Normal 58 3 3 3 2 3" xfId="8433"/>
    <cellStyle name="Normal 58 3 3 3 2 4" xfId="17279"/>
    <cellStyle name="Normal 58 3 3 3 3" xfId="4716"/>
    <cellStyle name="Normal 58 3 3 3 3 2" xfId="13556"/>
    <cellStyle name="Normal 58 3 3 3 3 2 2" xfId="23807"/>
    <cellStyle name="Normal 58 3 3 3 3 3" xfId="9977"/>
    <cellStyle name="Normal 58 3 3 3 3 4" xfId="18800"/>
    <cellStyle name="Normal 58 3 3 3 4" xfId="2032"/>
    <cellStyle name="Normal 58 3 3 3 4 2" xfId="11399"/>
    <cellStyle name="Normal 58 3 3 3 4 3" xfId="21403"/>
    <cellStyle name="Normal 58 3 3 3 5" xfId="6174"/>
    <cellStyle name="Normal 58 3 3 3 5 2" xfId="15001"/>
    <cellStyle name="Normal 58 3 3 3 5 3" xfId="25252"/>
    <cellStyle name="Normal 58 3 3 3 6" xfId="7619"/>
    <cellStyle name="Normal 58 3 3 3 6 2" xfId="19885"/>
    <cellStyle name="Normal 58 3 3 3 7" xfId="16396"/>
    <cellStyle name="Normal 58 3 3 4" xfId="901"/>
    <cellStyle name="Normal 58 3 3 4 2" xfId="3387"/>
    <cellStyle name="Normal 58 3 3 4 2 2" xfId="12531"/>
    <cellStyle name="Normal 58 3 3 4 2 2 2" xfId="22750"/>
    <cellStyle name="Normal 58 3 3 4 2 3" xfId="8953"/>
    <cellStyle name="Normal 58 3 3 4 2 4" xfId="17743"/>
    <cellStyle name="Normal 58 3 3 4 3" xfId="5065"/>
    <cellStyle name="Normal 58 3 3 4 3 2" xfId="13904"/>
    <cellStyle name="Normal 58 3 3 4 3 2 2" xfId="24155"/>
    <cellStyle name="Normal 58 3 3 4 3 3" xfId="10325"/>
    <cellStyle name="Normal 58 3 3 4 3 4" xfId="19148"/>
    <cellStyle name="Normal 58 3 3 4 4" xfId="2496"/>
    <cellStyle name="Normal 58 3 3 4 4 2" xfId="11863"/>
    <cellStyle name="Normal 58 3 3 4 4 3" xfId="21867"/>
    <cellStyle name="Normal 58 3 3 4 5" xfId="6522"/>
    <cellStyle name="Normal 58 3 3 4 5 2" xfId="15349"/>
    <cellStyle name="Normal 58 3 3 4 5 3" xfId="25600"/>
    <cellStyle name="Normal 58 3 3 4 6" xfId="7968"/>
    <cellStyle name="Normal 58 3 3 4 6 2" xfId="20349"/>
    <cellStyle name="Normal 58 3 3 4 7" xfId="16860"/>
    <cellStyle name="Normal 58 3 3 5" xfId="1208"/>
    <cellStyle name="Normal 58 3 3 5 2" xfId="3638"/>
    <cellStyle name="Normal 58 3 3 5 2 2" xfId="12776"/>
    <cellStyle name="Normal 58 3 3 5 2 2 2" xfId="22995"/>
    <cellStyle name="Normal 58 3 3 5 2 3" xfId="9197"/>
    <cellStyle name="Normal 58 3 3 5 2 4" xfId="17988"/>
    <cellStyle name="Normal 58 3 3 5 3" xfId="5301"/>
    <cellStyle name="Normal 58 3 3 5 3 2" xfId="14140"/>
    <cellStyle name="Normal 58 3 3 5 3 2 2" xfId="24391"/>
    <cellStyle name="Normal 58 3 3 5 3 3" xfId="10561"/>
    <cellStyle name="Normal 58 3 3 5 3 4" xfId="19384"/>
    <cellStyle name="Normal 58 3 3 5 4" xfId="1812"/>
    <cellStyle name="Normal 58 3 3 5 4 2" xfId="11182"/>
    <cellStyle name="Normal 58 3 3 5 4 3" xfId="21186"/>
    <cellStyle name="Normal 58 3 3 5 5" xfId="6758"/>
    <cellStyle name="Normal 58 3 3 5 5 2" xfId="15585"/>
    <cellStyle name="Normal 58 3 3 5 5 3" xfId="25836"/>
    <cellStyle name="Normal 58 3 3 5 6" xfId="8204"/>
    <cellStyle name="Normal 58 3 3 5 6 2" xfId="20594"/>
    <cellStyle name="Normal 58 3 3 5 7" xfId="16179"/>
    <cellStyle name="Normal 58 3 3 6" xfId="2706"/>
    <cellStyle name="Normal 58 3 3 6 2" xfId="12025"/>
    <cellStyle name="Normal 58 3 3 6 2 2" xfId="22069"/>
    <cellStyle name="Normal 58 3 3 6 3" xfId="8585"/>
    <cellStyle name="Normal 58 3 3 6 4" xfId="17062"/>
    <cellStyle name="Normal 58 3 3 7" xfId="4257"/>
    <cellStyle name="Normal 58 3 3 7 2" xfId="13097"/>
    <cellStyle name="Normal 58 3 3 7 2 2" xfId="23348"/>
    <cellStyle name="Normal 58 3 3 7 3" xfId="9518"/>
    <cellStyle name="Normal 58 3 3 7 4" xfId="18341"/>
    <cellStyle name="Normal 58 3 3 8" xfId="1529"/>
    <cellStyle name="Normal 58 3 3 8 2" xfId="10908"/>
    <cellStyle name="Normal 58 3 3 8 3" xfId="20912"/>
    <cellStyle name="Normal 58 3 3 9" xfId="5715"/>
    <cellStyle name="Normal 58 3 3 9 2" xfId="14542"/>
    <cellStyle name="Normal 58 3 3 9 3" xfId="24793"/>
    <cellStyle name="Normal 58 3 3_Degree data" xfId="4008"/>
    <cellStyle name="Normal 58 3 4" xfId="245"/>
    <cellStyle name="Normal 58 3 4 10" xfId="7086"/>
    <cellStyle name="Normal 58 3 4 10 2" xfId="19700"/>
    <cellStyle name="Normal 58 3 4 11" xfId="15832"/>
    <cellStyle name="Normal 58 3 4 2" xfId="568"/>
    <cellStyle name="Normal 58 3 4 2 2" xfId="904"/>
    <cellStyle name="Normal 58 3 4 2 2 2" xfId="3390"/>
    <cellStyle name="Normal 58 3 4 2 2 2 2" xfId="12534"/>
    <cellStyle name="Normal 58 3 4 2 2 2 2 2" xfId="22753"/>
    <cellStyle name="Normal 58 3 4 2 2 2 3" xfId="8956"/>
    <cellStyle name="Normal 58 3 4 2 2 2 4" xfId="17746"/>
    <cellStyle name="Normal 58 3 4 2 2 3" xfId="4719"/>
    <cellStyle name="Normal 58 3 4 2 2 3 2" xfId="13559"/>
    <cellStyle name="Normal 58 3 4 2 2 3 2 2" xfId="23810"/>
    <cellStyle name="Normal 58 3 4 2 2 3 3" xfId="9980"/>
    <cellStyle name="Normal 58 3 4 2 2 3 4" xfId="18803"/>
    <cellStyle name="Normal 58 3 4 2 2 4" xfId="2499"/>
    <cellStyle name="Normal 58 3 4 2 2 4 2" xfId="11866"/>
    <cellStyle name="Normal 58 3 4 2 2 4 3" xfId="21870"/>
    <cellStyle name="Normal 58 3 4 2 2 5" xfId="6177"/>
    <cellStyle name="Normal 58 3 4 2 2 5 2" xfId="15004"/>
    <cellStyle name="Normal 58 3 4 2 2 5 3" xfId="25255"/>
    <cellStyle name="Normal 58 3 4 2 2 6" xfId="7622"/>
    <cellStyle name="Normal 58 3 4 2 2 6 2" xfId="20352"/>
    <cellStyle name="Normal 58 3 4 2 2 7" xfId="16863"/>
    <cellStyle name="Normal 58 3 4 2 3" xfId="1340"/>
    <cellStyle name="Normal 58 3 4 2 3 2" xfId="3770"/>
    <cellStyle name="Normal 58 3 4 2 3 2 2" xfId="12908"/>
    <cellStyle name="Normal 58 3 4 2 3 2 2 2" xfId="23127"/>
    <cellStyle name="Normal 58 3 4 2 3 2 3" xfId="9329"/>
    <cellStyle name="Normal 58 3 4 2 3 2 4" xfId="18120"/>
    <cellStyle name="Normal 58 3 4 2 3 3" xfId="5068"/>
    <cellStyle name="Normal 58 3 4 2 3 3 2" xfId="13907"/>
    <cellStyle name="Normal 58 3 4 2 3 3 2 2" xfId="24158"/>
    <cellStyle name="Normal 58 3 4 2 3 3 3" xfId="10328"/>
    <cellStyle name="Normal 58 3 4 2 3 3 4" xfId="19151"/>
    <cellStyle name="Normal 58 3 4 2 3 4" xfId="2164"/>
    <cellStyle name="Normal 58 3 4 2 3 4 2" xfId="11531"/>
    <cellStyle name="Normal 58 3 4 2 3 4 3" xfId="21535"/>
    <cellStyle name="Normal 58 3 4 2 3 5" xfId="6525"/>
    <cellStyle name="Normal 58 3 4 2 3 5 2" xfId="15352"/>
    <cellStyle name="Normal 58 3 4 2 3 5 3" xfId="25603"/>
    <cellStyle name="Normal 58 3 4 2 3 6" xfId="7971"/>
    <cellStyle name="Normal 58 3 4 2 3 6 2" xfId="20726"/>
    <cellStyle name="Normal 58 3 4 2 3 7" xfId="16528"/>
    <cellStyle name="Normal 58 3 4 2 4" xfId="3055"/>
    <cellStyle name="Normal 58 3 4 2 4 2" xfId="5433"/>
    <cellStyle name="Normal 58 3 4 2 4 2 2" xfId="14272"/>
    <cellStyle name="Normal 58 3 4 2 4 2 2 2" xfId="24523"/>
    <cellStyle name="Normal 58 3 4 2 4 2 3" xfId="10693"/>
    <cellStyle name="Normal 58 3 4 2 4 2 4" xfId="19516"/>
    <cellStyle name="Normal 58 3 4 2 4 3" xfId="6890"/>
    <cellStyle name="Normal 58 3 4 2 4 3 2" xfId="15717"/>
    <cellStyle name="Normal 58 3 4 2 4 3 3" xfId="25968"/>
    <cellStyle name="Normal 58 3 4 2 4 4" xfId="8336"/>
    <cellStyle name="Normal 58 3 4 2 4 4 2" xfId="22418"/>
    <cellStyle name="Normal 58 3 4 2 4 5" xfId="17411"/>
    <cellStyle name="Normal 58 3 4 2 5" xfId="4389"/>
    <cellStyle name="Normal 58 3 4 2 5 2" xfId="13229"/>
    <cellStyle name="Normal 58 3 4 2 5 2 2" xfId="23480"/>
    <cellStyle name="Normal 58 3 4 2 5 3" xfId="9650"/>
    <cellStyle name="Normal 58 3 4 2 5 4" xfId="18473"/>
    <cellStyle name="Normal 58 3 4 2 6" xfId="1661"/>
    <cellStyle name="Normal 58 3 4 2 6 2" xfId="11040"/>
    <cellStyle name="Normal 58 3 4 2 6 3" xfId="21044"/>
    <cellStyle name="Normal 58 3 4 2 7" xfId="5847"/>
    <cellStyle name="Normal 58 3 4 2 7 2" xfId="14674"/>
    <cellStyle name="Normal 58 3 4 2 7 3" xfId="24925"/>
    <cellStyle name="Normal 58 3 4 2 8" xfId="7291"/>
    <cellStyle name="Normal 58 3 4 2 8 2" xfId="20017"/>
    <cellStyle name="Normal 58 3 4 2 9" xfId="16037"/>
    <cellStyle name="Normal 58 3 4 2_Degree data" xfId="4011"/>
    <cellStyle name="Normal 58 3 4 3" xfId="363"/>
    <cellStyle name="Normal 58 3 4 3 2" xfId="2850"/>
    <cellStyle name="Normal 58 3 4 3 2 2" xfId="12140"/>
    <cellStyle name="Normal 58 3 4 3 2 2 2" xfId="22213"/>
    <cellStyle name="Normal 58 3 4 3 2 3" xfId="8539"/>
    <cellStyle name="Normal 58 3 4 3 2 4" xfId="17206"/>
    <cellStyle name="Normal 58 3 4 3 3" xfId="4718"/>
    <cellStyle name="Normal 58 3 4 3 3 2" xfId="13558"/>
    <cellStyle name="Normal 58 3 4 3 3 2 2" xfId="23809"/>
    <cellStyle name="Normal 58 3 4 3 3 3" xfId="9979"/>
    <cellStyle name="Normal 58 3 4 3 3 4" xfId="18802"/>
    <cellStyle name="Normal 58 3 4 3 4" xfId="1959"/>
    <cellStyle name="Normal 58 3 4 3 4 2" xfId="11326"/>
    <cellStyle name="Normal 58 3 4 3 4 3" xfId="21330"/>
    <cellStyle name="Normal 58 3 4 3 5" xfId="6176"/>
    <cellStyle name="Normal 58 3 4 3 5 2" xfId="15003"/>
    <cellStyle name="Normal 58 3 4 3 5 3" xfId="25254"/>
    <cellStyle name="Normal 58 3 4 3 6" xfId="7621"/>
    <cellStyle name="Normal 58 3 4 3 6 2" xfId="19812"/>
    <cellStyle name="Normal 58 3 4 3 7" xfId="16323"/>
    <cellStyle name="Normal 58 3 4 4" xfId="903"/>
    <cellStyle name="Normal 58 3 4 4 2" xfId="3389"/>
    <cellStyle name="Normal 58 3 4 4 2 2" xfId="12533"/>
    <cellStyle name="Normal 58 3 4 4 2 2 2" xfId="22752"/>
    <cellStyle name="Normal 58 3 4 4 2 3" xfId="8955"/>
    <cellStyle name="Normal 58 3 4 4 2 4" xfId="17745"/>
    <cellStyle name="Normal 58 3 4 4 3" xfId="5067"/>
    <cellStyle name="Normal 58 3 4 4 3 2" xfId="13906"/>
    <cellStyle name="Normal 58 3 4 4 3 2 2" xfId="24157"/>
    <cellStyle name="Normal 58 3 4 4 3 3" xfId="10327"/>
    <cellStyle name="Normal 58 3 4 4 3 4" xfId="19150"/>
    <cellStyle name="Normal 58 3 4 4 4" xfId="2498"/>
    <cellStyle name="Normal 58 3 4 4 4 2" xfId="11865"/>
    <cellStyle name="Normal 58 3 4 4 4 3" xfId="21869"/>
    <cellStyle name="Normal 58 3 4 4 5" xfId="6524"/>
    <cellStyle name="Normal 58 3 4 4 5 2" xfId="15351"/>
    <cellStyle name="Normal 58 3 4 4 5 3" xfId="25602"/>
    <cellStyle name="Normal 58 3 4 4 6" xfId="7970"/>
    <cellStyle name="Normal 58 3 4 4 6 2" xfId="20351"/>
    <cellStyle name="Normal 58 3 4 4 7" xfId="16862"/>
    <cellStyle name="Normal 58 3 4 5" xfId="1135"/>
    <cellStyle name="Normal 58 3 4 5 2" xfId="3565"/>
    <cellStyle name="Normal 58 3 4 5 2 2" xfId="12703"/>
    <cellStyle name="Normal 58 3 4 5 2 2 2" xfId="22922"/>
    <cellStyle name="Normal 58 3 4 5 2 3" xfId="9124"/>
    <cellStyle name="Normal 58 3 4 5 2 4" xfId="17915"/>
    <cellStyle name="Normal 58 3 4 5 3" xfId="5228"/>
    <cellStyle name="Normal 58 3 4 5 3 2" xfId="14067"/>
    <cellStyle name="Normal 58 3 4 5 3 2 2" xfId="24318"/>
    <cellStyle name="Normal 58 3 4 5 3 3" xfId="10488"/>
    <cellStyle name="Normal 58 3 4 5 3 4" xfId="19311"/>
    <cellStyle name="Normal 58 3 4 5 4" xfId="1844"/>
    <cellStyle name="Normal 58 3 4 5 4 2" xfId="11214"/>
    <cellStyle name="Normal 58 3 4 5 4 3" xfId="21218"/>
    <cellStyle name="Normal 58 3 4 5 5" xfId="6685"/>
    <cellStyle name="Normal 58 3 4 5 5 2" xfId="15512"/>
    <cellStyle name="Normal 58 3 4 5 5 3" xfId="25763"/>
    <cellStyle name="Normal 58 3 4 5 6" xfId="8131"/>
    <cellStyle name="Normal 58 3 4 5 6 2" xfId="20521"/>
    <cellStyle name="Normal 58 3 4 5 7" xfId="16211"/>
    <cellStyle name="Normal 58 3 4 6" xfId="2738"/>
    <cellStyle name="Normal 58 3 4 6 2" xfId="12057"/>
    <cellStyle name="Normal 58 3 4 6 2 2" xfId="22101"/>
    <cellStyle name="Normal 58 3 4 6 3" xfId="8497"/>
    <cellStyle name="Normal 58 3 4 6 4" xfId="17094"/>
    <cellStyle name="Normal 58 3 4 7" xfId="4184"/>
    <cellStyle name="Normal 58 3 4 7 2" xfId="13024"/>
    <cellStyle name="Normal 58 3 4 7 2 2" xfId="23275"/>
    <cellStyle name="Normal 58 3 4 7 3" xfId="9445"/>
    <cellStyle name="Normal 58 3 4 7 4" xfId="18268"/>
    <cellStyle name="Normal 58 3 4 8" xfId="1456"/>
    <cellStyle name="Normal 58 3 4 8 2" xfId="10835"/>
    <cellStyle name="Normal 58 3 4 8 3" xfId="20839"/>
    <cellStyle name="Normal 58 3 4 9" xfId="5642"/>
    <cellStyle name="Normal 58 3 4 9 2" xfId="14469"/>
    <cellStyle name="Normal 58 3 4 9 3" xfId="24720"/>
    <cellStyle name="Normal 58 3 4_Degree data" xfId="4010"/>
    <cellStyle name="Normal 58 3 5" xfId="463"/>
    <cellStyle name="Normal 58 3 5 2" xfId="905"/>
    <cellStyle name="Normal 58 3 5 2 2" xfId="3391"/>
    <cellStyle name="Normal 58 3 5 2 2 2" xfId="12535"/>
    <cellStyle name="Normal 58 3 5 2 2 2 2" xfId="22754"/>
    <cellStyle name="Normal 58 3 5 2 2 3" xfId="8957"/>
    <cellStyle name="Normal 58 3 5 2 2 4" xfId="17747"/>
    <cellStyle name="Normal 58 3 5 2 3" xfId="4720"/>
    <cellStyle name="Normal 58 3 5 2 3 2" xfId="13560"/>
    <cellStyle name="Normal 58 3 5 2 3 2 2" xfId="23811"/>
    <cellStyle name="Normal 58 3 5 2 3 3" xfId="9981"/>
    <cellStyle name="Normal 58 3 5 2 3 4" xfId="18804"/>
    <cellStyle name="Normal 58 3 5 2 4" xfId="2500"/>
    <cellStyle name="Normal 58 3 5 2 4 2" xfId="11867"/>
    <cellStyle name="Normal 58 3 5 2 4 3" xfId="21871"/>
    <cellStyle name="Normal 58 3 5 2 5" xfId="6178"/>
    <cellStyle name="Normal 58 3 5 2 5 2" xfId="15005"/>
    <cellStyle name="Normal 58 3 5 2 5 3" xfId="25256"/>
    <cellStyle name="Normal 58 3 5 2 6" xfId="7623"/>
    <cellStyle name="Normal 58 3 5 2 6 2" xfId="20353"/>
    <cellStyle name="Normal 58 3 5 2 7" xfId="16864"/>
    <cellStyle name="Normal 58 3 5 3" xfId="1235"/>
    <cellStyle name="Normal 58 3 5 3 2" xfId="3665"/>
    <cellStyle name="Normal 58 3 5 3 2 2" xfId="12803"/>
    <cellStyle name="Normal 58 3 5 3 2 2 2" xfId="23022"/>
    <cellStyle name="Normal 58 3 5 3 2 3" xfId="9224"/>
    <cellStyle name="Normal 58 3 5 3 2 4" xfId="18015"/>
    <cellStyle name="Normal 58 3 5 3 3" xfId="5069"/>
    <cellStyle name="Normal 58 3 5 3 3 2" xfId="13908"/>
    <cellStyle name="Normal 58 3 5 3 3 2 2" xfId="24159"/>
    <cellStyle name="Normal 58 3 5 3 3 3" xfId="10329"/>
    <cellStyle name="Normal 58 3 5 3 3 4" xfId="19152"/>
    <cellStyle name="Normal 58 3 5 3 4" xfId="2059"/>
    <cellStyle name="Normal 58 3 5 3 4 2" xfId="11426"/>
    <cellStyle name="Normal 58 3 5 3 4 3" xfId="21430"/>
    <cellStyle name="Normal 58 3 5 3 5" xfId="6526"/>
    <cellStyle name="Normal 58 3 5 3 5 2" xfId="15353"/>
    <cellStyle name="Normal 58 3 5 3 5 3" xfId="25604"/>
    <cellStyle name="Normal 58 3 5 3 6" xfId="7972"/>
    <cellStyle name="Normal 58 3 5 3 6 2" xfId="20621"/>
    <cellStyle name="Normal 58 3 5 3 7" xfId="16423"/>
    <cellStyle name="Normal 58 3 5 4" xfId="2950"/>
    <cellStyle name="Normal 58 3 5 4 2" xfId="5328"/>
    <cellStyle name="Normal 58 3 5 4 2 2" xfId="14167"/>
    <cellStyle name="Normal 58 3 5 4 2 2 2" xfId="24418"/>
    <cellStyle name="Normal 58 3 5 4 2 3" xfId="10588"/>
    <cellStyle name="Normal 58 3 5 4 2 4" xfId="19411"/>
    <cellStyle name="Normal 58 3 5 4 3" xfId="6785"/>
    <cellStyle name="Normal 58 3 5 4 3 2" xfId="15612"/>
    <cellStyle name="Normal 58 3 5 4 3 3" xfId="25863"/>
    <cellStyle name="Normal 58 3 5 4 4" xfId="8231"/>
    <cellStyle name="Normal 58 3 5 4 4 2" xfId="22313"/>
    <cellStyle name="Normal 58 3 5 4 5" xfId="17306"/>
    <cellStyle name="Normal 58 3 5 5" xfId="4284"/>
    <cellStyle name="Normal 58 3 5 5 2" xfId="13124"/>
    <cellStyle name="Normal 58 3 5 5 2 2" xfId="23375"/>
    <cellStyle name="Normal 58 3 5 5 3" xfId="9545"/>
    <cellStyle name="Normal 58 3 5 5 4" xfId="18368"/>
    <cellStyle name="Normal 58 3 5 6" xfId="1556"/>
    <cellStyle name="Normal 58 3 5 6 2" xfId="10935"/>
    <cellStyle name="Normal 58 3 5 6 3" xfId="20939"/>
    <cellStyle name="Normal 58 3 5 7" xfId="5742"/>
    <cellStyle name="Normal 58 3 5 7 2" xfId="14569"/>
    <cellStyle name="Normal 58 3 5 7 3" xfId="24820"/>
    <cellStyle name="Normal 58 3 5 8" xfId="7186"/>
    <cellStyle name="Normal 58 3 5 8 2" xfId="19912"/>
    <cellStyle name="Normal 58 3 5 9" xfId="15932"/>
    <cellStyle name="Normal 58 3 5_Degree data" xfId="4012"/>
    <cellStyle name="Normal 58 3 6" xfId="311"/>
    <cellStyle name="Normal 58 3 6 2" xfId="906"/>
    <cellStyle name="Normal 58 3 6 2 2" xfId="3392"/>
    <cellStyle name="Normal 58 3 6 2 2 2" xfId="12536"/>
    <cellStyle name="Normal 58 3 6 2 2 2 2" xfId="22755"/>
    <cellStyle name="Normal 58 3 6 2 2 3" xfId="8958"/>
    <cellStyle name="Normal 58 3 6 2 2 4" xfId="17748"/>
    <cellStyle name="Normal 58 3 6 2 3" xfId="4721"/>
    <cellStyle name="Normal 58 3 6 2 3 2" xfId="13561"/>
    <cellStyle name="Normal 58 3 6 2 3 2 2" xfId="23812"/>
    <cellStyle name="Normal 58 3 6 2 3 3" xfId="9982"/>
    <cellStyle name="Normal 58 3 6 2 3 4" xfId="18805"/>
    <cellStyle name="Normal 58 3 6 2 4" xfId="2501"/>
    <cellStyle name="Normal 58 3 6 2 4 2" xfId="11868"/>
    <cellStyle name="Normal 58 3 6 2 4 3" xfId="21872"/>
    <cellStyle name="Normal 58 3 6 2 5" xfId="6179"/>
    <cellStyle name="Normal 58 3 6 2 5 2" xfId="15006"/>
    <cellStyle name="Normal 58 3 6 2 5 3" xfId="25257"/>
    <cellStyle name="Normal 58 3 6 2 6" xfId="7624"/>
    <cellStyle name="Normal 58 3 6 2 6 2" xfId="20354"/>
    <cellStyle name="Normal 58 3 6 2 7" xfId="16865"/>
    <cellStyle name="Normal 58 3 6 3" xfId="1083"/>
    <cellStyle name="Normal 58 3 6 3 2" xfId="3513"/>
    <cellStyle name="Normal 58 3 6 3 2 2" xfId="12651"/>
    <cellStyle name="Normal 58 3 6 3 2 2 2" xfId="22870"/>
    <cellStyle name="Normal 58 3 6 3 2 3" xfId="9073"/>
    <cellStyle name="Normal 58 3 6 3 2 4" xfId="17863"/>
    <cellStyle name="Normal 58 3 6 3 3" xfId="5070"/>
    <cellStyle name="Normal 58 3 6 3 3 2" xfId="13909"/>
    <cellStyle name="Normal 58 3 6 3 3 2 2" xfId="24160"/>
    <cellStyle name="Normal 58 3 6 3 3 3" xfId="10330"/>
    <cellStyle name="Normal 58 3 6 3 3 4" xfId="19153"/>
    <cellStyle name="Normal 58 3 6 3 4" xfId="2605"/>
    <cellStyle name="Normal 58 3 6 3 4 2" xfId="11971"/>
    <cellStyle name="Normal 58 3 6 3 4 3" xfId="21975"/>
    <cellStyle name="Normal 58 3 6 3 5" xfId="6527"/>
    <cellStyle name="Normal 58 3 6 3 5 2" xfId="15354"/>
    <cellStyle name="Normal 58 3 6 3 5 3" xfId="25605"/>
    <cellStyle name="Normal 58 3 6 3 6" xfId="7973"/>
    <cellStyle name="Normal 58 3 6 3 6 2" xfId="20469"/>
    <cellStyle name="Normal 58 3 6 3 7" xfId="16968"/>
    <cellStyle name="Normal 58 3 6 4" xfId="2798"/>
    <cellStyle name="Normal 58 3 6 4 2" xfId="5176"/>
    <cellStyle name="Normal 58 3 6 4 2 2" xfId="14015"/>
    <cellStyle name="Normal 58 3 6 4 2 2 2" xfId="24266"/>
    <cellStyle name="Normal 58 3 6 4 2 3" xfId="10436"/>
    <cellStyle name="Normal 58 3 6 4 2 4" xfId="19259"/>
    <cellStyle name="Normal 58 3 6 4 3" xfId="6633"/>
    <cellStyle name="Normal 58 3 6 4 3 2" xfId="15460"/>
    <cellStyle name="Normal 58 3 6 4 3 3" xfId="25711"/>
    <cellStyle name="Normal 58 3 6 4 4" xfId="8079"/>
    <cellStyle name="Normal 58 3 6 4 4 2" xfId="22161"/>
    <cellStyle name="Normal 58 3 6 4 5" xfId="17154"/>
    <cellStyle name="Normal 58 3 6 5" xfId="4130"/>
    <cellStyle name="Normal 58 3 6 5 2" xfId="12970"/>
    <cellStyle name="Normal 58 3 6 5 2 2" xfId="23221"/>
    <cellStyle name="Normal 58 3 6 5 3" xfId="9391"/>
    <cellStyle name="Normal 58 3 6 5 4" xfId="18214"/>
    <cellStyle name="Normal 58 3 6 6" xfId="1907"/>
    <cellStyle name="Normal 58 3 6 6 2" xfId="11274"/>
    <cellStyle name="Normal 58 3 6 6 3" xfId="21278"/>
    <cellStyle name="Normal 58 3 6 7" xfId="5590"/>
    <cellStyle name="Normal 58 3 6 7 2" xfId="14417"/>
    <cellStyle name="Normal 58 3 6 7 3" xfId="24668"/>
    <cellStyle name="Normal 58 3 6 8" xfId="7034"/>
    <cellStyle name="Normal 58 3 6 8 2" xfId="19760"/>
    <cellStyle name="Normal 58 3 6 9" xfId="16271"/>
    <cellStyle name="Normal 58 3 6_Degree data" xfId="4013"/>
    <cellStyle name="Normal 58 3 7" xfId="895"/>
    <cellStyle name="Normal 58 3 7 2" xfId="3381"/>
    <cellStyle name="Normal 58 3 7 2 2" xfId="12525"/>
    <cellStyle name="Normal 58 3 7 2 2 2" xfId="22744"/>
    <cellStyle name="Normal 58 3 7 2 3" xfId="8947"/>
    <cellStyle name="Normal 58 3 7 2 4" xfId="17737"/>
    <cellStyle name="Normal 58 3 7 3" xfId="4710"/>
    <cellStyle name="Normal 58 3 7 3 2" xfId="13550"/>
    <cellStyle name="Normal 58 3 7 3 2 2" xfId="23801"/>
    <cellStyle name="Normal 58 3 7 3 3" xfId="9971"/>
    <cellStyle name="Normal 58 3 7 3 4" xfId="18794"/>
    <cellStyle name="Normal 58 3 7 4" xfId="2490"/>
    <cellStyle name="Normal 58 3 7 4 2" xfId="11857"/>
    <cellStyle name="Normal 58 3 7 4 3" xfId="21861"/>
    <cellStyle name="Normal 58 3 7 5" xfId="6168"/>
    <cellStyle name="Normal 58 3 7 5 2" xfId="14995"/>
    <cellStyle name="Normal 58 3 7 5 3" xfId="25246"/>
    <cellStyle name="Normal 58 3 7 6" xfId="7613"/>
    <cellStyle name="Normal 58 3 7 6 2" xfId="20343"/>
    <cellStyle name="Normal 58 3 7 7" xfId="16854"/>
    <cellStyle name="Normal 58 3 8" xfId="1063"/>
    <cellStyle name="Normal 58 3 8 2" xfId="3493"/>
    <cellStyle name="Normal 58 3 8 2 2" xfId="12631"/>
    <cellStyle name="Normal 58 3 8 2 2 2" xfId="22850"/>
    <cellStyle name="Normal 58 3 8 2 3" xfId="9053"/>
    <cellStyle name="Normal 58 3 8 2 4" xfId="17843"/>
    <cellStyle name="Normal 58 3 8 3" xfId="5059"/>
    <cellStyle name="Normal 58 3 8 3 2" xfId="13898"/>
    <cellStyle name="Normal 58 3 8 3 2 2" xfId="24149"/>
    <cellStyle name="Normal 58 3 8 3 3" xfId="10319"/>
    <cellStyle name="Normal 58 3 8 3 4" xfId="19142"/>
    <cellStyle name="Normal 58 3 8 4" xfId="1732"/>
    <cellStyle name="Normal 58 3 8 4 2" xfId="11108"/>
    <cellStyle name="Normal 58 3 8 4 3" xfId="21112"/>
    <cellStyle name="Normal 58 3 8 5" xfId="6516"/>
    <cellStyle name="Normal 58 3 8 5 2" xfId="15343"/>
    <cellStyle name="Normal 58 3 8 5 3" xfId="25594"/>
    <cellStyle name="Normal 58 3 8 6" xfId="7962"/>
    <cellStyle name="Normal 58 3 8 6 2" xfId="20449"/>
    <cellStyle name="Normal 58 3 8 7" xfId="16105"/>
    <cellStyle name="Normal 58 3 9" xfId="2630"/>
    <cellStyle name="Normal 58 3 9 2" xfId="5156"/>
    <cellStyle name="Normal 58 3 9 2 2" xfId="13995"/>
    <cellStyle name="Normal 58 3 9 2 2 2" xfId="24246"/>
    <cellStyle name="Normal 58 3 9 2 3" xfId="10416"/>
    <cellStyle name="Normal 58 3 9 2 4" xfId="19239"/>
    <cellStyle name="Normal 58 3 9 3" xfId="6613"/>
    <cellStyle name="Normal 58 3 9 3 2" xfId="15440"/>
    <cellStyle name="Normal 58 3 9 3 3" xfId="25691"/>
    <cellStyle name="Normal 58 3 9 4" xfId="8059"/>
    <cellStyle name="Normal 58 3 9 4 2" xfId="21995"/>
    <cellStyle name="Normal 58 3 9 5" xfId="16988"/>
    <cellStyle name="Normal 58 3_Degree data" xfId="4002"/>
    <cellStyle name="Normal 58 4" xfId="136"/>
    <cellStyle name="Normal 58 4 10" xfId="4105"/>
    <cellStyle name="Normal 58 4 10 2" xfId="5565"/>
    <cellStyle name="Normal 58 4 10 2 2" xfId="14392"/>
    <cellStyle name="Normal 58 4 10 2 3" xfId="24643"/>
    <cellStyle name="Normal 58 4 10 3" xfId="7009"/>
    <cellStyle name="Normal 58 4 10 3 2" xfId="23196"/>
    <cellStyle name="Normal 58 4 10 4" xfId="18189"/>
    <cellStyle name="Normal 58 4 11" xfId="1422"/>
    <cellStyle name="Normal 58 4 11 2" xfId="10801"/>
    <cellStyle name="Normal 58 4 11 3" xfId="20805"/>
    <cellStyle name="Normal 58 4 12" xfId="5533"/>
    <cellStyle name="Normal 58 4 12 2" xfId="14362"/>
    <cellStyle name="Normal 58 4 12 3" xfId="24613"/>
    <cellStyle name="Normal 58 4 13" xfId="6976"/>
    <cellStyle name="Normal 58 4 13 2" xfId="19606"/>
    <cellStyle name="Normal 58 4 14" xfId="15798"/>
    <cellStyle name="Normal 58 4 2" xfId="153"/>
    <cellStyle name="Normal 58 4 2 10" xfId="5667"/>
    <cellStyle name="Normal 58 4 2 10 2" xfId="14494"/>
    <cellStyle name="Normal 58 4 2 10 3" xfId="24745"/>
    <cellStyle name="Normal 58 4 2 11" xfId="7111"/>
    <cellStyle name="Normal 58 4 2 11 2" xfId="19620"/>
    <cellStyle name="Normal 58 4 2 12" xfId="15857"/>
    <cellStyle name="Normal 58 4 2 2" xfId="269"/>
    <cellStyle name="Normal 58 4 2 2 10" xfId="16061"/>
    <cellStyle name="Normal 58 4 2 2 2" xfId="592"/>
    <cellStyle name="Normal 58 4 2 2 2 2" xfId="3079"/>
    <cellStyle name="Normal 58 4 2 2 2 2 2" xfId="12232"/>
    <cellStyle name="Normal 58 4 2 2 2 2 2 2" xfId="22442"/>
    <cellStyle name="Normal 58 4 2 2 2 2 3" xfId="8654"/>
    <cellStyle name="Normal 58 4 2 2 2 2 4" xfId="17435"/>
    <cellStyle name="Normal 58 4 2 2 2 3" xfId="4724"/>
    <cellStyle name="Normal 58 4 2 2 2 3 2" xfId="13564"/>
    <cellStyle name="Normal 58 4 2 2 2 3 2 2" xfId="23815"/>
    <cellStyle name="Normal 58 4 2 2 2 3 3" xfId="9985"/>
    <cellStyle name="Normal 58 4 2 2 2 3 4" xfId="18808"/>
    <cellStyle name="Normal 58 4 2 2 2 4" xfId="2188"/>
    <cellStyle name="Normal 58 4 2 2 2 4 2" xfId="11555"/>
    <cellStyle name="Normal 58 4 2 2 2 4 3" xfId="21559"/>
    <cellStyle name="Normal 58 4 2 2 2 5" xfId="6182"/>
    <cellStyle name="Normal 58 4 2 2 2 5 2" xfId="15009"/>
    <cellStyle name="Normal 58 4 2 2 2 5 3" xfId="25260"/>
    <cellStyle name="Normal 58 4 2 2 2 6" xfId="7627"/>
    <cellStyle name="Normal 58 4 2 2 2 6 2" xfId="20041"/>
    <cellStyle name="Normal 58 4 2 2 2 7" xfId="16552"/>
    <cellStyle name="Normal 58 4 2 2 3" xfId="909"/>
    <cellStyle name="Normal 58 4 2 2 3 2" xfId="3395"/>
    <cellStyle name="Normal 58 4 2 2 3 2 2" xfId="12539"/>
    <cellStyle name="Normal 58 4 2 2 3 2 2 2" xfId="22758"/>
    <cellStyle name="Normal 58 4 2 2 3 2 3" xfId="8961"/>
    <cellStyle name="Normal 58 4 2 2 3 2 4" xfId="17751"/>
    <cellStyle name="Normal 58 4 2 2 3 3" xfId="5073"/>
    <cellStyle name="Normal 58 4 2 2 3 3 2" xfId="13912"/>
    <cellStyle name="Normal 58 4 2 2 3 3 2 2" xfId="24163"/>
    <cellStyle name="Normal 58 4 2 2 3 3 3" xfId="10333"/>
    <cellStyle name="Normal 58 4 2 2 3 3 4" xfId="19156"/>
    <cellStyle name="Normal 58 4 2 2 3 4" xfId="2504"/>
    <cellStyle name="Normal 58 4 2 2 3 4 2" xfId="11871"/>
    <cellStyle name="Normal 58 4 2 2 3 4 3" xfId="21875"/>
    <cellStyle name="Normal 58 4 2 2 3 5" xfId="6530"/>
    <cellStyle name="Normal 58 4 2 2 3 5 2" xfId="15357"/>
    <cellStyle name="Normal 58 4 2 2 3 5 3" xfId="25608"/>
    <cellStyle name="Normal 58 4 2 2 3 6" xfId="7976"/>
    <cellStyle name="Normal 58 4 2 2 3 6 2" xfId="20357"/>
    <cellStyle name="Normal 58 4 2 2 3 7" xfId="16868"/>
    <cellStyle name="Normal 58 4 2 2 4" xfId="1364"/>
    <cellStyle name="Normal 58 4 2 2 4 2" xfId="3794"/>
    <cellStyle name="Normal 58 4 2 2 4 2 2" xfId="12932"/>
    <cellStyle name="Normal 58 4 2 2 4 2 2 2" xfId="23151"/>
    <cellStyle name="Normal 58 4 2 2 4 2 3" xfId="9353"/>
    <cellStyle name="Normal 58 4 2 2 4 2 4" xfId="18144"/>
    <cellStyle name="Normal 58 4 2 2 4 3" xfId="5457"/>
    <cellStyle name="Normal 58 4 2 2 4 3 2" xfId="14296"/>
    <cellStyle name="Normal 58 4 2 2 4 3 2 2" xfId="24547"/>
    <cellStyle name="Normal 58 4 2 2 4 3 3" xfId="10717"/>
    <cellStyle name="Normal 58 4 2 2 4 3 4" xfId="19540"/>
    <cellStyle name="Normal 58 4 2 2 4 4" xfId="1868"/>
    <cellStyle name="Normal 58 4 2 2 4 4 2" xfId="11238"/>
    <cellStyle name="Normal 58 4 2 2 4 4 3" xfId="21242"/>
    <cellStyle name="Normal 58 4 2 2 4 5" xfId="6914"/>
    <cellStyle name="Normal 58 4 2 2 4 5 2" xfId="15741"/>
    <cellStyle name="Normal 58 4 2 2 4 5 3" xfId="25992"/>
    <cellStyle name="Normal 58 4 2 2 4 6" xfId="8360"/>
    <cellStyle name="Normal 58 4 2 2 4 6 2" xfId="20750"/>
    <cellStyle name="Normal 58 4 2 2 4 7" xfId="16235"/>
    <cellStyle name="Normal 58 4 2 2 5" xfId="2762"/>
    <cellStyle name="Normal 58 4 2 2 5 2" xfId="12081"/>
    <cellStyle name="Normal 58 4 2 2 5 2 2" xfId="22125"/>
    <cellStyle name="Normal 58 4 2 2 5 3" xfId="8409"/>
    <cellStyle name="Normal 58 4 2 2 5 4" xfId="17118"/>
    <cellStyle name="Normal 58 4 2 2 6" xfId="4413"/>
    <cellStyle name="Normal 58 4 2 2 6 2" xfId="13253"/>
    <cellStyle name="Normal 58 4 2 2 6 2 2" xfId="23504"/>
    <cellStyle name="Normal 58 4 2 2 6 3" xfId="9674"/>
    <cellStyle name="Normal 58 4 2 2 6 4" xfId="18497"/>
    <cellStyle name="Normal 58 4 2 2 7" xfId="1685"/>
    <cellStyle name="Normal 58 4 2 2 7 2" xfId="11064"/>
    <cellStyle name="Normal 58 4 2 2 7 3" xfId="21068"/>
    <cellStyle name="Normal 58 4 2 2 8" xfId="5871"/>
    <cellStyle name="Normal 58 4 2 2 8 2" xfId="14698"/>
    <cellStyle name="Normal 58 4 2 2 8 3" xfId="24949"/>
    <cellStyle name="Normal 58 4 2 2 9" xfId="7315"/>
    <cellStyle name="Normal 58 4 2 2 9 2" xfId="19724"/>
    <cellStyle name="Normal 58 4 2 2_Degree data" xfId="4016"/>
    <cellStyle name="Normal 58 4 2 3" xfId="488"/>
    <cellStyle name="Normal 58 4 2 3 2" xfId="910"/>
    <cellStyle name="Normal 58 4 2 3 2 2" xfId="3396"/>
    <cellStyle name="Normal 58 4 2 3 2 2 2" xfId="12540"/>
    <cellStyle name="Normal 58 4 2 3 2 2 2 2" xfId="22759"/>
    <cellStyle name="Normal 58 4 2 3 2 2 3" xfId="8962"/>
    <cellStyle name="Normal 58 4 2 3 2 2 4" xfId="17752"/>
    <cellStyle name="Normal 58 4 2 3 2 3" xfId="4725"/>
    <cellStyle name="Normal 58 4 2 3 2 3 2" xfId="13565"/>
    <cellStyle name="Normal 58 4 2 3 2 3 2 2" xfId="23816"/>
    <cellStyle name="Normal 58 4 2 3 2 3 3" xfId="9986"/>
    <cellStyle name="Normal 58 4 2 3 2 3 4" xfId="18809"/>
    <cellStyle name="Normal 58 4 2 3 2 4" xfId="2505"/>
    <cellStyle name="Normal 58 4 2 3 2 4 2" xfId="11872"/>
    <cellStyle name="Normal 58 4 2 3 2 4 3" xfId="21876"/>
    <cellStyle name="Normal 58 4 2 3 2 5" xfId="6183"/>
    <cellStyle name="Normal 58 4 2 3 2 5 2" xfId="15010"/>
    <cellStyle name="Normal 58 4 2 3 2 5 3" xfId="25261"/>
    <cellStyle name="Normal 58 4 2 3 2 6" xfId="7628"/>
    <cellStyle name="Normal 58 4 2 3 2 6 2" xfId="20358"/>
    <cellStyle name="Normal 58 4 2 3 2 7" xfId="16869"/>
    <cellStyle name="Normal 58 4 2 3 3" xfId="1260"/>
    <cellStyle name="Normal 58 4 2 3 3 2" xfId="3690"/>
    <cellStyle name="Normal 58 4 2 3 3 2 2" xfId="12828"/>
    <cellStyle name="Normal 58 4 2 3 3 2 2 2" xfId="23047"/>
    <cellStyle name="Normal 58 4 2 3 3 2 3" xfId="9249"/>
    <cellStyle name="Normal 58 4 2 3 3 2 4" xfId="18040"/>
    <cellStyle name="Normal 58 4 2 3 3 3" xfId="5074"/>
    <cellStyle name="Normal 58 4 2 3 3 3 2" xfId="13913"/>
    <cellStyle name="Normal 58 4 2 3 3 3 2 2" xfId="24164"/>
    <cellStyle name="Normal 58 4 2 3 3 3 3" xfId="10334"/>
    <cellStyle name="Normal 58 4 2 3 3 3 4" xfId="19157"/>
    <cellStyle name="Normal 58 4 2 3 3 4" xfId="2084"/>
    <cellStyle name="Normal 58 4 2 3 3 4 2" xfId="11451"/>
    <cellStyle name="Normal 58 4 2 3 3 4 3" xfId="21455"/>
    <cellStyle name="Normal 58 4 2 3 3 5" xfId="6531"/>
    <cellStyle name="Normal 58 4 2 3 3 5 2" xfId="15358"/>
    <cellStyle name="Normal 58 4 2 3 3 5 3" xfId="25609"/>
    <cellStyle name="Normal 58 4 2 3 3 6" xfId="7977"/>
    <cellStyle name="Normal 58 4 2 3 3 6 2" xfId="20646"/>
    <cellStyle name="Normal 58 4 2 3 3 7" xfId="16448"/>
    <cellStyle name="Normal 58 4 2 3 4" xfId="2975"/>
    <cellStyle name="Normal 58 4 2 3 4 2" xfId="5353"/>
    <cellStyle name="Normal 58 4 2 3 4 2 2" xfId="14192"/>
    <cellStyle name="Normal 58 4 2 3 4 2 2 2" xfId="24443"/>
    <cellStyle name="Normal 58 4 2 3 4 2 3" xfId="10613"/>
    <cellStyle name="Normal 58 4 2 3 4 2 4" xfId="19436"/>
    <cellStyle name="Normal 58 4 2 3 4 3" xfId="6810"/>
    <cellStyle name="Normal 58 4 2 3 4 3 2" xfId="15637"/>
    <cellStyle name="Normal 58 4 2 3 4 3 3" xfId="25888"/>
    <cellStyle name="Normal 58 4 2 3 4 4" xfId="8256"/>
    <cellStyle name="Normal 58 4 2 3 4 4 2" xfId="22338"/>
    <cellStyle name="Normal 58 4 2 3 4 5" xfId="17331"/>
    <cellStyle name="Normal 58 4 2 3 5" xfId="4309"/>
    <cellStyle name="Normal 58 4 2 3 5 2" xfId="13149"/>
    <cellStyle name="Normal 58 4 2 3 5 2 2" xfId="23400"/>
    <cellStyle name="Normal 58 4 2 3 5 3" xfId="9570"/>
    <cellStyle name="Normal 58 4 2 3 5 4" xfId="18393"/>
    <cellStyle name="Normal 58 4 2 3 6" xfId="1581"/>
    <cellStyle name="Normal 58 4 2 3 6 2" xfId="10960"/>
    <cellStyle name="Normal 58 4 2 3 6 3" xfId="20964"/>
    <cellStyle name="Normal 58 4 2 3 7" xfId="5767"/>
    <cellStyle name="Normal 58 4 2 3 7 2" xfId="14594"/>
    <cellStyle name="Normal 58 4 2 3 7 3" xfId="24845"/>
    <cellStyle name="Normal 58 4 2 3 8" xfId="7211"/>
    <cellStyle name="Normal 58 4 2 3 8 2" xfId="19937"/>
    <cellStyle name="Normal 58 4 2 3 9" xfId="15957"/>
    <cellStyle name="Normal 58 4 2 3_Degree data" xfId="4017"/>
    <cellStyle name="Normal 58 4 2 4" xfId="388"/>
    <cellStyle name="Normal 58 4 2 4 2" xfId="2875"/>
    <cellStyle name="Normal 58 4 2 4 2 2" xfId="12165"/>
    <cellStyle name="Normal 58 4 2 4 2 2 2" xfId="22238"/>
    <cellStyle name="Normal 58 4 2 4 2 3" xfId="8618"/>
    <cellStyle name="Normal 58 4 2 4 2 4" xfId="17231"/>
    <cellStyle name="Normal 58 4 2 4 3" xfId="4723"/>
    <cellStyle name="Normal 58 4 2 4 3 2" xfId="13563"/>
    <cellStyle name="Normal 58 4 2 4 3 2 2" xfId="23814"/>
    <cellStyle name="Normal 58 4 2 4 3 3" xfId="9984"/>
    <cellStyle name="Normal 58 4 2 4 3 4" xfId="18807"/>
    <cellStyle name="Normal 58 4 2 4 4" xfId="1984"/>
    <cellStyle name="Normal 58 4 2 4 4 2" xfId="11351"/>
    <cellStyle name="Normal 58 4 2 4 4 3" xfId="21355"/>
    <cellStyle name="Normal 58 4 2 4 5" xfId="6181"/>
    <cellStyle name="Normal 58 4 2 4 5 2" xfId="15008"/>
    <cellStyle name="Normal 58 4 2 4 5 3" xfId="25259"/>
    <cellStyle name="Normal 58 4 2 4 6" xfId="7626"/>
    <cellStyle name="Normal 58 4 2 4 6 2" xfId="19837"/>
    <cellStyle name="Normal 58 4 2 4 7" xfId="16348"/>
    <cellStyle name="Normal 58 4 2 5" xfId="908"/>
    <cellStyle name="Normal 58 4 2 5 2" xfId="3394"/>
    <cellStyle name="Normal 58 4 2 5 2 2" xfId="12538"/>
    <cellStyle name="Normal 58 4 2 5 2 2 2" xfId="22757"/>
    <cellStyle name="Normal 58 4 2 5 2 3" xfId="8960"/>
    <cellStyle name="Normal 58 4 2 5 2 4" xfId="17750"/>
    <cellStyle name="Normal 58 4 2 5 3" xfId="5072"/>
    <cellStyle name="Normal 58 4 2 5 3 2" xfId="13911"/>
    <cellStyle name="Normal 58 4 2 5 3 2 2" xfId="24162"/>
    <cellStyle name="Normal 58 4 2 5 3 3" xfId="10332"/>
    <cellStyle name="Normal 58 4 2 5 3 4" xfId="19155"/>
    <cellStyle name="Normal 58 4 2 5 4" xfId="2503"/>
    <cellStyle name="Normal 58 4 2 5 4 2" xfId="11870"/>
    <cellStyle name="Normal 58 4 2 5 4 3" xfId="21874"/>
    <cellStyle name="Normal 58 4 2 5 5" xfId="6529"/>
    <cellStyle name="Normal 58 4 2 5 5 2" xfId="15356"/>
    <cellStyle name="Normal 58 4 2 5 5 3" xfId="25607"/>
    <cellStyle name="Normal 58 4 2 5 6" xfId="7975"/>
    <cellStyle name="Normal 58 4 2 5 6 2" xfId="20356"/>
    <cellStyle name="Normal 58 4 2 5 7" xfId="16867"/>
    <cellStyle name="Normal 58 4 2 6" xfId="1160"/>
    <cellStyle name="Normal 58 4 2 6 2" xfId="3590"/>
    <cellStyle name="Normal 58 4 2 6 2 2" xfId="12728"/>
    <cellStyle name="Normal 58 4 2 6 2 2 2" xfId="22947"/>
    <cellStyle name="Normal 58 4 2 6 2 3" xfId="9149"/>
    <cellStyle name="Normal 58 4 2 6 2 4" xfId="17940"/>
    <cellStyle name="Normal 58 4 2 6 3" xfId="5253"/>
    <cellStyle name="Normal 58 4 2 6 3 2" xfId="14092"/>
    <cellStyle name="Normal 58 4 2 6 3 2 2" xfId="24343"/>
    <cellStyle name="Normal 58 4 2 6 3 3" xfId="10513"/>
    <cellStyle name="Normal 58 4 2 6 3 4" xfId="19336"/>
    <cellStyle name="Normal 58 4 2 6 4" xfId="1760"/>
    <cellStyle name="Normal 58 4 2 6 4 2" xfId="11133"/>
    <cellStyle name="Normal 58 4 2 6 4 3" xfId="21137"/>
    <cellStyle name="Normal 58 4 2 6 5" xfId="6710"/>
    <cellStyle name="Normal 58 4 2 6 5 2" xfId="15537"/>
    <cellStyle name="Normal 58 4 2 6 5 3" xfId="25788"/>
    <cellStyle name="Normal 58 4 2 6 6" xfId="8156"/>
    <cellStyle name="Normal 58 4 2 6 6 2" xfId="20546"/>
    <cellStyle name="Normal 58 4 2 6 7" xfId="16130"/>
    <cellStyle name="Normal 58 4 2 7" xfId="2658"/>
    <cellStyle name="Normal 58 4 2 7 2" xfId="11982"/>
    <cellStyle name="Normal 58 4 2 7 2 2" xfId="22021"/>
    <cellStyle name="Normal 58 4 2 7 3" xfId="8623"/>
    <cellStyle name="Normal 58 4 2 7 4" xfId="17014"/>
    <cellStyle name="Normal 58 4 2 8" xfId="4209"/>
    <cellStyle name="Normal 58 4 2 8 2" xfId="13049"/>
    <cellStyle name="Normal 58 4 2 8 2 2" xfId="23300"/>
    <cellStyle name="Normal 58 4 2 8 3" xfId="9470"/>
    <cellStyle name="Normal 58 4 2 8 4" xfId="18293"/>
    <cellStyle name="Normal 58 4 2 9" xfId="1481"/>
    <cellStyle name="Normal 58 4 2 9 2" xfId="10860"/>
    <cellStyle name="Normal 58 4 2 9 3" xfId="20864"/>
    <cellStyle name="Normal 58 4 2_Degree data" xfId="4015"/>
    <cellStyle name="Normal 58 4 3" xfId="203"/>
    <cellStyle name="Normal 58 4 3 10" xfId="7154"/>
    <cellStyle name="Normal 58 4 3 10 2" xfId="19663"/>
    <cellStyle name="Normal 58 4 3 11" xfId="15900"/>
    <cellStyle name="Normal 58 4 3 2" xfId="531"/>
    <cellStyle name="Normal 58 4 3 2 2" xfId="912"/>
    <cellStyle name="Normal 58 4 3 2 2 2" xfId="3398"/>
    <cellStyle name="Normal 58 4 3 2 2 2 2" xfId="12542"/>
    <cellStyle name="Normal 58 4 3 2 2 2 2 2" xfId="22761"/>
    <cellStyle name="Normal 58 4 3 2 2 2 3" xfId="8964"/>
    <cellStyle name="Normal 58 4 3 2 2 2 4" xfId="17754"/>
    <cellStyle name="Normal 58 4 3 2 2 3" xfId="4727"/>
    <cellStyle name="Normal 58 4 3 2 2 3 2" xfId="13567"/>
    <cellStyle name="Normal 58 4 3 2 2 3 2 2" xfId="23818"/>
    <cellStyle name="Normal 58 4 3 2 2 3 3" xfId="9988"/>
    <cellStyle name="Normal 58 4 3 2 2 3 4" xfId="18811"/>
    <cellStyle name="Normal 58 4 3 2 2 4" xfId="2507"/>
    <cellStyle name="Normal 58 4 3 2 2 4 2" xfId="11874"/>
    <cellStyle name="Normal 58 4 3 2 2 4 3" xfId="21878"/>
    <cellStyle name="Normal 58 4 3 2 2 5" xfId="6185"/>
    <cellStyle name="Normal 58 4 3 2 2 5 2" xfId="15012"/>
    <cellStyle name="Normal 58 4 3 2 2 5 3" xfId="25263"/>
    <cellStyle name="Normal 58 4 3 2 2 6" xfId="7630"/>
    <cellStyle name="Normal 58 4 3 2 2 6 2" xfId="20360"/>
    <cellStyle name="Normal 58 4 3 2 2 7" xfId="16871"/>
    <cellStyle name="Normal 58 4 3 2 3" xfId="1303"/>
    <cellStyle name="Normal 58 4 3 2 3 2" xfId="3733"/>
    <cellStyle name="Normal 58 4 3 2 3 2 2" xfId="12871"/>
    <cellStyle name="Normal 58 4 3 2 3 2 2 2" xfId="23090"/>
    <cellStyle name="Normal 58 4 3 2 3 2 3" xfId="9292"/>
    <cellStyle name="Normal 58 4 3 2 3 2 4" xfId="18083"/>
    <cellStyle name="Normal 58 4 3 2 3 3" xfId="5076"/>
    <cellStyle name="Normal 58 4 3 2 3 3 2" xfId="13915"/>
    <cellStyle name="Normal 58 4 3 2 3 3 2 2" xfId="24166"/>
    <cellStyle name="Normal 58 4 3 2 3 3 3" xfId="10336"/>
    <cellStyle name="Normal 58 4 3 2 3 3 4" xfId="19159"/>
    <cellStyle name="Normal 58 4 3 2 3 4" xfId="2127"/>
    <cellStyle name="Normal 58 4 3 2 3 4 2" xfId="11494"/>
    <cellStyle name="Normal 58 4 3 2 3 4 3" xfId="21498"/>
    <cellStyle name="Normal 58 4 3 2 3 5" xfId="6533"/>
    <cellStyle name="Normal 58 4 3 2 3 5 2" xfId="15360"/>
    <cellStyle name="Normal 58 4 3 2 3 5 3" xfId="25611"/>
    <cellStyle name="Normal 58 4 3 2 3 6" xfId="7979"/>
    <cellStyle name="Normal 58 4 3 2 3 6 2" xfId="20689"/>
    <cellStyle name="Normal 58 4 3 2 3 7" xfId="16491"/>
    <cellStyle name="Normal 58 4 3 2 4" xfId="3018"/>
    <cellStyle name="Normal 58 4 3 2 4 2" xfId="5396"/>
    <cellStyle name="Normal 58 4 3 2 4 2 2" xfId="14235"/>
    <cellStyle name="Normal 58 4 3 2 4 2 2 2" xfId="24486"/>
    <cellStyle name="Normal 58 4 3 2 4 2 3" xfId="10656"/>
    <cellStyle name="Normal 58 4 3 2 4 2 4" xfId="19479"/>
    <cellStyle name="Normal 58 4 3 2 4 3" xfId="6853"/>
    <cellStyle name="Normal 58 4 3 2 4 3 2" xfId="15680"/>
    <cellStyle name="Normal 58 4 3 2 4 3 3" xfId="25931"/>
    <cellStyle name="Normal 58 4 3 2 4 4" xfId="8299"/>
    <cellStyle name="Normal 58 4 3 2 4 4 2" xfId="22381"/>
    <cellStyle name="Normal 58 4 3 2 4 5" xfId="17374"/>
    <cellStyle name="Normal 58 4 3 2 5" xfId="4352"/>
    <cellStyle name="Normal 58 4 3 2 5 2" xfId="13192"/>
    <cellStyle name="Normal 58 4 3 2 5 2 2" xfId="23443"/>
    <cellStyle name="Normal 58 4 3 2 5 3" xfId="9613"/>
    <cellStyle name="Normal 58 4 3 2 5 4" xfId="18436"/>
    <cellStyle name="Normal 58 4 3 2 6" xfId="1624"/>
    <cellStyle name="Normal 58 4 3 2 6 2" xfId="11003"/>
    <cellStyle name="Normal 58 4 3 2 6 3" xfId="21007"/>
    <cellStyle name="Normal 58 4 3 2 7" xfId="5810"/>
    <cellStyle name="Normal 58 4 3 2 7 2" xfId="14637"/>
    <cellStyle name="Normal 58 4 3 2 7 3" xfId="24888"/>
    <cellStyle name="Normal 58 4 3 2 8" xfId="7254"/>
    <cellStyle name="Normal 58 4 3 2 8 2" xfId="19980"/>
    <cellStyle name="Normal 58 4 3 2 9" xfId="16000"/>
    <cellStyle name="Normal 58 4 3 2_Degree data" xfId="4019"/>
    <cellStyle name="Normal 58 4 3 3" xfId="431"/>
    <cellStyle name="Normal 58 4 3 3 2" xfId="2918"/>
    <cellStyle name="Normal 58 4 3 3 2 2" xfId="12208"/>
    <cellStyle name="Normal 58 4 3 3 2 2 2" xfId="22281"/>
    <cellStyle name="Normal 58 4 3 3 2 3" xfId="8521"/>
    <cellStyle name="Normal 58 4 3 3 2 4" xfId="17274"/>
    <cellStyle name="Normal 58 4 3 3 3" xfId="4726"/>
    <cellStyle name="Normal 58 4 3 3 3 2" xfId="13566"/>
    <cellStyle name="Normal 58 4 3 3 3 2 2" xfId="23817"/>
    <cellStyle name="Normal 58 4 3 3 3 3" xfId="9987"/>
    <cellStyle name="Normal 58 4 3 3 3 4" xfId="18810"/>
    <cellStyle name="Normal 58 4 3 3 4" xfId="2027"/>
    <cellStyle name="Normal 58 4 3 3 4 2" xfId="11394"/>
    <cellStyle name="Normal 58 4 3 3 4 3" xfId="21398"/>
    <cellStyle name="Normal 58 4 3 3 5" xfId="6184"/>
    <cellStyle name="Normal 58 4 3 3 5 2" xfId="15011"/>
    <cellStyle name="Normal 58 4 3 3 5 3" xfId="25262"/>
    <cellStyle name="Normal 58 4 3 3 6" xfId="7629"/>
    <cellStyle name="Normal 58 4 3 3 6 2" xfId="19880"/>
    <cellStyle name="Normal 58 4 3 3 7" xfId="16391"/>
    <cellStyle name="Normal 58 4 3 4" xfId="911"/>
    <cellStyle name="Normal 58 4 3 4 2" xfId="3397"/>
    <cellStyle name="Normal 58 4 3 4 2 2" xfId="12541"/>
    <cellStyle name="Normal 58 4 3 4 2 2 2" xfId="22760"/>
    <cellStyle name="Normal 58 4 3 4 2 3" xfId="8963"/>
    <cellStyle name="Normal 58 4 3 4 2 4" xfId="17753"/>
    <cellStyle name="Normal 58 4 3 4 3" xfId="5075"/>
    <cellStyle name="Normal 58 4 3 4 3 2" xfId="13914"/>
    <cellStyle name="Normal 58 4 3 4 3 2 2" xfId="24165"/>
    <cellStyle name="Normal 58 4 3 4 3 3" xfId="10335"/>
    <cellStyle name="Normal 58 4 3 4 3 4" xfId="19158"/>
    <cellStyle name="Normal 58 4 3 4 4" xfId="2506"/>
    <cellStyle name="Normal 58 4 3 4 4 2" xfId="11873"/>
    <cellStyle name="Normal 58 4 3 4 4 3" xfId="21877"/>
    <cellStyle name="Normal 58 4 3 4 5" xfId="6532"/>
    <cellStyle name="Normal 58 4 3 4 5 2" xfId="15359"/>
    <cellStyle name="Normal 58 4 3 4 5 3" xfId="25610"/>
    <cellStyle name="Normal 58 4 3 4 6" xfId="7978"/>
    <cellStyle name="Normal 58 4 3 4 6 2" xfId="20359"/>
    <cellStyle name="Normal 58 4 3 4 7" xfId="16870"/>
    <cellStyle name="Normal 58 4 3 5" xfId="1203"/>
    <cellStyle name="Normal 58 4 3 5 2" xfId="3633"/>
    <cellStyle name="Normal 58 4 3 5 2 2" xfId="12771"/>
    <cellStyle name="Normal 58 4 3 5 2 2 2" xfId="22990"/>
    <cellStyle name="Normal 58 4 3 5 2 3" xfId="9192"/>
    <cellStyle name="Normal 58 4 3 5 2 4" xfId="17983"/>
    <cellStyle name="Normal 58 4 3 5 3" xfId="5296"/>
    <cellStyle name="Normal 58 4 3 5 3 2" xfId="14135"/>
    <cellStyle name="Normal 58 4 3 5 3 2 2" xfId="24386"/>
    <cellStyle name="Normal 58 4 3 5 3 3" xfId="10556"/>
    <cellStyle name="Normal 58 4 3 5 3 4" xfId="19379"/>
    <cellStyle name="Normal 58 4 3 5 4" xfId="1806"/>
    <cellStyle name="Normal 58 4 3 5 4 2" xfId="11177"/>
    <cellStyle name="Normal 58 4 3 5 4 3" xfId="21181"/>
    <cellStyle name="Normal 58 4 3 5 5" xfId="6753"/>
    <cellStyle name="Normal 58 4 3 5 5 2" xfId="15580"/>
    <cellStyle name="Normal 58 4 3 5 5 3" xfId="25831"/>
    <cellStyle name="Normal 58 4 3 5 6" xfId="8199"/>
    <cellStyle name="Normal 58 4 3 5 6 2" xfId="20589"/>
    <cellStyle name="Normal 58 4 3 5 7" xfId="16174"/>
    <cellStyle name="Normal 58 4 3 6" xfId="2701"/>
    <cellStyle name="Normal 58 4 3 6 2" xfId="12020"/>
    <cellStyle name="Normal 58 4 3 6 2 2" xfId="22064"/>
    <cellStyle name="Normal 58 4 3 6 3" xfId="8412"/>
    <cellStyle name="Normal 58 4 3 6 4" xfId="17057"/>
    <cellStyle name="Normal 58 4 3 7" xfId="4252"/>
    <cellStyle name="Normal 58 4 3 7 2" xfId="13092"/>
    <cellStyle name="Normal 58 4 3 7 2 2" xfId="23343"/>
    <cellStyle name="Normal 58 4 3 7 3" xfId="9513"/>
    <cellStyle name="Normal 58 4 3 7 4" xfId="18336"/>
    <cellStyle name="Normal 58 4 3 8" xfId="1524"/>
    <cellStyle name="Normal 58 4 3 8 2" xfId="10903"/>
    <cellStyle name="Normal 58 4 3 8 3" xfId="20907"/>
    <cellStyle name="Normal 58 4 3 9" xfId="5710"/>
    <cellStyle name="Normal 58 4 3 9 2" xfId="14537"/>
    <cellStyle name="Normal 58 4 3 9 3" xfId="24788"/>
    <cellStyle name="Normal 58 4 3_Degree data" xfId="4018"/>
    <cellStyle name="Normal 58 4 4" xfId="256"/>
    <cellStyle name="Normal 58 4 4 10" xfId="7097"/>
    <cellStyle name="Normal 58 4 4 10 2" xfId="19711"/>
    <cellStyle name="Normal 58 4 4 11" xfId="15843"/>
    <cellStyle name="Normal 58 4 4 2" xfId="579"/>
    <cellStyle name="Normal 58 4 4 2 2" xfId="914"/>
    <cellStyle name="Normal 58 4 4 2 2 2" xfId="3400"/>
    <cellStyle name="Normal 58 4 4 2 2 2 2" xfId="12544"/>
    <cellStyle name="Normal 58 4 4 2 2 2 2 2" xfId="22763"/>
    <cellStyle name="Normal 58 4 4 2 2 2 3" xfId="8966"/>
    <cellStyle name="Normal 58 4 4 2 2 2 4" xfId="17756"/>
    <cellStyle name="Normal 58 4 4 2 2 3" xfId="4729"/>
    <cellStyle name="Normal 58 4 4 2 2 3 2" xfId="13569"/>
    <cellStyle name="Normal 58 4 4 2 2 3 2 2" xfId="23820"/>
    <cellStyle name="Normal 58 4 4 2 2 3 3" xfId="9990"/>
    <cellStyle name="Normal 58 4 4 2 2 3 4" xfId="18813"/>
    <cellStyle name="Normal 58 4 4 2 2 4" xfId="2509"/>
    <cellStyle name="Normal 58 4 4 2 2 4 2" xfId="11876"/>
    <cellStyle name="Normal 58 4 4 2 2 4 3" xfId="21880"/>
    <cellStyle name="Normal 58 4 4 2 2 5" xfId="6187"/>
    <cellStyle name="Normal 58 4 4 2 2 5 2" xfId="15014"/>
    <cellStyle name="Normal 58 4 4 2 2 5 3" xfId="25265"/>
    <cellStyle name="Normal 58 4 4 2 2 6" xfId="7632"/>
    <cellStyle name="Normal 58 4 4 2 2 6 2" xfId="20362"/>
    <cellStyle name="Normal 58 4 4 2 2 7" xfId="16873"/>
    <cellStyle name="Normal 58 4 4 2 3" xfId="1351"/>
    <cellStyle name="Normal 58 4 4 2 3 2" xfId="3781"/>
    <cellStyle name="Normal 58 4 4 2 3 2 2" xfId="12919"/>
    <cellStyle name="Normal 58 4 4 2 3 2 2 2" xfId="23138"/>
    <cellStyle name="Normal 58 4 4 2 3 2 3" xfId="9340"/>
    <cellStyle name="Normal 58 4 4 2 3 2 4" xfId="18131"/>
    <cellStyle name="Normal 58 4 4 2 3 3" xfId="5078"/>
    <cellStyle name="Normal 58 4 4 2 3 3 2" xfId="13917"/>
    <cellStyle name="Normal 58 4 4 2 3 3 2 2" xfId="24168"/>
    <cellStyle name="Normal 58 4 4 2 3 3 3" xfId="10338"/>
    <cellStyle name="Normal 58 4 4 2 3 3 4" xfId="19161"/>
    <cellStyle name="Normal 58 4 4 2 3 4" xfId="2175"/>
    <cellStyle name="Normal 58 4 4 2 3 4 2" xfId="11542"/>
    <cellStyle name="Normal 58 4 4 2 3 4 3" xfId="21546"/>
    <cellStyle name="Normal 58 4 4 2 3 5" xfId="6535"/>
    <cellStyle name="Normal 58 4 4 2 3 5 2" xfId="15362"/>
    <cellStyle name="Normal 58 4 4 2 3 5 3" xfId="25613"/>
    <cellStyle name="Normal 58 4 4 2 3 6" xfId="7981"/>
    <cellStyle name="Normal 58 4 4 2 3 6 2" xfId="20737"/>
    <cellStyle name="Normal 58 4 4 2 3 7" xfId="16539"/>
    <cellStyle name="Normal 58 4 4 2 4" xfId="3066"/>
    <cellStyle name="Normal 58 4 4 2 4 2" xfId="5444"/>
    <cellStyle name="Normal 58 4 4 2 4 2 2" xfId="14283"/>
    <cellStyle name="Normal 58 4 4 2 4 2 2 2" xfId="24534"/>
    <cellStyle name="Normal 58 4 4 2 4 2 3" xfId="10704"/>
    <cellStyle name="Normal 58 4 4 2 4 2 4" xfId="19527"/>
    <cellStyle name="Normal 58 4 4 2 4 3" xfId="6901"/>
    <cellStyle name="Normal 58 4 4 2 4 3 2" xfId="15728"/>
    <cellStyle name="Normal 58 4 4 2 4 3 3" xfId="25979"/>
    <cellStyle name="Normal 58 4 4 2 4 4" xfId="8347"/>
    <cellStyle name="Normal 58 4 4 2 4 4 2" xfId="22429"/>
    <cellStyle name="Normal 58 4 4 2 4 5" xfId="17422"/>
    <cellStyle name="Normal 58 4 4 2 5" xfId="4400"/>
    <cellStyle name="Normal 58 4 4 2 5 2" xfId="13240"/>
    <cellStyle name="Normal 58 4 4 2 5 2 2" xfId="23491"/>
    <cellStyle name="Normal 58 4 4 2 5 3" xfId="9661"/>
    <cellStyle name="Normal 58 4 4 2 5 4" xfId="18484"/>
    <cellStyle name="Normal 58 4 4 2 6" xfId="1672"/>
    <cellStyle name="Normal 58 4 4 2 6 2" xfId="11051"/>
    <cellStyle name="Normal 58 4 4 2 6 3" xfId="21055"/>
    <cellStyle name="Normal 58 4 4 2 7" xfId="5858"/>
    <cellStyle name="Normal 58 4 4 2 7 2" xfId="14685"/>
    <cellStyle name="Normal 58 4 4 2 7 3" xfId="24936"/>
    <cellStyle name="Normal 58 4 4 2 8" xfId="7302"/>
    <cellStyle name="Normal 58 4 4 2 8 2" xfId="20028"/>
    <cellStyle name="Normal 58 4 4 2 9" xfId="16048"/>
    <cellStyle name="Normal 58 4 4 2_Degree data" xfId="4021"/>
    <cellStyle name="Normal 58 4 4 3" xfId="374"/>
    <cellStyle name="Normal 58 4 4 3 2" xfId="2861"/>
    <cellStyle name="Normal 58 4 4 3 2 2" xfId="12151"/>
    <cellStyle name="Normal 58 4 4 3 2 2 2" xfId="22224"/>
    <cellStyle name="Normal 58 4 4 3 2 3" xfId="8475"/>
    <cellStyle name="Normal 58 4 4 3 2 4" xfId="17217"/>
    <cellStyle name="Normal 58 4 4 3 3" xfId="4728"/>
    <cellStyle name="Normal 58 4 4 3 3 2" xfId="13568"/>
    <cellStyle name="Normal 58 4 4 3 3 2 2" xfId="23819"/>
    <cellStyle name="Normal 58 4 4 3 3 3" xfId="9989"/>
    <cellStyle name="Normal 58 4 4 3 3 4" xfId="18812"/>
    <cellStyle name="Normal 58 4 4 3 4" xfId="1970"/>
    <cellStyle name="Normal 58 4 4 3 4 2" xfId="11337"/>
    <cellStyle name="Normal 58 4 4 3 4 3" xfId="21341"/>
    <cellStyle name="Normal 58 4 4 3 5" xfId="6186"/>
    <cellStyle name="Normal 58 4 4 3 5 2" xfId="15013"/>
    <cellStyle name="Normal 58 4 4 3 5 3" xfId="25264"/>
    <cellStyle name="Normal 58 4 4 3 6" xfId="7631"/>
    <cellStyle name="Normal 58 4 4 3 6 2" xfId="19823"/>
    <cellStyle name="Normal 58 4 4 3 7" xfId="16334"/>
    <cellStyle name="Normal 58 4 4 4" xfId="913"/>
    <cellStyle name="Normal 58 4 4 4 2" xfId="3399"/>
    <cellStyle name="Normal 58 4 4 4 2 2" xfId="12543"/>
    <cellStyle name="Normal 58 4 4 4 2 2 2" xfId="22762"/>
    <cellStyle name="Normal 58 4 4 4 2 3" xfId="8965"/>
    <cellStyle name="Normal 58 4 4 4 2 4" xfId="17755"/>
    <cellStyle name="Normal 58 4 4 4 3" xfId="5077"/>
    <cellStyle name="Normal 58 4 4 4 3 2" xfId="13916"/>
    <cellStyle name="Normal 58 4 4 4 3 2 2" xfId="24167"/>
    <cellStyle name="Normal 58 4 4 4 3 3" xfId="10337"/>
    <cellStyle name="Normal 58 4 4 4 3 4" xfId="19160"/>
    <cellStyle name="Normal 58 4 4 4 4" xfId="2508"/>
    <cellStyle name="Normal 58 4 4 4 4 2" xfId="11875"/>
    <cellStyle name="Normal 58 4 4 4 4 3" xfId="21879"/>
    <cellStyle name="Normal 58 4 4 4 5" xfId="6534"/>
    <cellStyle name="Normal 58 4 4 4 5 2" xfId="15361"/>
    <cellStyle name="Normal 58 4 4 4 5 3" xfId="25612"/>
    <cellStyle name="Normal 58 4 4 4 6" xfId="7980"/>
    <cellStyle name="Normal 58 4 4 4 6 2" xfId="20361"/>
    <cellStyle name="Normal 58 4 4 4 7" xfId="16872"/>
    <cellStyle name="Normal 58 4 4 5" xfId="1146"/>
    <cellStyle name="Normal 58 4 4 5 2" xfId="3576"/>
    <cellStyle name="Normal 58 4 4 5 2 2" xfId="12714"/>
    <cellStyle name="Normal 58 4 4 5 2 2 2" xfId="22933"/>
    <cellStyle name="Normal 58 4 4 5 2 3" xfId="9135"/>
    <cellStyle name="Normal 58 4 4 5 2 4" xfId="17926"/>
    <cellStyle name="Normal 58 4 4 5 3" xfId="5239"/>
    <cellStyle name="Normal 58 4 4 5 3 2" xfId="14078"/>
    <cellStyle name="Normal 58 4 4 5 3 2 2" xfId="24329"/>
    <cellStyle name="Normal 58 4 4 5 3 3" xfId="10499"/>
    <cellStyle name="Normal 58 4 4 5 3 4" xfId="19322"/>
    <cellStyle name="Normal 58 4 4 5 4" xfId="1855"/>
    <cellStyle name="Normal 58 4 4 5 4 2" xfId="11225"/>
    <cellStyle name="Normal 58 4 4 5 4 3" xfId="21229"/>
    <cellStyle name="Normal 58 4 4 5 5" xfId="6696"/>
    <cellStyle name="Normal 58 4 4 5 5 2" xfId="15523"/>
    <cellStyle name="Normal 58 4 4 5 5 3" xfId="25774"/>
    <cellStyle name="Normal 58 4 4 5 6" xfId="8142"/>
    <cellStyle name="Normal 58 4 4 5 6 2" xfId="20532"/>
    <cellStyle name="Normal 58 4 4 5 7" xfId="16222"/>
    <cellStyle name="Normal 58 4 4 6" xfId="2749"/>
    <cellStyle name="Normal 58 4 4 6 2" xfId="12068"/>
    <cellStyle name="Normal 58 4 4 6 2 2" xfId="22112"/>
    <cellStyle name="Normal 58 4 4 6 3" xfId="8496"/>
    <cellStyle name="Normal 58 4 4 6 4" xfId="17105"/>
    <cellStyle name="Normal 58 4 4 7" xfId="4195"/>
    <cellStyle name="Normal 58 4 4 7 2" xfId="13035"/>
    <cellStyle name="Normal 58 4 4 7 2 2" xfId="23286"/>
    <cellStyle name="Normal 58 4 4 7 3" xfId="9456"/>
    <cellStyle name="Normal 58 4 4 7 4" xfId="18279"/>
    <cellStyle name="Normal 58 4 4 8" xfId="1467"/>
    <cellStyle name="Normal 58 4 4 8 2" xfId="10846"/>
    <cellStyle name="Normal 58 4 4 8 3" xfId="20850"/>
    <cellStyle name="Normal 58 4 4 9" xfId="5653"/>
    <cellStyle name="Normal 58 4 4 9 2" xfId="14480"/>
    <cellStyle name="Normal 58 4 4 9 3" xfId="24731"/>
    <cellStyle name="Normal 58 4 4_Degree data" xfId="4020"/>
    <cellStyle name="Normal 58 4 5" xfId="474"/>
    <cellStyle name="Normal 58 4 5 2" xfId="915"/>
    <cellStyle name="Normal 58 4 5 2 2" xfId="3401"/>
    <cellStyle name="Normal 58 4 5 2 2 2" xfId="12545"/>
    <cellStyle name="Normal 58 4 5 2 2 2 2" xfId="22764"/>
    <cellStyle name="Normal 58 4 5 2 2 3" xfId="8967"/>
    <cellStyle name="Normal 58 4 5 2 2 4" xfId="17757"/>
    <cellStyle name="Normal 58 4 5 2 3" xfId="4730"/>
    <cellStyle name="Normal 58 4 5 2 3 2" xfId="13570"/>
    <cellStyle name="Normal 58 4 5 2 3 2 2" xfId="23821"/>
    <cellStyle name="Normal 58 4 5 2 3 3" xfId="9991"/>
    <cellStyle name="Normal 58 4 5 2 3 4" xfId="18814"/>
    <cellStyle name="Normal 58 4 5 2 4" xfId="2510"/>
    <cellStyle name="Normal 58 4 5 2 4 2" xfId="11877"/>
    <cellStyle name="Normal 58 4 5 2 4 3" xfId="21881"/>
    <cellStyle name="Normal 58 4 5 2 5" xfId="6188"/>
    <cellStyle name="Normal 58 4 5 2 5 2" xfId="15015"/>
    <cellStyle name="Normal 58 4 5 2 5 3" xfId="25266"/>
    <cellStyle name="Normal 58 4 5 2 6" xfId="7633"/>
    <cellStyle name="Normal 58 4 5 2 6 2" xfId="20363"/>
    <cellStyle name="Normal 58 4 5 2 7" xfId="16874"/>
    <cellStyle name="Normal 58 4 5 3" xfId="1246"/>
    <cellStyle name="Normal 58 4 5 3 2" xfId="3676"/>
    <cellStyle name="Normal 58 4 5 3 2 2" xfId="12814"/>
    <cellStyle name="Normal 58 4 5 3 2 2 2" xfId="23033"/>
    <cellStyle name="Normal 58 4 5 3 2 3" xfId="9235"/>
    <cellStyle name="Normal 58 4 5 3 2 4" xfId="18026"/>
    <cellStyle name="Normal 58 4 5 3 3" xfId="5079"/>
    <cellStyle name="Normal 58 4 5 3 3 2" xfId="13918"/>
    <cellStyle name="Normal 58 4 5 3 3 2 2" xfId="24169"/>
    <cellStyle name="Normal 58 4 5 3 3 3" xfId="10339"/>
    <cellStyle name="Normal 58 4 5 3 3 4" xfId="19162"/>
    <cellStyle name="Normal 58 4 5 3 4" xfId="2070"/>
    <cellStyle name="Normal 58 4 5 3 4 2" xfId="11437"/>
    <cellStyle name="Normal 58 4 5 3 4 3" xfId="21441"/>
    <cellStyle name="Normal 58 4 5 3 5" xfId="6536"/>
    <cellStyle name="Normal 58 4 5 3 5 2" xfId="15363"/>
    <cellStyle name="Normal 58 4 5 3 5 3" xfId="25614"/>
    <cellStyle name="Normal 58 4 5 3 6" xfId="7982"/>
    <cellStyle name="Normal 58 4 5 3 6 2" xfId="20632"/>
    <cellStyle name="Normal 58 4 5 3 7" xfId="16434"/>
    <cellStyle name="Normal 58 4 5 4" xfId="2961"/>
    <cellStyle name="Normal 58 4 5 4 2" xfId="5339"/>
    <cellStyle name="Normal 58 4 5 4 2 2" xfId="14178"/>
    <cellStyle name="Normal 58 4 5 4 2 2 2" xfId="24429"/>
    <cellStyle name="Normal 58 4 5 4 2 3" xfId="10599"/>
    <cellStyle name="Normal 58 4 5 4 2 4" xfId="19422"/>
    <cellStyle name="Normal 58 4 5 4 3" xfId="6796"/>
    <cellStyle name="Normal 58 4 5 4 3 2" xfId="15623"/>
    <cellStyle name="Normal 58 4 5 4 3 3" xfId="25874"/>
    <cellStyle name="Normal 58 4 5 4 4" xfId="8242"/>
    <cellStyle name="Normal 58 4 5 4 4 2" xfId="22324"/>
    <cellStyle name="Normal 58 4 5 4 5" xfId="17317"/>
    <cellStyle name="Normal 58 4 5 5" xfId="4295"/>
    <cellStyle name="Normal 58 4 5 5 2" xfId="13135"/>
    <cellStyle name="Normal 58 4 5 5 2 2" xfId="23386"/>
    <cellStyle name="Normal 58 4 5 5 3" xfId="9556"/>
    <cellStyle name="Normal 58 4 5 5 4" xfId="18379"/>
    <cellStyle name="Normal 58 4 5 6" xfId="1567"/>
    <cellStyle name="Normal 58 4 5 6 2" xfId="10946"/>
    <cellStyle name="Normal 58 4 5 6 3" xfId="20950"/>
    <cellStyle name="Normal 58 4 5 7" xfId="5753"/>
    <cellStyle name="Normal 58 4 5 7 2" xfId="14580"/>
    <cellStyle name="Normal 58 4 5 7 3" xfId="24831"/>
    <cellStyle name="Normal 58 4 5 8" xfId="7197"/>
    <cellStyle name="Normal 58 4 5 8 2" xfId="19923"/>
    <cellStyle name="Normal 58 4 5 9" xfId="15943"/>
    <cellStyle name="Normal 58 4 5_Degree data" xfId="4022"/>
    <cellStyle name="Normal 58 4 6" xfId="329"/>
    <cellStyle name="Normal 58 4 6 2" xfId="916"/>
    <cellStyle name="Normal 58 4 6 2 2" xfId="3402"/>
    <cellStyle name="Normal 58 4 6 2 2 2" xfId="12546"/>
    <cellStyle name="Normal 58 4 6 2 2 2 2" xfId="22765"/>
    <cellStyle name="Normal 58 4 6 2 2 3" xfId="8968"/>
    <cellStyle name="Normal 58 4 6 2 2 4" xfId="17758"/>
    <cellStyle name="Normal 58 4 6 2 3" xfId="4731"/>
    <cellStyle name="Normal 58 4 6 2 3 2" xfId="13571"/>
    <cellStyle name="Normal 58 4 6 2 3 2 2" xfId="23822"/>
    <cellStyle name="Normal 58 4 6 2 3 3" xfId="9992"/>
    <cellStyle name="Normal 58 4 6 2 3 4" xfId="18815"/>
    <cellStyle name="Normal 58 4 6 2 4" xfId="2511"/>
    <cellStyle name="Normal 58 4 6 2 4 2" xfId="11878"/>
    <cellStyle name="Normal 58 4 6 2 4 3" xfId="21882"/>
    <cellStyle name="Normal 58 4 6 2 5" xfId="6189"/>
    <cellStyle name="Normal 58 4 6 2 5 2" xfId="15016"/>
    <cellStyle name="Normal 58 4 6 2 5 3" xfId="25267"/>
    <cellStyle name="Normal 58 4 6 2 6" xfId="7634"/>
    <cellStyle name="Normal 58 4 6 2 6 2" xfId="20364"/>
    <cellStyle name="Normal 58 4 6 2 7" xfId="16875"/>
    <cellStyle name="Normal 58 4 6 3" xfId="1101"/>
    <cellStyle name="Normal 58 4 6 3 2" xfId="3531"/>
    <cellStyle name="Normal 58 4 6 3 2 2" xfId="12669"/>
    <cellStyle name="Normal 58 4 6 3 2 2 2" xfId="22888"/>
    <cellStyle name="Normal 58 4 6 3 2 3" xfId="9091"/>
    <cellStyle name="Normal 58 4 6 3 2 4" xfId="17881"/>
    <cellStyle name="Normal 58 4 6 3 3" xfId="5080"/>
    <cellStyle name="Normal 58 4 6 3 3 2" xfId="13919"/>
    <cellStyle name="Normal 58 4 6 3 3 2 2" xfId="24170"/>
    <cellStyle name="Normal 58 4 6 3 3 3" xfId="10340"/>
    <cellStyle name="Normal 58 4 6 3 3 4" xfId="19163"/>
    <cellStyle name="Normal 58 4 6 3 4" xfId="2606"/>
    <cellStyle name="Normal 58 4 6 3 4 2" xfId="11972"/>
    <cellStyle name="Normal 58 4 6 3 4 3" xfId="21976"/>
    <cellStyle name="Normal 58 4 6 3 5" xfId="6537"/>
    <cellStyle name="Normal 58 4 6 3 5 2" xfId="15364"/>
    <cellStyle name="Normal 58 4 6 3 5 3" xfId="25615"/>
    <cellStyle name="Normal 58 4 6 3 6" xfId="7983"/>
    <cellStyle name="Normal 58 4 6 3 6 2" xfId="20487"/>
    <cellStyle name="Normal 58 4 6 3 7" xfId="16969"/>
    <cellStyle name="Normal 58 4 6 4" xfId="2816"/>
    <cellStyle name="Normal 58 4 6 4 2" xfId="5194"/>
    <cellStyle name="Normal 58 4 6 4 2 2" xfId="14033"/>
    <cellStyle name="Normal 58 4 6 4 2 2 2" xfId="24284"/>
    <cellStyle name="Normal 58 4 6 4 2 3" xfId="10454"/>
    <cellStyle name="Normal 58 4 6 4 2 4" xfId="19277"/>
    <cellStyle name="Normal 58 4 6 4 3" xfId="6651"/>
    <cellStyle name="Normal 58 4 6 4 3 2" xfId="15478"/>
    <cellStyle name="Normal 58 4 6 4 3 3" xfId="25729"/>
    <cellStyle name="Normal 58 4 6 4 4" xfId="8097"/>
    <cellStyle name="Normal 58 4 6 4 4 2" xfId="22179"/>
    <cellStyle name="Normal 58 4 6 4 5" xfId="17172"/>
    <cellStyle name="Normal 58 4 6 5" xfId="4148"/>
    <cellStyle name="Normal 58 4 6 5 2" xfId="12988"/>
    <cellStyle name="Normal 58 4 6 5 2 2" xfId="23239"/>
    <cellStyle name="Normal 58 4 6 5 3" xfId="9409"/>
    <cellStyle name="Normal 58 4 6 5 4" xfId="18232"/>
    <cellStyle name="Normal 58 4 6 6" xfId="1925"/>
    <cellStyle name="Normal 58 4 6 6 2" xfId="11292"/>
    <cellStyle name="Normal 58 4 6 6 3" xfId="21296"/>
    <cellStyle name="Normal 58 4 6 7" xfId="5608"/>
    <cellStyle name="Normal 58 4 6 7 2" xfId="14435"/>
    <cellStyle name="Normal 58 4 6 7 3" xfId="24686"/>
    <cellStyle name="Normal 58 4 6 8" xfId="7052"/>
    <cellStyle name="Normal 58 4 6 8 2" xfId="19778"/>
    <cellStyle name="Normal 58 4 6 9" xfId="16289"/>
    <cellStyle name="Normal 58 4 6_Degree data" xfId="4023"/>
    <cellStyle name="Normal 58 4 7" xfId="907"/>
    <cellStyle name="Normal 58 4 7 2" xfId="3393"/>
    <cellStyle name="Normal 58 4 7 2 2" xfId="12537"/>
    <cellStyle name="Normal 58 4 7 2 2 2" xfId="22756"/>
    <cellStyle name="Normal 58 4 7 2 3" xfId="8959"/>
    <cellStyle name="Normal 58 4 7 2 4" xfId="17749"/>
    <cellStyle name="Normal 58 4 7 3" xfId="4722"/>
    <cellStyle name="Normal 58 4 7 3 2" xfId="13562"/>
    <cellStyle name="Normal 58 4 7 3 2 2" xfId="23813"/>
    <cellStyle name="Normal 58 4 7 3 3" xfId="9983"/>
    <cellStyle name="Normal 58 4 7 3 4" xfId="18806"/>
    <cellStyle name="Normal 58 4 7 4" xfId="2502"/>
    <cellStyle name="Normal 58 4 7 4 2" xfId="11869"/>
    <cellStyle name="Normal 58 4 7 4 3" xfId="21873"/>
    <cellStyle name="Normal 58 4 7 5" xfId="6180"/>
    <cellStyle name="Normal 58 4 7 5 2" xfId="15007"/>
    <cellStyle name="Normal 58 4 7 5 3" xfId="25258"/>
    <cellStyle name="Normal 58 4 7 6" xfId="7625"/>
    <cellStyle name="Normal 58 4 7 6 2" xfId="20355"/>
    <cellStyle name="Normal 58 4 7 7" xfId="16866"/>
    <cellStyle name="Normal 58 4 8" xfId="1058"/>
    <cellStyle name="Normal 58 4 8 2" xfId="3488"/>
    <cellStyle name="Normal 58 4 8 2 2" xfId="12626"/>
    <cellStyle name="Normal 58 4 8 2 2 2" xfId="22845"/>
    <cellStyle name="Normal 58 4 8 2 3" xfId="9048"/>
    <cellStyle name="Normal 58 4 8 2 4" xfId="17838"/>
    <cellStyle name="Normal 58 4 8 3" xfId="5071"/>
    <cellStyle name="Normal 58 4 8 3 2" xfId="13910"/>
    <cellStyle name="Normal 58 4 8 3 2 2" xfId="24161"/>
    <cellStyle name="Normal 58 4 8 3 3" xfId="10331"/>
    <cellStyle name="Normal 58 4 8 3 4" xfId="19154"/>
    <cellStyle name="Normal 58 4 8 4" xfId="1743"/>
    <cellStyle name="Normal 58 4 8 4 2" xfId="11119"/>
    <cellStyle name="Normal 58 4 8 4 3" xfId="21123"/>
    <cellStyle name="Normal 58 4 8 5" xfId="6528"/>
    <cellStyle name="Normal 58 4 8 5 2" xfId="15355"/>
    <cellStyle name="Normal 58 4 8 5 3" xfId="25606"/>
    <cellStyle name="Normal 58 4 8 6" xfId="7974"/>
    <cellStyle name="Normal 58 4 8 6 2" xfId="20444"/>
    <cellStyle name="Normal 58 4 8 7" xfId="16116"/>
    <cellStyle name="Normal 58 4 9" xfId="2643"/>
    <cellStyle name="Normal 58 4 9 2" xfId="5151"/>
    <cellStyle name="Normal 58 4 9 2 2" xfId="13990"/>
    <cellStyle name="Normal 58 4 9 2 2 2" xfId="24241"/>
    <cellStyle name="Normal 58 4 9 2 3" xfId="10411"/>
    <cellStyle name="Normal 58 4 9 2 4" xfId="19234"/>
    <cellStyle name="Normal 58 4 9 3" xfId="6608"/>
    <cellStyle name="Normal 58 4 9 3 2" xfId="15435"/>
    <cellStyle name="Normal 58 4 9 3 3" xfId="25686"/>
    <cellStyle name="Normal 58 4 9 4" xfId="8054"/>
    <cellStyle name="Normal 58 4 9 4 2" xfId="22007"/>
    <cellStyle name="Normal 58 4 9 5" xfId="17000"/>
    <cellStyle name="Normal 58 4_Degree data" xfId="4014"/>
    <cellStyle name="Normal 58 5" xfId="171"/>
    <cellStyle name="Normal 58 5 10" xfId="1437"/>
    <cellStyle name="Normal 58 5 10 2" xfId="10816"/>
    <cellStyle name="Normal 58 5 10 3" xfId="20820"/>
    <cellStyle name="Normal 58 5 11" xfId="5546"/>
    <cellStyle name="Normal 58 5 11 2" xfId="14375"/>
    <cellStyle name="Normal 58 5 11 3" xfId="24626"/>
    <cellStyle name="Normal 58 5 12" xfId="6992"/>
    <cellStyle name="Normal 58 5 12 2" xfId="19633"/>
    <cellStyle name="Normal 58 5 13" xfId="15813"/>
    <cellStyle name="Normal 58 5 2" xfId="218"/>
    <cellStyle name="Normal 58 5 2 10" xfId="7167"/>
    <cellStyle name="Normal 58 5 2 10 2" xfId="19676"/>
    <cellStyle name="Normal 58 5 2 11" xfId="15913"/>
    <cellStyle name="Normal 58 5 2 2" xfId="544"/>
    <cellStyle name="Normal 58 5 2 2 2" xfId="919"/>
    <cellStyle name="Normal 58 5 2 2 2 2" xfId="3405"/>
    <cellStyle name="Normal 58 5 2 2 2 2 2" xfId="12549"/>
    <cellStyle name="Normal 58 5 2 2 2 2 2 2" xfId="22768"/>
    <cellStyle name="Normal 58 5 2 2 2 2 3" xfId="8971"/>
    <cellStyle name="Normal 58 5 2 2 2 2 4" xfId="17761"/>
    <cellStyle name="Normal 58 5 2 2 2 3" xfId="4734"/>
    <cellStyle name="Normal 58 5 2 2 2 3 2" xfId="13574"/>
    <cellStyle name="Normal 58 5 2 2 2 3 2 2" xfId="23825"/>
    <cellStyle name="Normal 58 5 2 2 2 3 3" xfId="9995"/>
    <cellStyle name="Normal 58 5 2 2 2 3 4" xfId="18818"/>
    <cellStyle name="Normal 58 5 2 2 2 4" xfId="2514"/>
    <cellStyle name="Normal 58 5 2 2 2 4 2" xfId="11881"/>
    <cellStyle name="Normal 58 5 2 2 2 4 3" xfId="21885"/>
    <cellStyle name="Normal 58 5 2 2 2 5" xfId="6192"/>
    <cellStyle name="Normal 58 5 2 2 2 5 2" xfId="15019"/>
    <cellStyle name="Normal 58 5 2 2 2 5 3" xfId="25270"/>
    <cellStyle name="Normal 58 5 2 2 2 6" xfId="7637"/>
    <cellStyle name="Normal 58 5 2 2 2 6 2" xfId="20367"/>
    <cellStyle name="Normal 58 5 2 2 2 7" xfId="16878"/>
    <cellStyle name="Normal 58 5 2 2 3" xfId="1316"/>
    <cellStyle name="Normal 58 5 2 2 3 2" xfId="3746"/>
    <cellStyle name="Normal 58 5 2 2 3 2 2" xfId="12884"/>
    <cellStyle name="Normal 58 5 2 2 3 2 2 2" xfId="23103"/>
    <cellStyle name="Normal 58 5 2 2 3 2 3" xfId="9305"/>
    <cellStyle name="Normal 58 5 2 2 3 2 4" xfId="18096"/>
    <cellStyle name="Normal 58 5 2 2 3 3" xfId="5083"/>
    <cellStyle name="Normal 58 5 2 2 3 3 2" xfId="13922"/>
    <cellStyle name="Normal 58 5 2 2 3 3 2 2" xfId="24173"/>
    <cellStyle name="Normal 58 5 2 2 3 3 3" xfId="10343"/>
    <cellStyle name="Normal 58 5 2 2 3 3 4" xfId="19166"/>
    <cellStyle name="Normal 58 5 2 2 3 4" xfId="2140"/>
    <cellStyle name="Normal 58 5 2 2 3 4 2" xfId="11507"/>
    <cellStyle name="Normal 58 5 2 2 3 4 3" xfId="21511"/>
    <cellStyle name="Normal 58 5 2 2 3 5" xfId="6540"/>
    <cellStyle name="Normal 58 5 2 2 3 5 2" xfId="15367"/>
    <cellStyle name="Normal 58 5 2 2 3 5 3" xfId="25618"/>
    <cellStyle name="Normal 58 5 2 2 3 6" xfId="7986"/>
    <cellStyle name="Normal 58 5 2 2 3 6 2" xfId="20702"/>
    <cellStyle name="Normal 58 5 2 2 3 7" xfId="16504"/>
    <cellStyle name="Normal 58 5 2 2 4" xfId="3031"/>
    <cellStyle name="Normal 58 5 2 2 4 2" xfId="5409"/>
    <cellStyle name="Normal 58 5 2 2 4 2 2" xfId="14248"/>
    <cellStyle name="Normal 58 5 2 2 4 2 2 2" xfId="24499"/>
    <cellStyle name="Normal 58 5 2 2 4 2 3" xfId="10669"/>
    <cellStyle name="Normal 58 5 2 2 4 2 4" xfId="19492"/>
    <cellStyle name="Normal 58 5 2 2 4 3" xfId="6866"/>
    <cellStyle name="Normal 58 5 2 2 4 3 2" xfId="15693"/>
    <cellStyle name="Normal 58 5 2 2 4 3 3" xfId="25944"/>
    <cellStyle name="Normal 58 5 2 2 4 4" xfId="8312"/>
    <cellStyle name="Normal 58 5 2 2 4 4 2" xfId="22394"/>
    <cellStyle name="Normal 58 5 2 2 4 5" xfId="17387"/>
    <cellStyle name="Normal 58 5 2 2 5" xfId="4365"/>
    <cellStyle name="Normal 58 5 2 2 5 2" xfId="13205"/>
    <cellStyle name="Normal 58 5 2 2 5 2 2" xfId="23456"/>
    <cellStyle name="Normal 58 5 2 2 5 3" xfId="9626"/>
    <cellStyle name="Normal 58 5 2 2 5 4" xfId="18449"/>
    <cellStyle name="Normal 58 5 2 2 6" xfId="1637"/>
    <cellStyle name="Normal 58 5 2 2 6 2" xfId="11016"/>
    <cellStyle name="Normal 58 5 2 2 6 3" xfId="21020"/>
    <cellStyle name="Normal 58 5 2 2 7" xfId="5823"/>
    <cellStyle name="Normal 58 5 2 2 7 2" xfId="14650"/>
    <cellStyle name="Normal 58 5 2 2 7 3" xfId="24901"/>
    <cellStyle name="Normal 58 5 2 2 8" xfId="7267"/>
    <cellStyle name="Normal 58 5 2 2 8 2" xfId="19993"/>
    <cellStyle name="Normal 58 5 2 2 9" xfId="16013"/>
    <cellStyle name="Normal 58 5 2 2_Degree data" xfId="4026"/>
    <cellStyle name="Normal 58 5 2 3" xfId="444"/>
    <cellStyle name="Normal 58 5 2 3 2" xfId="2931"/>
    <cellStyle name="Normal 58 5 2 3 2 2" xfId="12221"/>
    <cellStyle name="Normal 58 5 2 3 2 2 2" xfId="22294"/>
    <cellStyle name="Normal 58 5 2 3 2 3" xfId="8458"/>
    <cellStyle name="Normal 58 5 2 3 2 4" xfId="17287"/>
    <cellStyle name="Normal 58 5 2 3 3" xfId="4733"/>
    <cellStyle name="Normal 58 5 2 3 3 2" xfId="13573"/>
    <cellStyle name="Normal 58 5 2 3 3 2 2" xfId="23824"/>
    <cellStyle name="Normal 58 5 2 3 3 3" xfId="9994"/>
    <cellStyle name="Normal 58 5 2 3 3 4" xfId="18817"/>
    <cellStyle name="Normal 58 5 2 3 4" xfId="2040"/>
    <cellStyle name="Normal 58 5 2 3 4 2" xfId="11407"/>
    <cellStyle name="Normal 58 5 2 3 4 3" xfId="21411"/>
    <cellStyle name="Normal 58 5 2 3 5" xfId="6191"/>
    <cellStyle name="Normal 58 5 2 3 5 2" xfId="15018"/>
    <cellStyle name="Normal 58 5 2 3 5 3" xfId="25269"/>
    <cellStyle name="Normal 58 5 2 3 6" xfId="7636"/>
    <cellStyle name="Normal 58 5 2 3 6 2" xfId="19893"/>
    <cellStyle name="Normal 58 5 2 3 7" xfId="16404"/>
    <cellStyle name="Normal 58 5 2 4" xfId="918"/>
    <cellStyle name="Normal 58 5 2 4 2" xfId="3404"/>
    <cellStyle name="Normal 58 5 2 4 2 2" xfId="12548"/>
    <cellStyle name="Normal 58 5 2 4 2 2 2" xfId="22767"/>
    <cellStyle name="Normal 58 5 2 4 2 3" xfId="8970"/>
    <cellStyle name="Normal 58 5 2 4 2 4" xfId="17760"/>
    <cellStyle name="Normal 58 5 2 4 3" xfId="5082"/>
    <cellStyle name="Normal 58 5 2 4 3 2" xfId="13921"/>
    <cellStyle name="Normal 58 5 2 4 3 2 2" xfId="24172"/>
    <cellStyle name="Normal 58 5 2 4 3 3" xfId="10342"/>
    <cellStyle name="Normal 58 5 2 4 3 4" xfId="19165"/>
    <cellStyle name="Normal 58 5 2 4 4" xfId="2513"/>
    <cellStyle name="Normal 58 5 2 4 4 2" xfId="11880"/>
    <cellStyle name="Normal 58 5 2 4 4 3" xfId="21884"/>
    <cellStyle name="Normal 58 5 2 4 5" xfId="6539"/>
    <cellStyle name="Normal 58 5 2 4 5 2" xfId="15366"/>
    <cellStyle name="Normal 58 5 2 4 5 3" xfId="25617"/>
    <cellStyle name="Normal 58 5 2 4 6" xfId="7985"/>
    <cellStyle name="Normal 58 5 2 4 6 2" xfId="20366"/>
    <cellStyle name="Normal 58 5 2 4 7" xfId="16877"/>
    <cellStyle name="Normal 58 5 2 5" xfId="1216"/>
    <cellStyle name="Normal 58 5 2 5 2" xfId="3646"/>
    <cellStyle name="Normal 58 5 2 5 2 2" xfId="12784"/>
    <cellStyle name="Normal 58 5 2 5 2 2 2" xfId="23003"/>
    <cellStyle name="Normal 58 5 2 5 2 3" xfId="9205"/>
    <cellStyle name="Normal 58 5 2 5 2 4" xfId="17996"/>
    <cellStyle name="Normal 58 5 2 5 3" xfId="5309"/>
    <cellStyle name="Normal 58 5 2 5 3 2" xfId="14148"/>
    <cellStyle name="Normal 58 5 2 5 3 2 2" xfId="24399"/>
    <cellStyle name="Normal 58 5 2 5 3 3" xfId="10569"/>
    <cellStyle name="Normal 58 5 2 5 3 4" xfId="19392"/>
    <cellStyle name="Normal 58 5 2 5 4" xfId="1820"/>
    <cellStyle name="Normal 58 5 2 5 4 2" xfId="11190"/>
    <cellStyle name="Normal 58 5 2 5 4 3" xfId="21194"/>
    <cellStyle name="Normal 58 5 2 5 5" xfId="6766"/>
    <cellStyle name="Normal 58 5 2 5 5 2" xfId="15593"/>
    <cellStyle name="Normal 58 5 2 5 5 3" xfId="25844"/>
    <cellStyle name="Normal 58 5 2 5 6" xfId="8212"/>
    <cellStyle name="Normal 58 5 2 5 6 2" xfId="20602"/>
    <cellStyle name="Normal 58 5 2 5 7" xfId="16187"/>
    <cellStyle name="Normal 58 5 2 6" xfId="2714"/>
    <cellStyle name="Normal 58 5 2 6 2" xfId="12033"/>
    <cellStyle name="Normal 58 5 2 6 2 2" xfId="22077"/>
    <cellStyle name="Normal 58 5 2 6 3" xfId="6961"/>
    <cellStyle name="Normal 58 5 2 6 4" xfId="17070"/>
    <cellStyle name="Normal 58 5 2 7" xfId="4265"/>
    <cellStyle name="Normal 58 5 2 7 2" xfId="13105"/>
    <cellStyle name="Normal 58 5 2 7 2 2" xfId="23356"/>
    <cellStyle name="Normal 58 5 2 7 3" xfId="9526"/>
    <cellStyle name="Normal 58 5 2 7 4" xfId="18349"/>
    <cellStyle name="Normal 58 5 2 8" xfId="1537"/>
    <cellStyle name="Normal 58 5 2 8 2" xfId="10916"/>
    <cellStyle name="Normal 58 5 2 8 3" xfId="20920"/>
    <cellStyle name="Normal 58 5 2 9" xfId="5723"/>
    <cellStyle name="Normal 58 5 2 9 2" xfId="14550"/>
    <cellStyle name="Normal 58 5 2 9 3" xfId="24801"/>
    <cellStyle name="Normal 58 5 2_Degree data" xfId="4025"/>
    <cellStyle name="Normal 58 5 3" xfId="283"/>
    <cellStyle name="Normal 58 5 3 10" xfId="7124"/>
    <cellStyle name="Normal 58 5 3 10 2" xfId="19737"/>
    <cellStyle name="Normal 58 5 3 11" xfId="15870"/>
    <cellStyle name="Normal 58 5 3 2" xfId="605"/>
    <cellStyle name="Normal 58 5 3 2 2" xfId="921"/>
    <cellStyle name="Normal 58 5 3 2 2 2" xfId="3407"/>
    <cellStyle name="Normal 58 5 3 2 2 2 2" xfId="12551"/>
    <cellStyle name="Normal 58 5 3 2 2 2 2 2" xfId="22770"/>
    <cellStyle name="Normal 58 5 3 2 2 2 3" xfId="8973"/>
    <cellStyle name="Normal 58 5 3 2 2 2 4" xfId="17763"/>
    <cellStyle name="Normal 58 5 3 2 2 3" xfId="4736"/>
    <cellStyle name="Normal 58 5 3 2 2 3 2" xfId="13576"/>
    <cellStyle name="Normal 58 5 3 2 2 3 2 2" xfId="23827"/>
    <cellStyle name="Normal 58 5 3 2 2 3 3" xfId="9997"/>
    <cellStyle name="Normal 58 5 3 2 2 3 4" xfId="18820"/>
    <cellStyle name="Normal 58 5 3 2 2 4" xfId="2516"/>
    <cellStyle name="Normal 58 5 3 2 2 4 2" xfId="11883"/>
    <cellStyle name="Normal 58 5 3 2 2 4 3" xfId="21887"/>
    <cellStyle name="Normal 58 5 3 2 2 5" xfId="6194"/>
    <cellStyle name="Normal 58 5 3 2 2 5 2" xfId="15021"/>
    <cellStyle name="Normal 58 5 3 2 2 5 3" xfId="25272"/>
    <cellStyle name="Normal 58 5 3 2 2 6" xfId="7639"/>
    <cellStyle name="Normal 58 5 3 2 2 6 2" xfId="20369"/>
    <cellStyle name="Normal 58 5 3 2 2 7" xfId="16880"/>
    <cellStyle name="Normal 58 5 3 2 3" xfId="1377"/>
    <cellStyle name="Normal 58 5 3 2 3 2" xfId="3807"/>
    <cellStyle name="Normal 58 5 3 2 3 2 2" xfId="12945"/>
    <cellStyle name="Normal 58 5 3 2 3 2 2 2" xfId="23164"/>
    <cellStyle name="Normal 58 5 3 2 3 2 3" xfId="9366"/>
    <cellStyle name="Normal 58 5 3 2 3 2 4" xfId="18157"/>
    <cellStyle name="Normal 58 5 3 2 3 3" xfId="5085"/>
    <cellStyle name="Normal 58 5 3 2 3 3 2" xfId="13924"/>
    <cellStyle name="Normal 58 5 3 2 3 3 2 2" xfId="24175"/>
    <cellStyle name="Normal 58 5 3 2 3 3 3" xfId="10345"/>
    <cellStyle name="Normal 58 5 3 2 3 3 4" xfId="19168"/>
    <cellStyle name="Normal 58 5 3 2 3 4" xfId="2201"/>
    <cellStyle name="Normal 58 5 3 2 3 4 2" xfId="11568"/>
    <cellStyle name="Normal 58 5 3 2 3 4 3" xfId="21572"/>
    <cellStyle name="Normal 58 5 3 2 3 5" xfId="6542"/>
    <cellStyle name="Normal 58 5 3 2 3 5 2" xfId="15369"/>
    <cellStyle name="Normal 58 5 3 2 3 5 3" xfId="25620"/>
    <cellStyle name="Normal 58 5 3 2 3 6" xfId="7988"/>
    <cellStyle name="Normal 58 5 3 2 3 6 2" xfId="20763"/>
    <cellStyle name="Normal 58 5 3 2 3 7" xfId="16565"/>
    <cellStyle name="Normal 58 5 3 2 4" xfId="3092"/>
    <cellStyle name="Normal 58 5 3 2 4 2" xfId="5470"/>
    <cellStyle name="Normal 58 5 3 2 4 2 2" xfId="14309"/>
    <cellStyle name="Normal 58 5 3 2 4 2 2 2" xfId="24560"/>
    <cellStyle name="Normal 58 5 3 2 4 2 3" xfId="10730"/>
    <cellStyle name="Normal 58 5 3 2 4 2 4" xfId="19553"/>
    <cellStyle name="Normal 58 5 3 2 4 3" xfId="6927"/>
    <cellStyle name="Normal 58 5 3 2 4 3 2" xfId="15754"/>
    <cellStyle name="Normal 58 5 3 2 4 3 3" xfId="26005"/>
    <cellStyle name="Normal 58 5 3 2 4 4" xfId="8373"/>
    <cellStyle name="Normal 58 5 3 2 4 4 2" xfId="22455"/>
    <cellStyle name="Normal 58 5 3 2 4 5" xfId="17448"/>
    <cellStyle name="Normal 58 5 3 2 5" xfId="4426"/>
    <cellStyle name="Normal 58 5 3 2 5 2" xfId="13266"/>
    <cellStyle name="Normal 58 5 3 2 5 2 2" xfId="23517"/>
    <cellStyle name="Normal 58 5 3 2 5 3" xfId="9687"/>
    <cellStyle name="Normal 58 5 3 2 5 4" xfId="18510"/>
    <cellStyle name="Normal 58 5 3 2 6" xfId="1698"/>
    <cellStyle name="Normal 58 5 3 2 6 2" xfId="11077"/>
    <cellStyle name="Normal 58 5 3 2 6 3" xfId="21081"/>
    <cellStyle name="Normal 58 5 3 2 7" xfId="5884"/>
    <cellStyle name="Normal 58 5 3 2 7 2" xfId="14711"/>
    <cellStyle name="Normal 58 5 3 2 7 3" xfId="24962"/>
    <cellStyle name="Normal 58 5 3 2 8" xfId="7328"/>
    <cellStyle name="Normal 58 5 3 2 8 2" xfId="20054"/>
    <cellStyle name="Normal 58 5 3 2 9" xfId="16074"/>
    <cellStyle name="Normal 58 5 3 2_Degree data" xfId="4028"/>
    <cellStyle name="Normal 58 5 3 3" xfId="401"/>
    <cellStyle name="Normal 58 5 3 3 2" xfId="2888"/>
    <cellStyle name="Normal 58 5 3 3 2 2" xfId="12178"/>
    <cellStyle name="Normal 58 5 3 3 2 2 2" xfId="22251"/>
    <cellStyle name="Normal 58 5 3 3 2 3" xfId="8469"/>
    <cellStyle name="Normal 58 5 3 3 2 4" xfId="17244"/>
    <cellStyle name="Normal 58 5 3 3 3" xfId="4735"/>
    <cellStyle name="Normal 58 5 3 3 3 2" xfId="13575"/>
    <cellStyle name="Normal 58 5 3 3 3 2 2" xfId="23826"/>
    <cellStyle name="Normal 58 5 3 3 3 3" xfId="9996"/>
    <cellStyle name="Normal 58 5 3 3 3 4" xfId="18819"/>
    <cellStyle name="Normal 58 5 3 3 4" xfId="1997"/>
    <cellStyle name="Normal 58 5 3 3 4 2" xfId="11364"/>
    <cellStyle name="Normal 58 5 3 3 4 3" xfId="21368"/>
    <cellStyle name="Normal 58 5 3 3 5" xfId="6193"/>
    <cellStyle name="Normal 58 5 3 3 5 2" xfId="15020"/>
    <cellStyle name="Normal 58 5 3 3 5 3" xfId="25271"/>
    <cellStyle name="Normal 58 5 3 3 6" xfId="7638"/>
    <cellStyle name="Normal 58 5 3 3 6 2" xfId="19850"/>
    <cellStyle name="Normal 58 5 3 3 7" xfId="16361"/>
    <cellStyle name="Normal 58 5 3 4" xfId="920"/>
    <cellStyle name="Normal 58 5 3 4 2" xfId="3406"/>
    <cellStyle name="Normal 58 5 3 4 2 2" xfId="12550"/>
    <cellStyle name="Normal 58 5 3 4 2 2 2" xfId="22769"/>
    <cellStyle name="Normal 58 5 3 4 2 3" xfId="8972"/>
    <cellStyle name="Normal 58 5 3 4 2 4" xfId="17762"/>
    <cellStyle name="Normal 58 5 3 4 3" xfId="5084"/>
    <cellStyle name="Normal 58 5 3 4 3 2" xfId="13923"/>
    <cellStyle name="Normal 58 5 3 4 3 2 2" xfId="24174"/>
    <cellStyle name="Normal 58 5 3 4 3 3" xfId="10344"/>
    <cellStyle name="Normal 58 5 3 4 3 4" xfId="19167"/>
    <cellStyle name="Normal 58 5 3 4 4" xfId="2515"/>
    <cellStyle name="Normal 58 5 3 4 4 2" xfId="11882"/>
    <cellStyle name="Normal 58 5 3 4 4 3" xfId="21886"/>
    <cellStyle name="Normal 58 5 3 4 5" xfId="6541"/>
    <cellStyle name="Normal 58 5 3 4 5 2" xfId="15368"/>
    <cellStyle name="Normal 58 5 3 4 5 3" xfId="25619"/>
    <cellStyle name="Normal 58 5 3 4 6" xfId="7987"/>
    <cellStyle name="Normal 58 5 3 4 6 2" xfId="20368"/>
    <cellStyle name="Normal 58 5 3 4 7" xfId="16879"/>
    <cellStyle name="Normal 58 5 3 5" xfId="1173"/>
    <cellStyle name="Normal 58 5 3 5 2" xfId="3603"/>
    <cellStyle name="Normal 58 5 3 5 2 2" xfId="12741"/>
    <cellStyle name="Normal 58 5 3 5 2 2 2" xfId="22960"/>
    <cellStyle name="Normal 58 5 3 5 2 3" xfId="9162"/>
    <cellStyle name="Normal 58 5 3 5 2 4" xfId="17953"/>
    <cellStyle name="Normal 58 5 3 5 3" xfId="5266"/>
    <cellStyle name="Normal 58 5 3 5 3 2" xfId="14105"/>
    <cellStyle name="Normal 58 5 3 5 3 2 2" xfId="24356"/>
    <cellStyle name="Normal 58 5 3 5 3 3" xfId="10526"/>
    <cellStyle name="Normal 58 5 3 5 3 4" xfId="19349"/>
    <cellStyle name="Normal 58 5 3 5 4" xfId="1881"/>
    <cellStyle name="Normal 58 5 3 5 4 2" xfId="11251"/>
    <cellStyle name="Normal 58 5 3 5 4 3" xfId="21255"/>
    <cellStyle name="Normal 58 5 3 5 5" xfId="6723"/>
    <cellStyle name="Normal 58 5 3 5 5 2" xfId="15550"/>
    <cellStyle name="Normal 58 5 3 5 5 3" xfId="25801"/>
    <cellStyle name="Normal 58 5 3 5 6" xfId="8169"/>
    <cellStyle name="Normal 58 5 3 5 6 2" xfId="20559"/>
    <cellStyle name="Normal 58 5 3 5 7" xfId="16248"/>
    <cellStyle name="Normal 58 5 3 6" xfId="2775"/>
    <cellStyle name="Normal 58 5 3 6 2" xfId="12094"/>
    <cellStyle name="Normal 58 5 3 6 2 2" xfId="22138"/>
    <cellStyle name="Normal 58 5 3 6 3" xfId="8548"/>
    <cellStyle name="Normal 58 5 3 6 4" xfId="17131"/>
    <cellStyle name="Normal 58 5 3 7" xfId="4222"/>
    <cellStyle name="Normal 58 5 3 7 2" xfId="13062"/>
    <cellStyle name="Normal 58 5 3 7 2 2" xfId="23313"/>
    <cellStyle name="Normal 58 5 3 7 3" xfId="9483"/>
    <cellStyle name="Normal 58 5 3 7 4" xfId="18306"/>
    <cellStyle name="Normal 58 5 3 8" xfId="1494"/>
    <cellStyle name="Normal 58 5 3 8 2" xfId="10873"/>
    <cellStyle name="Normal 58 5 3 8 3" xfId="20877"/>
    <cellStyle name="Normal 58 5 3 9" xfId="5680"/>
    <cellStyle name="Normal 58 5 3 9 2" xfId="14507"/>
    <cellStyle name="Normal 58 5 3 9 3" xfId="24758"/>
    <cellStyle name="Normal 58 5 3_Degree data" xfId="4027"/>
    <cellStyle name="Normal 58 5 4" xfId="501"/>
    <cellStyle name="Normal 58 5 4 2" xfId="922"/>
    <cellStyle name="Normal 58 5 4 2 2" xfId="3408"/>
    <cellStyle name="Normal 58 5 4 2 2 2" xfId="12552"/>
    <cellStyle name="Normal 58 5 4 2 2 2 2" xfId="22771"/>
    <cellStyle name="Normal 58 5 4 2 2 3" xfId="8974"/>
    <cellStyle name="Normal 58 5 4 2 2 4" xfId="17764"/>
    <cellStyle name="Normal 58 5 4 2 3" xfId="4737"/>
    <cellStyle name="Normal 58 5 4 2 3 2" xfId="13577"/>
    <cellStyle name="Normal 58 5 4 2 3 2 2" xfId="23828"/>
    <cellStyle name="Normal 58 5 4 2 3 3" xfId="9998"/>
    <cellStyle name="Normal 58 5 4 2 3 4" xfId="18821"/>
    <cellStyle name="Normal 58 5 4 2 4" xfId="2517"/>
    <cellStyle name="Normal 58 5 4 2 4 2" xfId="11884"/>
    <cellStyle name="Normal 58 5 4 2 4 3" xfId="21888"/>
    <cellStyle name="Normal 58 5 4 2 5" xfId="6195"/>
    <cellStyle name="Normal 58 5 4 2 5 2" xfId="15022"/>
    <cellStyle name="Normal 58 5 4 2 5 3" xfId="25273"/>
    <cellStyle name="Normal 58 5 4 2 6" xfId="7640"/>
    <cellStyle name="Normal 58 5 4 2 6 2" xfId="20370"/>
    <cellStyle name="Normal 58 5 4 2 7" xfId="16881"/>
    <cellStyle name="Normal 58 5 4 3" xfId="1273"/>
    <cellStyle name="Normal 58 5 4 3 2" xfId="3703"/>
    <cellStyle name="Normal 58 5 4 3 2 2" xfId="12841"/>
    <cellStyle name="Normal 58 5 4 3 2 2 2" xfId="23060"/>
    <cellStyle name="Normal 58 5 4 3 2 3" xfId="9262"/>
    <cellStyle name="Normal 58 5 4 3 2 4" xfId="18053"/>
    <cellStyle name="Normal 58 5 4 3 3" xfId="5086"/>
    <cellStyle name="Normal 58 5 4 3 3 2" xfId="13925"/>
    <cellStyle name="Normal 58 5 4 3 3 2 2" xfId="24176"/>
    <cellStyle name="Normal 58 5 4 3 3 3" xfId="10346"/>
    <cellStyle name="Normal 58 5 4 3 3 4" xfId="19169"/>
    <cellStyle name="Normal 58 5 4 3 4" xfId="2097"/>
    <cellStyle name="Normal 58 5 4 3 4 2" xfId="11464"/>
    <cellStyle name="Normal 58 5 4 3 4 3" xfId="21468"/>
    <cellStyle name="Normal 58 5 4 3 5" xfId="6543"/>
    <cellStyle name="Normal 58 5 4 3 5 2" xfId="15370"/>
    <cellStyle name="Normal 58 5 4 3 5 3" xfId="25621"/>
    <cellStyle name="Normal 58 5 4 3 6" xfId="7989"/>
    <cellStyle name="Normal 58 5 4 3 6 2" xfId="20659"/>
    <cellStyle name="Normal 58 5 4 3 7" xfId="16461"/>
    <cellStyle name="Normal 58 5 4 4" xfId="2988"/>
    <cellStyle name="Normal 58 5 4 4 2" xfId="5366"/>
    <cellStyle name="Normal 58 5 4 4 2 2" xfId="14205"/>
    <cellStyle name="Normal 58 5 4 4 2 2 2" xfId="24456"/>
    <cellStyle name="Normal 58 5 4 4 2 3" xfId="10626"/>
    <cellStyle name="Normal 58 5 4 4 2 4" xfId="19449"/>
    <cellStyle name="Normal 58 5 4 4 3" xfId="6823"/>
    <cellStyle name="Normal 58 5 4 4 3 2" xfId="15650"/>
    <cellStyle name="Normal 58 5 4 4 3 3" xfId="25901"/>
    <cellStyle name="Normal 58 5 4 4 4" xfId="8269"/>
    <cellStyle name="Normal 58 5 4 4 4 2" xfId="22351"/>
    <cellStyle name="Normal 58 5 4 4 5" xfId="17344"/>
    <cellStyle name="Normal 58 5 4 5" xfId="4322"/>
    <cellStyle name="Normal 58 5 4 5 2" xfId="13162"/>
    <cellStyle name="Normal 58 5 4 5 2 2" xfId="23413"/>
    <cellStyle name="Normal 58 5 4 5 3" xfId="9583"/>
    <cellStyle name="Normal 58 5 4 5 4" xfId="18406"/>
    <cellStyle name="Normal 58 5 4 6" xfId="1594"/>
    <cellStyle name="Normal 58 5 4 6 2" xfId="10973"/>
    <cellStyle name="Normal 58 5 4 6 3" xfId="20977"/>
    <cellStyle name="Normal 58 5 4 7" xfId="5780"/>
    <cellStyle name="Normal 58 5 4 7 2" xfId="14607"/>
    <cellStyle name="Normal 58 5 4 7 3" xfId="24858"/>
    <cellStyle name="Normal 58 5 4 8" xfId="7224"/>
    <cellStyle name="Normal 58 5 4 8 2" xfId="19950"/>
    <cellStyle name="Normal 58 5 4 9" xfId="15970"/>
    <cellStyle name="Normal 58 5 4_Degree data" xfId="4029"/>
    <cellStyle name="Normal 58 5 5" xfId="344"/>
    <cellStyle name="Normal 58 5 5 2" xfId="923"/>
    <cellStyle name="Normal 58 5 5 2 2" xfId="3409"/>
    <cellStyle name="Normal 58 5 5 2 2 2" xfId="12553"/>
    <cellStyle name="Normal 58 5 5 2 2 2 2" xfId="22772"/>
    <cellStyle name="Normal 58 5 5 2 2 3" xfId="8975"/>
    <cellStyle name="Normal 58 5 5 2 2 4" xfId="17765"/>
    <cellStyle name="Normal 58 5 5 2 3" xfId="4738"/>
    <cellStyle name="Normal 58 5 5 2 3 2" xfId="13578"/>
    <cellStyle name="Normal 58 5 5 2 3 2 2" xfId="23829"/>
    <cellStyle name="Normal 58 5 5 2 3 3" xfId="9999"/>
    <cellStyle name="Normal 58 5 5 2 3 4" xfId="18822"/>
    <cellStyle name="Normal 58 5 5 2 4" xfId="2518"/>
    <cellStyle name="Normal 58 5 5 2 4 2" xfId="11885"/>
    <cellStyle name="Normal 58 5 5 2 4 3" xfId="21889"/>
    <cellStyle name="Normal 58 5 5 2 5" xfId="6196"/>
    <cellStyle name="Normal 58 5 5 2 5 2" xfId="15023"/>
    <cellStyle name="Normal 58 5 5 2 5 3" xfId="25274"/>
    <cellStyle name="Normal 58 5 5 2 6" xfId="7641"/>
    <cellStyle name="Normal 58 5 5 2 6 2" xfId="20371"/>
    <cellStyle name="Normal 58 5 5 2 7" xfId="16882"/>
    <cellStyle name="Normal 58 5 5 3" xfId="1116"/>
    <cellStyle name="Normal 58 5 5 3 2" xfId="3546"/>
    <cellStyle name="Normal 58 5 5 3 2 2" xfId="12684"/>
    <cellStyle name="Normal 58 5 5 3 2 2 2" xfId="22903"/>
    <cellStyle name="Normal 58 5 5 3 2 3" xfId="9105"/>
    <cellStyle name="Normal 58 5 5 3 2 4" xfId="17896"/>
    <cellStyle name="Normal 58 5 5 3 3" xfId="5087"/>
    <cellStyle name="Normal 58 5 5 3 3 2" xfId="13926"/>
    <cellStyle name="Normal 58 5 5 3 3 2 2" xfId="24177"/>
    <cellStyle name="Normal 58 5 5 3 3 3" xfId="10347"/>
    <cellStyle name="Normal 58 5 5 3 3 4" xfId="19170"/>
    <cellStyle name="Normal 58 5 5 3 4" xfId="2607"/>
    <cellStyle name="Normal 58 5 5 3 4 2" xfId="11973"/>
    <cellStyle name="Normal 58 5 5 3 4 3" xfId="21977"/>
    <cellStyle name="Normal 58 5 5 3 5" xfId="6544"/>
    <cellStyle name="Normal 58 5 5 3 5 2" xfId="15371"/>
    <cellStyle name="Normal 58 5 5 3 5 3" xfId="25622"/>
    <cellStyle name="Normal 58 5 5 3 6" xfId="7990"/>
    <cellStyle name="Normal 58 5 5 3 6 2" xfId="20502"/>
    <cellStyle name="Normal 58 5 5 3 7" xfId="16970"/>
    <cellStyle name="Normal 58 5 5 4" xfId="2831"/>
    <cellStyle name="Normal 58 5 5 4 2" xfId="5209"/>
    <cellStyle name="Normal 58 5 5 4 2 2" xfId="14048"/>
    <cellStyle name="Normal 58 5 5 4 2 2 2" xfId="24299"/>
    <cellStyle name="Normal 58 5 5 4 2 3" xfId="10469"/>
    <cellStyle name="Normal 58 5 5 4 2 4" xfId="19292"/>
    <cellStyle name="Normal 58 5 5 4 3" xfId="6666"/>
    <cellStyle name="Normal 58 5 5 4 3 2" xfId="15493"/>
    <cellStyle name="Normal 58 5 5 4 3 3" xfId="25744"/>
    <cellStyle name="Normal 58 5 5 4 4" xfId="8112"/>
    <cellStyle name="Normal 58 5 5 4 4 2" xfId="22194"/>
    <cellStyle name="Normal 58 5 5 4 5" xfId="17187"/>
    <cellStyle name="Normal 58 5 5 5" xfId="4163"/>
    <cellStyle name="Normal 58 5 5 5 2" xfId="13003"/>
    <cellStyle name="Normal 58 5 5 5 2 2" xfId="23254"/>
    <cellStyle name="Normal 58 5 5 5 3" xfId="9424"/>
    <cellStyle name="Normal 58 5 5 5 4" xfId="18247"/>
    <cellStyle name="Normal 58 5 5 6" xfId="1940"/>
    <cellStyle name="Normal 58 5 5 6 2" xfId="11307"/>
    <cellStyle name="Normal 58 5 5 6 3" xfId="21311"/>
    <cellStyle name="Normal 58 5 5 7" xfId="5623"/>
    <cellStyle name="Normal 58 5 5 7 2" xfId="14450"/>
    <cellStyle name="Normal 58 5 5 7 3" xfId="24701"/>
    <cellStyle name="Normal 58 5 5 8" xfId="7067"/>
    <cellStyle name="Normal 58 5 5 8 2" xfId="19793"/>
    <cellStyle name="Normal 58 5 5 9" xfId="16304"/>
    <cellStyle name="Normal 58 5 5_Degree data" xfId="4030"/>
    <cellStyle name="Normal 58 5 6" xfId="917"/>
    <cellStyle name="Normal 58 5 6 2" xfId="3403"/>
    <cellStyle name="Normal 58 5 6 2 2" xfId="12547"/>
    <cellStyle name="Normal 58 5 6 2 2 2" xfId="22766"/>
    <cellStyle name="Normal 58 5 6 2 3" xfId="8969"/>
    <cellStyle name="Normal 58 5 6 2 4" xfId="17759"/>
    <cellStyle name="Normal 58 5 6 3" xfId="4732"/>
    <cellStyle name="Normal 58 5 6 3 2" xfId="13572"/>
    <cellStyle name="Normal 58 5 6 3 2 2" xfId="23823"/>
    <cellStyle name="Normal 58 5 6 3 3" xfId="9993"/>
    <cellStyle name="Normal 58 5 6 3 4" xfId="18816"/>
    <cellStyle name="Normal 58 5 6 4" xfId="2512"/>
    <cellStyle name="Normal 58 5 6 4 2" xfId="11879"/>
    <cellStyle name="Normal 58 5 6 4 3" xfId="21883"/>
    <cellStyle name="Normal 58 5 6 5" xfId="6190"/>
    <cellStyle name="Normal 58 5 6 5 2" xfId="15017"/>
    <cellStyle name="Normal 58 5 6 5 3" xfId="25268"/>
    <cellStyle name="Normal 58 5 6 6" xfId="7635"/>
    <cellStyle name="Normal 58 5 6 6 2" xfId="20365"/>
    <cellStyle name="Normal 58 5 6 7" xfId="16876"/>
    <cellStyle name="Normal 58 5 7" xfId="1071"/>
    <cellStyle name="Normal 58 5 7 2" xfId="3501"/>
    <cellStyle name="Normal 58 5 7 2 2" xfId="12639"/>
    <cellStyle name="Normal 58 5 7 2 2 2" xfId="22858"/>
    <cellStyle name="Normal 58 5 7 2 3" xfId="9061"/>
    <cellStyle name="Normal 58 5 7 2 4" xfId="17851"/>
    <cellStyle name="Normal 58 5 7 3" xfId="5081"/>
    <cellStyle name="Normal 58 5 7 3 2" xfId="13920"/>
    <cellStyle name="Normal 58 5 7 3 2 2" xfId="24171"/>
    <cellStyle name="Normal 58 5 7 3 3" xfId="10341"/>
    <cellStyle name="Normal 58 5 7 3 4" xfId="19164"/>
    <cellStyle name="Normal 58 5 7 4" xfId="1774"/>
    <cellStyle name="Normal 58 5 7 4 2" xfId="11147"/>
    <cellStyle name="Normal 58 5 7 4 3" xfId="21151"/>
    <cellStyle name="Normal 58 5 7 5" xfId="6538"/>
    <cellStyle name="Normal 58 5 7 5 2" xfId="15365"/>
    <cellStyle name="Normal 58 5 7 5 3" xfId="25616"/>
    <cellStyle name="Normal 58 5 7 6" xfId="7984"/>
    <cellStyle name="Normal 58 5 7 6 2" xfId="20457"/>
    <cellStyle name="Normal 58 5 7 7" xfId="16144"/>
    <cellStyle name="Normal 58 5 8" xfId="2671"/>
    <cellStyle name="Normal 58 5 8 2" xfId="5164"/>
    <cellStyle name="Normal 58 5 8 2 2" xfId="14003"/>
    <cellStyle name="Normal 58 5 8 2 2 2" xfId="24254"/>
    <cellStyle name="Normal 58 5 8 2 3" xfId="10424"/>
    <cellStyle name="Normal 58 5 8 2 4" xfId="19247"/>
    <cellStyle name="Normal 58 5 8 3" xfId="6621"/>
    <cellStyle name="Normal 58 5 8 3 2" xfId="15448"/>
    <cellStyle name="Normal 58 5 8 3 3" xfId="25699"/>
    <cellStyle name="Normal 58 5 8 4" xfId="8067"/>
    <cellStyle name="Normal 58 5 8 4 2" xfId="22034"/>
    <cellStyle name="Normal 58 5 8 5" xfId="17027"/>
    <cellStyle name="Normal 58 5 9" xfId="4118"/>
    <cellStyle name="Normal 58 5 9 2" xfId="5578"/>
    <cellStyle name="Normal 58 5 9 2 2" xfId="14405"/>
    <cellStyle name="Normal 58 5 9 2 3" xfId="24656"/>
    <cellStyle name="Normal 58 5 9 3" xfId="7022"/>
    <cellStyle name="Normal 58 5 9 3 2" xfId="23209"/>
    <cellStyle name="Normal 58 5 9 4" xfId="18202"/>
    <cellStyle name="Normal 58 5_Degree data" xfId="4024"/>
    <cellStyle name="Normal 58 6" xfId="146"/>
    <cellStyle name="Normal 58 6 10" xfId="1415"/>
    <cellStyle name="Normal 58 6 10 2" xfId="10794"/>
    <cellStyle name="Normal 58 6 10 3" xfId="20798"/>
    <cellStyle name="Normal 58 6 11" xfId="5526"/>
    <cellStyle name="Normal 58 6 11 2" xfId="14355"/>
    <cellStyle name="Normal 58 6 11 3" xfId="24606"/>
    <cellStyle name="Normal 58 6 12" xfId="6968"/>
    <cellStyle name="Normal 58 6 12 2" xfId="19613"/>
    <cellStyle name="Normal 58 6 13" xfId="15791"/>
    <cellStyle name="Normal 58 6 2" xfId="196"/>
    <cellStyle name="Normal 58 6 2 10" xfId="7147"/>
    <cellStyle name="Normal 58 6 2 10 2" xfId="19656"/>
    <cellStyle name="Normal 58 6 2 11" xfId="15893"/>
    <cellStyle name="Normal 58 6 2 2" xfId="524"/>
    <cellStyle name="Normal 58 6 2 2 2" xfId="926"/>
    <cellStyle name="Normal 58 6 2 2 2 2" xfId="3412"/>
    <cellStyle name="Normal 58 6 2 2 2 2 2" xfId="12556"/>
    <cellStyle name="Normal 58 6 2 2 2 2 2 2" xfId="22775"/>
    <cellStyle name="Normal 58 6 2 2 2 2 3" xfId="8978"/>
    <cellStyle name="Normal 58 6 2 2 2 2 4" xfId="17768"/>
    <cellStyle name="Normal 58 6 2 2 2 3" xfId="4741"/>
    <cellStyle name="Normal 58 6 2 2 2 3 2" xfId="13581"/>
    <cellStyle name="Normal 58 6 2 2 2 3 2 2" xfId="23832"/>
    <cellStyle name="Normal 58 6 2 2 2 3 3" xfId="10002"/>
    <cellStyle name="Normal 58 6 2 2 2 3 4" xfId="18825"/>
    <cellStyle name="Normal 58 6 2 2 2 4" xfId="2521"/>
    <cellStyle name="Normal 58 6 2 2 2 4 2" xfId="11888"/>
    <cellStyle name="Normal 58 6 2 2 2 4 3" xfId="21892"/>
    <cellStyle name="Normal 58 6 2 2 2 5" xfId="6199"/>
    <cellStyle name="Normal 58 6 2 2 2 5 2" xfId="15026"/>
    <cellStyle name="Normal 58 6 2 2 2 5 3" xfId="25277"/>
    <cellStyle name="Normal 58 6 2 2 2 6" xfId="7644"/>
    <cellStyle name="Normal 58 6 2 2 2 6 2" xfId="20374"/>
    <cellStyle name="Normal 58 6 2 2 2 7" xfId="16885"/>
    <cellStyle name="Normal 58 6 2 2 3" xfId="1296"/>
    <cellStyle name="Normal 58 6 2 2 3 2" xfId="3726"/>
    <cellStyle name="Normal 58 6 2 2 3 2 2" xfId="12864"/>
    <cellStyle name="Normal 58 6 2 2 3 2 2 2" xfId="23083"/>
    <cellStyle name="Normal 58 6 2 2 3 2 3" xfId="9285"/>
    <cellStyle name="Normal 58 6 2 2 3 2 4" xfId="18076"/>
    <cellStyle name="Normal 58 6 2 2 3 3" xfId="5090"/>
    <cellStyle name="Normal 58 6 2 2 3 3 2" xfId="13929"/>
    <cellStyle name="Normal 58 6 2 2 3 3 2 2" xfId="24180"/>
    <cellStyle name="Normal 58 6 2 2 3 3 3" xfId="10350"/>
    <cellStyle name="Normal 58 6 2 2 3 3 4" xfId="19173"/>
    <cellStyle name="Normal 58 6 2 2 3 4" xfId="2120"/>
    <cellStyle name="Normal 58 6 2 2 3 4 2" xfId="11487"/>
    <cellStyle name="Normal 58 6 2 2 3 4 3" xfId="21491"/>
    <cellStyle name="Normal 58 6 2 2 3 5" xfId="6547"/>
    <cellStyle name="Normal 58 6 2 2 3 5 2" xfId="15374"/>
    <cellStyle name="Normal 58 6 2 2 3 5 3" xfId="25625"/>
    <cellStyle name="Normal 58 6 2 2 3 6" xfId="7993"/>
    <cellStyle name="Normal 58 6 2 2 3 6 2" xfId="20682"/>
    <cellStyle name="Normal 58 6 2 2 3 7" xfId="16484"/>
    <cellStyle name="Normal 58 6 2 2 4" xfId="3011"/>
    <cellStyle name="Normal 58 6 2 2 4 2" xfId="5389"/>
    <cellStyle name="Normal 58 6 2 2 4 2 2" xfId="14228"/>
    <cellStyle name="Normal 58 6 2 2 4 2 2 2" xfId="24479"/>
    <cellStyle name="Normal 58 6 2 2 4 2 3" xfId="10649"/>
    <cellStyle name="Normal 58 6 2 2 4 2 4" xfId="19472"/>
    <cellStyle name="Normal 58 6 2 2 4 3" xfId="6846"/>
    <cellStyle name="Normal 58 6 2 2 4 3 2" xfId="15673"/>
    <cellStyle name="Normal 58 6 2 2 4 3 3" xfId="25924"/>
    <cellStyle name="Normal 58 6 2 2 4 4" xfId="8292"/>
    <cellStyle name="Normal 58 6 2 2 4 4 2" xfId="22374"/>
    <cellStyle name="Normal 58 6 2 2 4 5" xfId="17367"/>
    <cellStyle name="Normal 58 6 2 2 5" xfId="4345"/>
    <cellStyle name="Normal 58 6 2 2 5 2" xfId="13185"/>
    <cellStyle name="Normal 58 6 2 2 5 2 2" xfId="23436"/>
    <cellStyle name="Normal 58 6 2 2 5 3" xfId="9606"/>
    <cellStyle name="Normal 58 6 2 2 5 4" xfId="18429"/>
    <cellStyle name="Normal 58 6 2 2 6" xfId="1617"/>
    <cellStyle name="Normal 58 6 2 2 6 2" xfId="10996"/>
    <cellStyle name="Normal 58 6 2 2 6 3" xfId="21000"/>
    <cellStyle name="Normal 58 6 2 2 7" xfId="5803"/>
    <cellStyle name="Normal 58 6 2 2 7 2" xfId="14630"/>
    <cellStyle name="Normal 58 6 2 2 7 3" xfId="24881"/>
    <cellStyle name="Normal 58 6 2 2 8" xfId="7247"/>
    <cellStyle name="Normal 58 6 2 2 8 2" xfId="19973"/>
    <cellStyle name="Normal 58 6 2 2 9" xfId="15993"/>
    <cellStyle name="Normal 58 6 2 2_Degree data" xfId="4033"/>
    <cellStyle name="Normal 58 6 2 3" xfId="424"/>
    <cellStyle name="Normal 58 6 2 3 2" xfId="2911"/>
    <cellStyle name="Normal 58 6 2 3 2 2" xfId="12201"/>
    <cellStyle name="Normal 58 6 2 3 2 2 2" xfId="22274"/>
    <cellStyle name="Normal 58 6 2 3 2 3" xfId="8461"/>
    <cellStyle name="Normal 58 6 2 3 2 4" xfId="17267"/>
    <cellStyle name="Normal 58 6 2 3 3" xfId="4740"/>
    <cellStyle name="Normal 58 6 2 3 3 2" xfId="13580"/>
    <cellStyle name="Normal 58 6 2 3 3 2 2" xfId="23831"/>
    <cellStyle name="Normal 58 6 2 3 3 3" xfId="10001"/>
    <cellStyle name="Normal 58 6 2 3 3 4" xfId="18824"/>
    <cellStyle name="Normal 58 6 2 3 4" xfId="2020"/>
    <cellStyle name="Normal 58 6 2 3 4 2" xfId="11387"/>
    <cellStyle name="Normal 58 6 2 3 4 3" xfId="21391"/>
    <cellStyle name="Normal 58 6 2 3 5" xfId="6198"/>
    <cellStyle name="Normal 58 6 2 3 5 2" xfId="15025"/>
    <cellStyle name="Normal 58 6 2 3 5 3" xfId="25276"/>
    <cellStyle name="Normal 58 6 2 3 6" xfId="7643"/>
    <cellStyle name="Normal 58 6 2 3 6 2" xfId="19873"/>
    <cellStyle name="Normal 58 6 2 3 7" xfId="16384"/>
    <cellStyle name="Normal 58 6 2 4" xfId="925"/>
    <cellStyle name="Normal 58 6 2 4 2" xfId="3411"/>
    <cellStyle name="Normal 58 6 2 4 2 2" xfId="12555"/>
    <cellStyle name="Normal 58 6 2 4 2 2 2" xfId="22774"/>
    <cellStyle name="Normal 58 6 2 4 2 3" xfId="8977"/>
    <cellStyle name="Normal 58 6 2 4 2 4" xfId="17767"/>
    <cellStyle name="Normal 58 6 2 4 3" xfId="5089"/>
    <cellStyle name="Normal 58 6 2 4 3 2" xfId="13928"/>
    <cellStyle name="Normal 58 6 2 4 3 2 2" xfId="24179"/>
    <cellStyle name="Normal 58 6 2 4 3 3" xfId="10349"/>
    <cellStyle name="Normal 58 6 2 4 3 4" xfId="19172"/>
    <cellStyle name="Normal 58 6 2 4 4" xfId="2520"/>
    <cellStyle name="Normal 58 6 2 4 4 2" xfId="11887"/>
    <cellStyle name="Normal 58 6 2 4 4 3" xfId="21891"/>
    <cellStyle name="Normal 58 6 2 4 5" xfId="6546"/>
    <cellStyle name="Normal 58 6 2 4 5 2" xfId="15373"/>
    <cellStyle name="Normal 58 6 2 4 5 3" xfId="25624"/>
    <cellStyle name="Normal 58 6 2 4 6" xfId="7992"/>
    <cellStyle name="Normal 58 6 2 4 6 2" xfId="20373"/>
    <cellStyle name="Normal 58 6 2 4 7" xfId="16884"/>
    <cellStyle name="Normal 58 6 2 5" xfId="1196"/>
    <cellStyle name="Normal 58 6 2 5 2" xfId="3626"/>
    <cellStyle name="Normal 58 6 2 5 2 2" xfId="12764"/>
    <cellStyle name="Normal 58 6 2 5 2 2 2" xfId="22983"/>
    <cellStyle name="Normal 58 6 2 5 2 3" xfId="9185"/>
    <cellStyle name="Normal 58 6 2 5 2 4" xfId="17976"/>
    <cellStyle name="Normal 58 6 2 5 3" xfId="5289"/>
    <cellStyle name="Normal 58 6 2 5 3 2" xfId="14128"/>
    <cellStyle name="Normal 58 6 2 5 3 2 2" xfId="24379"/>
    <cellStyle name="Normal 58 6 2 5 3 3" xfId="10549"/>
    <cellStyle name="Normal 58 6 2 5 3 4" xfId="19372"/>
    <cellStyle name="Normal 58 6 2 5 4" xfId="1799"/>
    <cellStyle name="Normal 58 6 2 5 4 2" xfId="11170"/>
    <cellStyle name="Normal 58 6 2 5 4 3" xfId="21174"/>
    <cellStyle name="Normal 58 6 2 5 5" xfId="6746"/>
    <cellStyle name="Normal 58 6 2 5 5 2" xfId="15573"/>
    <cellStyle name="Normal 58 6 2 5 5 3" xfId="25824"/>
    <cellStyle name="Normal 58 6 2 5 6" xfId="8192"/>
    <cellStyle name="Normal 58 6 2 5 6 2" xfId="20582"/>
    <cellStyle name="Normal 58 6 2 5 7" xfId="16167"/>
    <cellStyle name="Normal 58 6 2 6" xfId="2694"/>
    <cellStyle name="Normal 58 6 2 6 2" xfId="12013"/>
    <cellStyle name="Normal 58 6 2 6 2 2" xfId="22057"/>
    <cellStyle name="Normal 58 6 2 6 3" xfId="8567"/>
    <cellStyle name="Normal 58 6 2 6 4" xfId="17050"/>
    <cellStyle name="Normal 58 6 2 7" xfId="4245"/>
    <cellStyle name="Normal 58 6 2 7 2" xfId="13085"/>
    <cellStyle name="Normal 58 6 2 7 2 2" xfId="23336"/>
    <cellStyle name="Normal 58 6 2 7 3" xfId="9506"/>
    <cellStyle name="Normal 58 6 2 7 4" xfId="18329"/>
    <cellStyle name="Normal 58 6 2 8" xfId="1517"/>
    <cellStyle name="Normal 58 6 2 8 2" xfId="10896"/>
    <cellStyle name="Normal 58 6 2 8 3" xfId="20900"/>
    <cellStyle name="Normal 58 6 2 9" xfId="5703"/>
    <cellStyle name="Normal 58 6 2 9 2" xfId="14530"/>
    <cellStyle name="Normal 58 6 2 9 3" xfId="24781"/>
    <cellStyle name="Normal 58 6 2_Degree data" xfId="4032"/>
    <cellStyle name="Normal 58 6 3" xfId="263"/>
    <cellStyle name="Normal 58 6 3 10" xfId="7104"/>
    <cellStyle name="Normal 58 6 3 10 2" xfId="19718"/>
    <cellStyle name="Normal 58 6 3 11" xfId="15850"/>
    <cellStyle name="Normal 58 6 3 2" xfId="586"/>
    <cellStyle name="Normal 58 6 3 2 2" xfId="928"/>
    <cellStyle name="Normal 58 6 3 2 2 2" xfId="3414"/>
    <cellStyle name="Normal 58 6 3 2 2 2 2" xfId="12558"/>
    <cellStyle name="Normal 58 6 3 2 2 2 2 2" xfId="22777"/>
    <cellStyle name="Normal 58 6 3 2 2 2 3" xfId="8980"/>
    <cellStyle name="Normal 58 6 3 2 2 2 4" xfId="17770"/>
    <cellStyle name="Normal 58 6 3 2 2 3" xfId="4743"/>
    <cellStyle name="Normal 58 6 3 2 2 3 2" xfId="13583"/>
    <cellStyle name="Normal 58 6 3 2 2 3 2 2" xfId="23834"/>
    <cellStyle name="Normal 58 6 3 2 2 3 3" xfId="10004"/>
    <cellStyle name="Normal 58 6 3 2 2 3 4" xfId="18827"/>
    <cellStyle name="Normal 58 6 3 2 2 4" xfId="2523"/>
    <cellStyle name="Normal 58 6 3 2 2 4 2" xfId="11890"/>
    <cellStyle name="Normal 58 6 3 2 2 4 3" xfId="21894"/>
    <cellStyle name="Normal 58 6 3 2 2 5" xfId="6201"/>
    <cellStyle name="Normal 58 6 3 2 2 5 2" xfId="15028"/>
    <cellStyle name="Normal 58 6 3 2 2 5 3" xfId="25279"/>
    <cellStyle name="Normal 58 6 3 2 2 6" xfId="7646"/>
    <cellStyle name="Normal 58 6 3 2 2 6 2" xfId="20376"/>
    <cellStyle name="Normal 58 6 3 2 2 7" xfId="16887"/>
    <cellStyle name="Normal 58 6 3 2 3" xfId="1358"/>
    <cellStyle name="Normal 58 6 3 2 3 2" xfId="3788"/>
    <cellStyle name="Normal 58 6 3 2 3 2 2" xfId="12926"/>
    <cellStyle name="Normal 58 6 3 2 3 2 2 2" xfId="23145"/>
    <cellStyle name="Normal 58 6 3 2 3 2 3" xfId="9347"/>
    <cellStyle name="Normal 58 6 3 2 3 2 4" xfId="18138"/>
    <cellStyle name="Normal 58 6 3 2 3 3" xfId="5092"/>
    <cellStyle name="Normal 58 6 3 2 3 3 2" xfId="13931"/>
    <cellStyle name="Normal 58 6 3 2 3 3 2 2" xfId="24182"/>
    <cellStyle name="Normal 58 6 3 2 3 3 3" xfId="10352"/>
    <cellStyle name="Normal 58 6 3 2 3 3 4" xfId="19175"/>
    <cellStyle name="Normal 58 6 3 2 3 4" xfId="2182"/>
    <cellStyle name="Normal 58 6 3 2 3 4 2" xfId="11549"/>
    <cellStyle name="Normal 58 6 3 2 3 4 3" xfId="21553"/>
    <cellStyle name="Normal 58 6 3 2 3 5" xfId="6549"/>
    <cellStyle name="Normal 58 6 3 2 3 5 2" xfId="15376"/>
    <cellStyle name="Normal 58 6 3 2 3 5 3" xfId="25627"/>
    <cellStyle name="Normal 58 6 3 2 3 6" xfId="7995"/>
    <cellStyle name="Normal 58 6 3 2 3 6 2" xfId="20744"/>
    <cellStyle name="Normal 58 6 3 2 3 7" xfId="16546"/>
    <cellStyle name="Normal 58 6 3 2 4" xfId="3073"/>
    <cellStyle name="Normal 58 6 3 2 4 2" xfId="5451"/>
    <cellStyle name="Normal 58 6 3 2 4 2 2" xfId="14290"/>
    <cellStyle name="Normal 58 6 3 2 4 2 2 2" xfId="24541"/>
    <cellStyle name="Normal 58 6 3 2 4 2 3" xfId="10711"/>
    <cellStyle name="Normal 58 6 3 2 4 2 4" xfId="19534"/>
    <cellStyle name="Normal 58 6 3 2 4 3" xfId="6908"/>
    <cellStyle name="Normal 58 6 3 2 4 3 2" xfId="15735"/>
    <cellStyle name="Normal 58 6 3 2 4 3 3" xfId="25986"/>
    <cellStyle name="Normal 58 6 3 2 4 4" xfId="8354"/>
    <cellStyle name="Normal 58 6 3 2 4 4 2" xfId="22436"/>
    <cellStyle name="Normal 58 6 3 2 4 5" xfId="17429"/>
    <cellStyle name="Normal 58 6 3 2 5" xfId="4407"/>
    <cellStyle name="Normal 58 6 3 2 5 2" xfId="13247"/>
    <cellStyle name="Normal 58 6 3 2 5 2 2" xfId="23498"/>
    <cellStyle name="Normal 58 6 3 2 5 3" xfId="9668"/>
    <cellStyle name="Normal 58 6 3 2 5 4" xfId="18491"/>
    <cellStyle name="Normal 58 6 3 2 6" xfId="1679"/>
    <cellStyle name="Normal 58 6 3 2 6 2" xfId="11058"/>
    <cellStyle name="Normal 58 6 3 2 6 3" xfId="21062"/>
    <cellStyle name="Normal 58 6 3 2 7" xfId="5865"/>
    <cellStyle name="Normal 58 6 3 2 7 2" xfId="14692"/>
    <cellStyle name="Normal 58 6 3 2 7 3" xfId="24943"/>
    <cellStyle name="Normal 58 6 3 2 8" xfId="7309"/>
    <cellStyle name="Normal 58 6 3 2 8 2" xfId="20035"/>
    <cellStyle name="Normal 58 6 3 2 9" xfId="16055"/>
    <cellStyle name="Normal 58 6 3 2_Degree data" xfId="4035"/>
    <cellStyle name="Normal 58 6 3 3" xfId="381"/>
    <cellStyle name="Normal 58 6 3 3 2" xfId="2868"/>
    <cellStyle name="Normal 58 6 3 3 2 2" xfId="12158"/>
    <cellStyle name="Normal 58 6 3 3 2 2 2" xfId="22231"/>
    <cellStyle name="Normal 58 6 3 3 2 3" xfId="8534"/>
    <cellStyle name="Normal 58 6 3 3 2 4" xfId="17224"/>
    <cellStyle name="Normal 58 6 3 3 3" xfId="4742"/>
    <cellStyle name="Normal 58 6 3 3 3 2" xfId="13582"/>
    <cellStyle name="Normal 58 6 3 3 3 2 2" xfId="23833"/>
    <cellStyle name="Normal 58 6 3 3 3 3" xfId="10003"/>
    <cellStyle name="Normal 58 6 3 3 3 4" xfId="18826"/>
    <cellStyle name="Normal 58 6 3 3 4" xfId="1977"/>
    <cellStyle name="Normal 58 6 3 3 4 2" xfId="11344"/>
    <cellStyle name="Normal 58 6 3 3 4 3" xfId="21348"/>
    <cellStyle name="Normal 58 6 3 3 5" xfId="6200"/>
    <cellStyle name="Normal 58 6 3 3 5 2" xfId="15027"/>
    <cellStyle name="Normal 58 6 3 3 5 3" xfId="25278"/>
    <cellStyle name="Normal 58 6 3 3 6" xfId="7645"/>
    <cellStyle name="Normal 58 6 3 3 6 2" xfId="19830"/>
    <cellStyle name="Normal 58 6 3 3 7" xfId="16341"/>
    <cellStyle name="Normal 58 6 3 4" xfId="927"/>
    <cellStyle name="Normal 58 6 3 4 2" xfId="3413"/>
    <cellStyle name="Normal 58 6 3 4 2 2" xfId="12557"/>
    <cellStyle name="Normal 58 6 3 4 2 2 2" xfId="22776"/>
    <cellStyle name="Normal 58 6 3 4 2 3" xfId="8979"/>
    <cellStyle name="Normal 58 6 3 4 2 4" xfId="17769"/>
    <cellStyle name="Normal 58 6 3 4 3" xfId="5091"/>
    <cellStyle name="Normal 58 6 3 4 3 2" xfId="13930"/>
    <cellStyle name="Normal 58 6 3 4 3 2 2" xfId="24181"/>
    <cellStyle name="Normal 58 6 3 4 3 3" xfId="10351"/>
    <cellStyle name="Normal 58 6 3 4 3 4" xfId="19174"/>
    <cellStyle name="Normal 58 6 3 4 4" xfId="2522"/>
    <cellStyle name="Normal 58 6 3 4 4 2" xfId="11889"/>
    <cellStyle name="Normal 58 6 3 4 4 3" xfId="21893"/>
    <cellStyle name="Normal 58 6 3 4 5" xfId="6548"/>
    <cellStyle name="Normal 58 6 3 4 5 2" xfId="15375"/>
    <cellStyle name="Normal 58 6 3 4 5 3" xfId="25626"/>
    <cellStyle name="Normal 58 6 3 4 6" xfId="7994"/>
    <cellStyle name="Normal 58 6 3 4 6 2" xfId="20375"/>
    <cellStyle name="Normal 58 6 3 4 7" xfId="16886"/>
    <cellStyle name="Normal 58 6 3 5" xfId="1153"/>
    <cellStyle name="Normal 58 6 3 5 2" xfId="3583"/>
    <cellStyle name="Normal 58 6 3 5 2 2" xfId="12721"/>
    <cellStyle name="Normal 58 6 3 5 2 2 2" xfId="22940"/>
    <cellStyle name="Normal 58 6 3 5 2 3" xfId="9142"/>
    <cellStyle name="Normal 58 6 3 5 2 4" xfId="17933"/>
    <cellStyle name="Normal 58 6 3 5 3" xfId="5246"/>
    <cellStyle name="Normal 58 6 3 5 3 2" xfId="14085"/>
    <cellStyle name="Normal 58 6 3 5 3 2 2" xfId="24336"/>
    <cellStyle name="Normal 58 6 3 5 3 3" xfId="10506"/>
    <cellStyle name="Normal 58 6 3 5 3 4" xfId="19329"/>
    <cellStyle name="Normal 58 6 3 5 4" xfId="1862"/>
    <cellStyle name="Normal 58 6 3 5 4 2" xfId="11232"/>
    <cellStyle name="Normal 58 6 3 5 4 3" xfId="21236"/>
    <cellStyle name="Normal 58 6 3 5 5" xfId="6703"/>
    <cellStyle name="Normal 58 6 3 5 5 2" xfId="15530"/>
    <cellStyle name="Normal 58 6 3 5 5 3" xfId="25781"/>
    <cellStyle name="Normal 58 6 3 5 6" xfId="8149"/>
    <cellStyle name="Normal 58 6 3 5 6 2" xfId="20539"/>
    <cellStyle name="Normal 58 6 3 5 7" xfId="16229"/>
    <cellStyle name="Normal 58 6 3 6" xfId="2756"/>
    <cellStyle name="Normal 58 6 3 6 2" xfId="12075"/>
    <cellStyle name="Normal 58 6 3 6 2 2" xfId="22119"/>
    <cellStyle name="Normal 58 6 3 6 3" xfId="8554"/>
    <cellStyle name="Normal 58 6 3 6 4" xfId="17112"/>
    <cellStyle name="Normal 58 6 3 7" xfId="4202"/>
    <cellStyle name="Normal 58 6 3 7 2" xfId="13042"/>
    <cellStyle name="Normal 58 6 3 7 2 2" xfId="23293"/>
    <cellStyle name="Normal 58 6 3 7 3" xfId="9463"/>
    <cellStyle name="Normal 58 6 3 7 4" xfId="18286"/>
    <cellStyle name="Normal 58 6 3 8" xfId="1474"/>
    <cellStyle name="Normal 58 6 3 8 2" xfId="10853"/>
    <cellStyle name="Normal 58 6 3 8 3" xfId="20857"/>
    <cellStyle name="Normal 58 6 3 9" xfId="5660"/>
    <cellStyle name="Normal 58 6 3 9 2" xfId="14487"/>
    <cellStyle name="Normal 58 6 3 9 3" xfId="24738"/>
    <cellStyle name="Normal 58 6 3_Degree data" xfId="4034"/>
    <cellStyle name="Normal 58 6 4" xfId="481"/>
    <cellStyle name="Normal 58 6 4 2" xfId="929"/>
    <cellStyle name="Normal 58 6 4 2 2" xfId="3415"/>
    <cellStyle name="Normal 58 6 4 2 2 2" xfId="12559"/>
    <cellStyle name="Normal 58 6 4 2 2 2 2" xfId="22778"/>
    <cellStyle name="Normal 58 6 4 2 2 3" xfId="8981"/>
    <cellStyle name="Normal 58 6 4 2 2 4" xfId="17771"/>
    <cellStyle name="Normal 58 6 4 2 3" xfId="4744"/>
    <cellStyle name="Normal 58 6 4 2 3 2" xfId="13584"/>
    <cellStyle name="Normal 58 6 4 2 3 2 2" xfId="23835"/>
    <cellStyle name="Normal 58 6 4 2 3 3" xfId="10005"/>
    <cellStyle name="Normal 58 6 4 2 3 4" xfId="18828"/>
    <cellStyle name="Normal 58 6 4 2 4" xfId="2524"/>
    <cellStyle name="Normal 58 6 4 2 4 2" xfId="11891"/>
    <cellStyle name="Normal 58 6 4 2 4 3" xfId="21895"/>
    <cellStyle name="Normal 58 6 4 2 5" xfId="6202"/>
    <cellStyle name="Normal 58 6 4 2 5 2" xfId="15029"/>
    <cellStyle name="Normal 58 6 4 2 5 3" xfId="25280"/>
    <cellStyle name="Normal 58 6 4 2 6" xfId="7647"/>
    <cellStyle name="Normal 58 6 4 2 6 2" xfId="20377"/>
    <cellStyle name="Normal 58 6 4 2 7" xfId="16888"/>
    <cellStyle name="Normal 58 6 4 3" xfId="1253"/>
    <cellStyle name="Normal 58 6 4 3 2" xfId="3683"/>
    <cellStyle name="Normal 58 6 4 3 2 2" xfId="12821"/>
    <cellStyle name="Normal 58 6 4 3 2 2 2" xfId="23040"/>
    <cellStyle name="Normal 58 6 4 3 2 3" xfId="9242"/>
    <cellStyle name="Normal 58 6 4 3 2 4" xfId="18033"/>
    <cellStyle name="Normal 58 6 4 3 3" xfId="5093"/>
    <cellStyle name="Normal 58 6 4 3 3 2" xfId="13932"/>
    <cellStyle name="Normal 58 6 4 3 3 2 2" xfId="24183"/>
    <cellStyle name="Normal 58 6 4 3 3 3" xfId="10353"/>
    <cellStyle name="Normal 58 6 4 3 3 4" xfId="19176"/>
    <cellStyle name="Normal 58 6 4 3 4" xfId="2077"/>
    <cellStyle name="Normal 58 6 4 3 4 2" xfId="11444"/>
    <cellStyle name="Normal 58 6 4 3 4 3" xfId="21448"/>
    <cellStyle name="Normal 58 6 4 3 5" xfId="6550"/>
    <cellStyle name="Normal 58 6 4 3 5 2" xfId="15377"/>
    <cellStyle name="Normal 58 6 4 3 5 3" xfId="25628"/>
    <cellStyle name="Normal 58 6 4 3 6" xfId="7996"/>
    <cellStyle name="Normal 58 6 4 3 6 2" xfId="20639"/>
    <cellStyle name="Normal 58 6 4 3 7" xfId="16441"/>
    <cellStyle name="Normal 58 6 4 4" xfId="2968"/>
    <cellStyle name="Normal 58 6 4 4 2" xfId="5346"/>
    <cellStyle name="Normal 58 6 4 4 2 2" xfId="14185"/>
    <cellStyle name="Normal 58 6 4 4 2 2 2" xfId="24436"/>
    <cellStyle name="Normal 58 6 4 4 2 3" xfId="10606"/>
    <cellStyle name="Normal 58 6 4 4 2 4" xfId="19429"/>
    <cellStyle name="Normal 58 6 4 4 3" xfId="6803"/>
    <cellStyle name="Normal 58 6 4 4 3 2" xfId="15630"/>
    <cellStyle name="Normal 58 6 4 4 3 3" xfId="25881"/>
    <cellStyle name="Normal 58 6 4 4 4" xfId="8249"/>
    <cellStyle name="Normal 58 6 4 4 4 2" xfId="22331"/>
    <cellStyle name="Normal 58 6 4 4 5" xfId="17324"/>
    <cellStyle name="Normal 58 6 4 5" xfId="4302"/>
    <cellStyle name="Normal 58 6 4 5 2" xfId="13142"/>
    <cellStyle name="Normal 58 6 4 5 2 2" xfId="23393"/>
    <cellStyle name="Normal 58 6 4 5 3" xfId="9563"/>
    <cellStyle name="Normal 58 6 4 5 4" xfId="18386"/>
    <cellStyle name="Normal 58 6 4 6" xfId="1574"/>
    <cellStyle name="Normal 58 6 4 6 2" xfId="10953"/>
    <cellStyle name="Normal 58 6 4 6 3" xfId="20957"/>
    <cellStyle name="Normal 58 6 4 7" xfId="5760"/>
    <cellStyle name="Normal 58 6 4 7 2" xfId="14587"/>
    <cellStyle name="Normal 58 6 4 7 3" xfId="24838"/>
    <cellStyle name="Normal 58 6 4 8" xfId="7204"/>
    <cellStyle name="Normal 58 6 4 8 2" xfId="19930"/>
    <cellStyle name="Normal 58 6 4 9" xfId="15950"/>
    <cellStyle name="Normal 58 6 4_Degree data" xfId="4036"/>
    <cellStyle name="Normal 58 6 5" xfId="322"/>
    <cellStyle name="Normal 58 6 5 2" xfId="2809"/>
    <cellStyle name="Normal 58 6 5 2 2" xfId="12115"/>
    <cellStyle name="Normal 58 6 5 2 2 2" xfId="22172"/>
    <cellStyle name="Normal 58 6 5 2 3" xfId="8634"/>
    <cellStyle name="Normal 58 6 5 2 4" xfId="17165"/>
    <cellStyle name="Normal 58 6 5 3" xfId="4739"/>
    <cellStyle name="Normal 58 6 5 3 2" xfId="13579"/>
    <cellStyle name="Normal 58 6 5 3 2 2" xfId="23830"/>
    <cellStyle name="Normal 58 6 5 3 3" xfId="10000"/>
    <cellStyle name="Normal 58 6 5 3 4" xfId="18823"/>
    <cellStyle name="Normal 58 6 5 4" xfId="1918"/>
    <cellStyle name="Normal 58 6 5 4 2" xfId="11285"/>
    <cellStyle name="Normal 58 6 5 4 3" xfId="21289"/>
    <cellStyle name="Normal 58 6 5 5" xfId="6197"/>
    <cellStyle name="Normal 58 6 5 5 2" xfId="15024"/>
    <cellStyle name="Normal 58 6 5 5 3" xfId="25275"/>
    <cellStyle name="Normal 58 6 5 6" xfId="7642"/>
    <cellStyle name="Normal 58 6 5 6 2" xfId="19771"/>
    <cellStyle name="Normal 58 6 5 7" xfId="16282"/>
    <cellStyle name="Normal 58 6 6" xfId="924"/>
    <cellStyle name="Normal 58 6 6 2" xfId="3410"/>
    <cellStyle name="Normal 58 6 6 2 2" xfId="12554"/>
    <cellStyle name="Normal 58 6 6 2 2 2" xfId="22773"/>
    <cellStyle name="Normal 58 6 6 2 3" xfId="8976"/>
    <cellStyle name="Normal 58 6 6 2 4" xfId="17766"/>
    <cellStyle name="Normal 58 6 6 3" xfId="5088"/>
    <cellStyle name="Normal 58 6 6 3 2" xfId="13927"/>
    <cellStyle name="Normal 58 6 6 3 2 2" xfId="24178"/>
    <cellStyle name="Normal 58 6 6 3 3" xfId="10348"/>
    <cellStyle name="Normal 58 6 6 3 4" xfId="19171"/>
    <cellStyle name="Normal 58 6 6 4" xfId="2519"/>
    <cellStyle name="Normal 58 6 6 4 2" xfId="11886"/>
    <cellStyle name="Normal 58 6 6 4 3" xfId="21890"/>
    <cellStyle name="Normal 58 6 6 5" xfId="6545"/>
    <cellStyle name="Normal 58 6 6 5 2" xfId="15372"/>
    <cellStyle name="Normal 58 6 6 5 3" xfId="25623"/>
    <cellStyle name="Normal 58 6 6 6" xfId="7991"/>
    <cellStyle name="Normal 58 6 6 6 2" xfId="20372"/>
    <cellStyle name="Normal 58 6 6 7" xfId="16883"/>
    <cellStyle name="Normal 58 6 7" xfId="1094"/>
    <cellStyle name="Normal 58 6 7 2" xfId="3524"/>
    <cellStyle name="Normal 58 6 7 2 2" xfId="12662"/>
    <cellStyle name="Normal 58 6 7 2 2 2" xfId="22881"/>
    <cellStyle name="Normal 58 6 7 2 3" xfId="9084"/>
    <cellStyle name="Normal 58 6 7 2 4" xfId="17874"/>
    <cellStyle name="Normal 58 6 7 3" xfId="5187"/>
    <cellStyle name="Normal 58 6 7 3 2" xfId="14026"/>
    <cellStyle name="Normal 58 6 7 3 2 2" xfId="24277"/>
    <cellStyle name="Normal 58 6 7 3 3" xfId="10447"/>
    <cellStyle name="Normal 58 6 7 3 4" xfId="19270"/>
    <cellStyle name="Normal 58 6 7 4" xfId="1753"/>
    <cellStyle name="Normal 58 6 7 4 2" xfId="11126"/>
    <cellStyle name="Normal 58 6 7 4 3" xfId="21130"/>
    <cellStyle name="Normal 58 6 7 5" xfId="6644"/>
    <cellStyle name="Normal 58 6 7 5 2" xfId="15471"/>
    <cellStyle name="Normal 58 6 7 5 3" xfId="25722"/>
    <cellStyle name="Normal 58 6 7 6" xfId="8090"/>
    <cellStyle name="Normal 58 6 7 6 2" xfId="20480"/>
    <cellStyle name="Normal 58 6 7 7" xfId="16123"/>
    <cellStyle name="Normal 58 6 8" xfId="2651"/>
    <cellStyle name="Normal 58 6 8 2" xfId="5601"/>
    <cellStyle name="Normal 58 6 8 2 2" xfId="14428"/>
    <cellStyle name="Normal 58 6 8 2 3" xfId="24679"/>
    <cellStyle name="Normal 58 6 8 3" xfId="7045"/>
    <cellStyle name="Normal 58 6 8 3 2" xfId="22014"/>
    <cellStyle name="Normal 58 6 8 4" xfId="17007"/>
    <cellStyle name="Normal 58 6 9" xfId="4141"/>
    <cellStyle name="Normal 58 6 9 2" xfId="12981"/>
    <cellStyle name="Normal 58 6 9 2 2" xfId="23232"/>
    <cellStyle name="Normal 58 6 9 3" xfId="9402"/>
    <cellStyle name="Normal 58 6 9 4" xfId="18225"/>
    <cellStyle name="Normal 58 6_Degree data" xfId="4031"/>
    <cellStyle name="Normal 58 7" xfId="179"/>
    <cellStyle name="Normal 58 7 10" xfId="7130"/>
    <cellStyle name="Normal 58 7 10 2" xfId="19639"/>
    <cellStyle name="Normal 58 7 11" xfId="15876"/>
    <cellStyle name="Normal 58 7 2" xfId="507"/>
    <cellStyle name="Normal 58 7 2 2" xfId="931"/>
    <cellStyle name="Normal 58 7 2 2 2" xfId="3417"/>
    <cellStyle name="Normal 58 7 2 2 2 2" xfId="12561"/>
    <cellStyle name="Normal 58 7 2 2 2 2 2" xfId="22780"/>
    <cellStyle name="Normal 58 7 2 2 2 3" xfId="8983"/>
    <cellStyle name="Normal 58 7 2 2 2 4" xfId="17773"/>
    <cellStyle name="Normal 58 7 2 2 3" xfId="4746"/>
    <cellStyle name="Normal 58 7 2 2 3 2" xfId="13586"/>
    <cellStyle name="Normal 58 7 2 2 3 2 2" xfId="23837"/>
    <cellStyle name="Normal 58 7 2 2 3 3" xfId="10007"/>
    <cellStyle name="Normal 58 7 2 2 3 4" xfId="18830"/>
    <cellStyle name="Normal 58 7 2 2 4" xfId="2526"/>
    <cellStyle name="Normal 58 7 2 2 4 2" xfId="11893"/>
    <cellStyle name="Normal 58 7 2 2 4 3" xfId="21897"/>
    <cellStyle name="Normal 58 7 2 2 5" xfId="6204"/>
    <cellStyle name="Normal 58 7 2 2 5 2" xfId="15031"/>
    <cellStyle name="Normal 58 7 2 2 5 3" xfId="25282"/>
    <cellStyle name="Normal 58 7 2 2 6" xfId="7649"/>
    <cellStyle name="Normal 58 7 2 2 6 2" xfId="20379"/>
    <cellStyle name="Normal 58 7 2 2 7" xfId="16890"/>
    <cellStyle name="Normal 58 7 2 3" xfId="1279"/>
    <cellStyle name="Normal 58 7 2 3 2" xfId="3709"/>
    <cellStyle name="Normal 58 7 2 3 2 2" xfId="12847"/>
    <cellStyle name="Normal 58 7 2 3 2 2 2" xfId="23066"/>
    <cellStyle name="Normal 58 7 2 3 2 3" xfId="9268"/>
    <cellStyle name="Normal 58 7 2 3 2 4" xfId="18059"/>
    <cellStyle name="Normal 58 7 2 3 3" xfId="5095"/>
    <cellStyle name="Normal 58 7 2 3 3 2" xfId="13934"/>
    <cellStyle name="Normal 58 7 2 3 3 2 2" xfId="24185"/>
    <cellStyle name="Normal 58 7 2 3 3 3" xfId="10355"/>
    <cellStyle name="Normal 58 7 2 3 3 4" xfId="19178"/>
    <cellStyle name="Normal 58 7 2 3 4" xfId="2103"/>
    <cellStyle name="Normal 58 7 2 3 4 2" xfId="11470"/>
    <cellStyle name="Normal 58 7 2 3 4 3" xfId="21474"/>
    <cellStyle name="Normal 58 7 2 3 5" xfId="6552"/>
    <cellStyle name="Normal 58 7 2 3 5 2" xfId="15379"/>
    <cellStyle name="Normal 58 7 2 3 5 3" xfId="25630"/>
    <cellStyle name="Normal 58 7 2 3 6" xfId="7998"/>
    <cellStyle name="Normal 58 7 2 3 6 2" xfId="20665"/>
    <cellStyle name="Normal 58 7 2 3 7" xfId="16467"/>
    <cellStyle name="Normal 58 7 2 4" xfId="2994"/>
    <cellStyle name="Normal 58 7 2 4 2" xfId="5372"/>
    <cellStyle name="Normal 58 7 2 4 2 2" xfId="14211"/>
    <cellStyle name="Normal 58 7 2 4 2 2 2" xfId="24462"/>
    <cellStyle name="Normal 58 7 2 4 2 3" xfId="10632"/>
    <cellStyle name="Normal 58 7 2 4 2 4" xfId="19455"/>
    <cellStyle name="Normal 58 7 2 4 3" xfId="6829"/>
    <cellStyle name="Normal 58 7 2 4 3 2" xfId="15656"/>
    <cellStyle name="Normal 58 7 2 4 3 3" xfId="25907"/>
    <cellStyle name="Normal 58 7 2 4 4" xfId="8275"/>
    <cellStyle name="Normal 58 7 2 4 4 2" xfId="22357"/>
    <cellStyle name="Normal 58 7 2 4 5" xfId="17350"/>
    <cellStyle name="Normal 58 7 2 5" xfId="4328"/>
    <cellStyle name="Normal 58 7 2 5 2" xfId="13168"/>
    <cellStyle name="Normal 58 7 2 5 2 2" xfId="23419"/>
    <cellStyle name="Normal 58 7 2 5 3" xfId="9589"/>
    <cellStyle name="Normal 58 7 2 5 4" xfId="18412"/>
    <cellStyle name="Normal 58 7 2 6" xfId="1600"/>
    <cellStyle name="Normal 58 7 2 6 2" xfId="10979"/>
    <cellStyle name="Normal 58 7 2 6 3" xfId="20983"/>
    <cellStyle name="Normal 58 7 2 7" xfId="5786"/>
    <cellStyle name="Normal 58 7 2 7 2" xfId="14613"/>
    <cellStyle name="Normal 58 7 2 7 3" xfId="24864"/>
    <cellStyle name="Normal 58 7 2 8" xfId="7230"/>
    <cellStyle name="Normal 58 7 2 8 2" xfId="19956"/>
    <cellStyle name="Normal 58 7 2 9" xfId="15976"/>
    <cellStyle name="Normal 58 7 2_Degree data" xfId="4038"/>
    <cellStyle name="Normal 58 7 3" xfId="407"/>
    <cellStyle name="Normal 58 7 3 2" xfId="2894"/>
    <cellStyle name="Normal 58 7 3 2 2" xfId="12184"/>
    <cellStyle name="Normal 58 7 3 2 2 2" xfId="22257"/>
    <cellStyle name="Normal 58 7 3 2 3" xfId="8410"/>
    <cellStyle name="Normal 58 7 3 2 4" xfId="17250"/>
    <cellStyle name="Normal 58 7 3 3" xfId="4745"/>
    <cellStyle name="Normal 58 7 3 3 2" xfId="13585"/>
    <cellStyle name="Normal 58 7 3 3 2 2" xfId="23836"/>
    <cellStyle name="Normal 58 7 3 3 3" xfId="10006"/>
    <cellStyle name="Normal 58 7 3 3 4" xfId="18829"/>
    <cellStyle name="Normal 58 7 3 4" xfId="2003"/>
    <cellStyle name="Normal 58 7 3 4 2" xfId="11370"/>
    <cellStyle name="Normal 58 7 3 4 3" xfId="21374"/>
    <cellStyle name="Normal 58 7 3 5" xfId="6203"/>
    <cellStyle name="Normal 58 7 3 5 2" xfId="15030"/>
    <cellStyle name="Normal 58 7 3 5 3" xfId="25281"/>
    <cellStyle name="Normal 58 7 3 6" xfId="7648"/>
    <cellStyle name="Normal 58 7 3 6 2" xfId="19856"/>
    <cellStyle name="Normal 58 7 3 7" xfId="16367"/>
    <cellStyle name="Normal 58 7 4" xfId="930"/>
    <cellStyle name="Normal 58 7 4 2" xfId="3416"/>
    <cellStyle name="Normal 58 7 4 2 2" xfId="12560"/>
    <cellStyle name="Normal 58 7 4 2 2 2" xfId="22779"/>
    <cellStyle name="Normal 58 7 4 2 3" xfId="8982"/>
    <cellStyle name="Normal 58 7 4 2 4" xfId="17772"/>
    <cellStyle name="Normal 58 7 4 3" xfId="5094"/>
    <cellStyle name="Normal 58 7 4 3 2" xfId="13933"/>
    <cellStyle name="Normal 58 7 4 3 2 2" xfId="24184"/>
    <cellStyle name="Normal 58 7 4 3 3" xfId="10354"/>
    <cellStyle name="Normal 58 7 4 3 4" xfId="19177"/>
    <cellStyle name="Normal 58 7 4 4" xfId="2525"/>
    <cellStyle name="Normal 58 7 4 4 2" xfId="11892"/>
    <cellStyle name="Normal 58 7 4 4 3" xfId="21896"/>
    <cellStyle name="Normal 58 7 4 5" xfId="6551"/>
    <cellStyle name="Normal 58 7 4 5 2" xfId="15378"/>
    <cellStyle name="Normal 58 7 4 5 3" xfId="25629"/>
    <cellStyle name="Normal 58 7 4 6" xfId="7997"/>
    <cellStyle name="Normal 58 7 4 6 2" xfId="20378"/>
    <cellStyle name="Normal 58 7 4 7" xfId="16889"/>
    <cellStyle name="Normal 58 7 5" xfId="1179"/>
    <cellStyle name="Normal 58 7 5 2" xfId="3609"/>
    <cellStyle name="Normal 58 7 5 2 2" xfId="12747"/>
    <cellStyle name="Normal 58 7 5 2 2 2" xfId="22966"/>
    <cellStyle name="Normal 58 7 5 2 3" xfId="9168"/>
    <cellStyle name="Normal 58 7 5 2 4" xfId="17959"/>
    <cellStyle name="Normal 58 7 5 3" xfId="5272"/>
    <cellStyle name="Normal 58 7 5 3 2" xfId="14111"/>
    <cellStyle name="Normal 58 7 5 3 2 2" xfId="24362"/>
    <cellStyle name="Normal 58 7 5 3 3" xfId="10532"/>
    <cellStyle name="Normal 58 7 5 3 4" xfId="19355"/>
    <cellStyle name="Normal 58 7 5 4" xfId="1782"/>
    <cellStyle name="Normal 58 7 5 4 2" xfId="11153"/>
    <cellStyle name="Normal 58 7 5 4 3" xfId="21157"/>
    <cellStyle name="Normal 58 7 5 5" xfId="6729"/>
    <cellStyle name="Normal 58 7 5 5 2" xfId="15556"/>
    <cellStyle name="Normal 58 7 5 5 3" xfId="25807"/>
    <cellStyle name="Normal 58 7 5 6" xfId="8175"/>
    <cellStyle name="Normal 58 7 5 6 2" xfId="20565"/>
    <cellStyle name="Normal 58 7 5 7" xfId="16150"/>
    <cellStyle name="Normal 58 7 6" xfId="2677"/>
    <cellStyle name="Normal 58 7 6 2" xfId="11996"/>
    <cellStyle name="Normal 58 7 6 2 2" xfId="22040"/>
    <cellStyle name="Normal 58 7 6 3" xfId="8633"/>
    <cellStyle name="Normal 58 7 6 4" xfId="17033"/>
    <cellStyle name="Normal 58 7 7" xfId="4228"/>
    <cellStyle name="Normal 58 7 7 2" xfId="13068"/>
    <cellStyle name="Normal 58 7 7 2 2" xfId="23319"/>
    <cellStyle name="Normal 58 7 7 3" xfId="9489"/>
    <cellStyle name="Normal 58 7 7 4" xfId="18312"/>
    <cellStyle name="Normal 58 7 8" xfId="1500"/>
    <cellStyle name="Normal 58 7 8 2" xfId="10879"/>
    <cellStyle name="Normal 58 7 8 3" xfId="20883"/>
    <cellStyle name="Normal 58 7 9" xfId="5686"/>
    <cellStyle name="Normal 58 7 9 2" xfId="14513"/>
    <cellStyle name="Normal 58 7 9 3" xfId="24764"/>
    <cellStyle name="Normal 58 7_Degree data" xfId="4037"/>
    <cellStyle name="Normal 58 8" xfId="232"/>
    <cellStyle name="Normal 58 8 10" xfId="7073"/>
    <cellStyle name="Normal 58 8 10 2" xfId="19687"/>
    <cellStyle name="Normal 58 8 11" xfId="15819"/>
    <cellStyle name="Normal 58 8 2" xfId="555"/>
    <cellStyle name="Normal 58 8 2 2" xfId="933"/>
    <cellStyle name="Normal 58 8 2 2 2" xfId="3419"/>
    <cellStyle name="Normal 58 8 2 2 2 2" xfId="12563"/>
    <cellStyle name="Normal 58 8 2 2 2 2 2" xfId="22782"/>
    <cellStyle name="Normal 58 8 2 2 2 3" xfId="8985"/>
    <cellStyle name="Normal 58 8 2 2 2 4" xfId="17775"/>
    <cellStyle name="Normal 58 8 2 2 3" xfId="4748"/>
    <cellStyle name="Normal 58 8 2 2 3 2" xfId="13588"/>
    <cellStyle name="Normal 58 8 2 2 3 2 2" xfId="23839"/>
    <cellStyle name="Normal 58 8 2 2 3 3" xfId="10009"/>
    <cellStyle name="Normal 58 8 2 2 3 4" xfId="18832"/>
    <cellStyle name="Normal 58 8 2 2 4" xfId="2528"/>
    <cellStyle name="Normal 58 8 2 2 4 2" xfId="11895"/>
    <cellStyle name="Normal 58 8 2 2 4 3" xfId="21899"/>
    <cellStyle name="Normal 58 8 2 2 5" xfId="6206"/>
    <cellStyle name="Normal 58 8 2 2 5 2" xfId="15033"/>
    <cellStyle name="Normal 58 8 2 2 5 3" xfId="25284"/>
    <cellStyle name="Normal 58 8 2 2 6" xfId="7651"/>
    <cellStyle name="Normal 58 8 2 2 6 2" xfId="20381"/>
    <cellStyle name="Normal 58 8 2 2 7" xfId="16892"/>
    <cellStyle name="Normal 58 8 2 3" xfId="1327"/>
    <cellStyle name="Normal 58 8 2 3 2" xfId="3757"/>
    <cellStyle name="Normal 58 8 2 3 2 2" xfId="12895"/>
    <cellStyle name="Normal 58 8 2 3 2 2 2" xfId="23114"/>
    <cellStyle name="Normal 58 8 2 3 2 3" xfId="9316"/>
    <cellStyle name="Normal 58 8 2 3 2 4" xfId="18107"/>
    <cellStyle name="Normal 58 8 2 3 3" xfId="5097"/>
    <cellStyle name="Normal 58 8 2 3 3 2" xfId="13936"/>
    <cellStyle name="Normal 58 8 2 3 3 2 2" xfId="24187"/>
    <cellStyle name="Normal 58 8 2 3 3 3" xfId="10357"/>
    <cellStyle name="Normal 58 8 2 3 3 4" xfId="19180"/>
    <cellStyle name="Normal 58 8 2 3 4" xfId="2151"/>
    <cellStyle name="Normal 58 8 2 3 4 2" xfId="11518"/>
    <cellStyle name="Normal 58 8 2 3 4 3" xfId="21522"/>
    <cellStyle name="Normal 58 8 2 3 5" xfId="6554"/>
    <cellStyle name="Normal 58 8 2 3 5 2" xfId="15381"/>
    <cellStyle name="Normal 58 8 2 3 5 3" xfId="25632"/>
    <cellStyle name="Normal 58 8 2 3 6" xfId="8000"/>
    <cellStyle name="Normal 58 8 2 3 6 2" xfId="20713"/>
    <cellStyle name="Normal 58 8 2 3 7" xfId="16515"/>
    <cellStyle name="Normal 58 8 2 4" xfId="3042"/>
    <cellStyle name="Normal 58 8 2 4 2" xfId="5420"/>
    <cellStyle name="Normal 58 8 2 4 2 2" xfId="14259"/>
    <cellStyle name="Normal 58 8 2 4 2 2 2" xfId="24510"/>
    <cellStyle name="Normal 58 8 2 4 2 3" xfId="10680"/>
    <cellStyle name="Normal 58 8 2 4 2 4" xfId="19503"/>
    <cellStyle name="Normal 58 8 2 4 3" xfId="6877"/>
    <cellStyle name="Normal 58 8 2 4 3 2" xfId="15704"/>
    <cellStyle name="Normal 58 8 2 4 3 3" xfId="25955"/>
    <cellStyle name="Normal 58 8 2 4 4" xfId="8323"/>
    <cellStyle name="Normal 58 8 2 4 4 2" xfId="22405"/>
    <cellStyle name="Normal 58 8 2 4 5" xfId="17398"/>
    <cellStyle name="Normal 58 8 2 5" xfId="4376"/>
    <cellStyle name="Normal 58 8 2 5 2" xfId="13216"/>
    <cellStyle name="Normal 58 8 2 5 2 2" xfId="23467"/>
    <cellStyle name="Normal 58 8 2 5 3" xfId="9637"/>
    <cellStyle name="Normal 58 8 2 5 4" xfId="18460"/>
    <cellStyle name="Normal 58 8 2 6" xfId="1648"/>
    <cellStyle name="Normal 58 8 2 6 2" xfId="11027"/>
    <cellStyle name="Normal 58 8 2 6 3" xfId="21031"/>
    <cellStyle name="Normal 58 8 2 7" xfId="5834"/>
    <cellStyle name="Normal 58 8 2 7 2" xfId="14661"/>
    <cellStyle name="Normal 58 8 2 7 3" xfId="24912"/>
    <cellStyle name="Normal 58 8 2 8" xfId="7278"/>
    <cellStyle name="Normal 58 8 2 8 2" xfId="20004"/>
    <cellStyle name="Normal 58 8 2 9" xfId="16024"/>
    <cellStyle name="Normal 58 8 2_Degree data" xfId="4040"/>
    <cellStyle name="Normal 58 8 3" xfId="350"/>
    <cellStyle name="Normal 58 8 3 2" xfId="2837"/>
    <cellStyle name="Normal 58 8 3 2 2" xfId="12127"/>
    <cellStyle name="Normal 58 8 3 2 2 2" xfId="22200"/>
    <cellStyle name="Normal 58 8 3 2 3" xfId="8639"/>
    <cellStyle name="Normal 58 8 3 2 4" xfId="17193"/>
    <cellStyle name="Normal 58 8 3 3" xfId="4747"/>
    <cellStyle name="Normal 58 8 3 3 2" xfId="13587"/>
    <cellStyle name="Normal 58 8 3 3 2 2" xfId="23838"/>
    <cellStyle name="Normal 58 8 3 3 3" xfId="10008"/>
    <cellStyle name="Normal 58 8 3 3 4" xfId="18831"/>
    <cellStyle name="Normal 58 8 3 4" xfId="1946"/>
    <cellStyle name="Normal 58 8 3 4 2" xfId="11313"/>
    <cellStyle name="Normal 58 8 3 4 3" xfId="21317"/>
    <cellStyle name="Normal 58 8 3 5" xfId="6205"/>
    <cellStyle name="Normal 58 8 3 5 2" xfId="15032"/>
    <cellStyle name="Normal 58 8 3 5 3" xfId="25283"/>
    <cellStyle name="Normal 58 8 3 6" xfId="7650"/>
    <cellStyle name="Normal 58 8 3 6 2" xfId="19799"/>
    <cellStyle name="Normal 58 8 3 7" xfId="16310"/>
    <cellStyle name="Normal 58 8 4" xfId="932"/>
    <cellStyle name="Normal 58 8 4 2" xfId="3418"/>
    <cellStyle name="Normal 58 8 4 2 2" xfId="12562"/>
    <cellStyle name="Normal 58 8 4 2 2 2" xfId="22781"/>
    <cellStyle name="Normal 58 8 4 2 3" xfId="8984"/>
    <cellStyle name="Normal 58 8 4 2 4" xfId="17774"/>
    <cellStyle name="Normal 58 8 4 3" xfId="5096"/>
    <cellStyle name="Normal 58 8 4 3 2" xfId="13935"/>
    <cellStyle name="Normal 58 8 4 3 2 2" xfId="24186"/>
    <cellStyle name="Normal 58 8 4 3 3" xfId="10356"/>
    <cellStyle name="Normal 58 8 4 3 4" xfId="19179"/>
    <cellStyle name="Normal 58 8 4 4" xfId="2527"/>
    <cellStyle name="Normal 58 8 4 4 2" xfId="11894"/>
    <cellStyle name="Normal 58 8 4 4 3" xfId="21898"/>
    <cellStyle name="Normal 58 8 4 5" xfId="6553"/>
    <cellStyle name="Normal 58 8 4 5 2" xfId="15380"/>
    <cellStyle name="Normal 58 8 4 5 3" xfId="25631"/>
    <cellStyle name="Normal 58 8 4 6" xfId="7999"/>
    <cellStyle name="Normal 58 8 4 6 2" xfId="20380"/>
    <cellStyle name="Normal 58 8 4 7" xfId="16891"/>
    <cellStyle name="Normal 58 8 5" xfId="1122"/>
    <cellStyle name="Normal 58 8 5 2" xfId="3552"/>
    <cellStyle name="Normal 58 8 5 2 2" xfId="12690"/>
    <cellStyle name="Normal 58 8 5 2 2 2" xfId="22909"/>
    <cellStyle name="Normal 58 8 5 2 3" xfId="9111"/>
    <cellStyle name="Normal 58 8 5 2 4" xfId="17902"/>
    <cellStyle name="Normal 58 8 5 3" xfId="5215"/>
    <cellStyle name="Normal 58 8 5 3 2" xfId="14054"/>
    <cellStyle name="Normal 58 8 5 3 2 2" xfId="24305"/>
    <cellStyle name="Normal 58 8 5 3 3" xfId="10475"/>
    <cellStyle name="Normal 58 8 5 3 4" xfId="19298"/>
    <cellStyle name="Normal 58 8 5 4" xfId="1831"/>
    <cellStyle name="Normal 58 8 5 4 2" xfId="11201"/>
    <cellStyle name="Normal 58 8 5 4 3" xfId="21205"/>
    <cellStyle name="Normal 58 8 5 5" xfId="6672"/>
    <cellStyle name="Normal 58 8 5 5 2" xfId="15499"/>
    <cellStyle name="Normal 58 8 5 5 3" xfId="25750"/>
    <cellStyle name="Normal 58 8 5 6" xfId="8118"/>
    <cellStyle name="Normal 58 8 5 6 2" xfId="20508"/>
    <cellStyle name="Normal 58 8 5 7" xfId="16198"/>
    <cellStyle name="Normal 58 8 6" xfId="2725"/>
    <cellStyle name="Normal 58 8 6 2" xfId="12044"/>
    <cellStyle name="Normal 58 8 6 2 2" xfId="22088"/>
    <cellStyle name="Normal 58 8 6 3" xfId="8562"/>
    <cellStyle name="Normal 58 8 6 4" xfId="17081"/>
    <cellStyle name="Normal 58 8 7" xfId="4171"/>
    <cellStyle name="Normal 58 8 7 2" xfId="13011"/>
    <cellStyle name="Normal 58 8 7 2 2" xfId="23262"/>
    <cellStyle name="Normal 58 8 7 3" xfId="9432"/>
    <cellStyle name="Normal 58 8 7 4" xfId="18255"/>
    <cellStyle name="Normal 58 8 8" xfId="1443"/>
    <cellStyle name="Normal 58 8 8 2" xfId="10822"/>
    <cellStyle name="Normal 58 8 8 3" xfId="20826"/>
    <cellStyle name="Normal 58 8 9" xfId="5629"/>
    <cellStyle name="Normal 58 8 9 2" xfId="14456"/>
    <cellStyle name="Normal 58 8 9 3" xfId="24707"/>
    <cellStyle name="Normal 58 8_Degree data" xfId="4039"/>
    <cellStyle name="Normal 58 9" xfId="289"/>
    <cellStyle name="Normal 58 9 10" xfId="16080"/>
    <cellStyle name="Normal 58 9 2" xfId="611"/>
    <cellStyle name="Normal 58 9 2 2" xfId="3098"/>
    <cellStyle name="Normal 58 9 2 2 2" xfId="12243"/>
    <cellStyle name="Normal 58 9 2 2 2 2" xfId="22461"/>
    <cellStyle name="Normal 58 9 2 2 3" xfId="8665"/>
    <cellStyle name="Normal 58 9 2 2 4" xfId="17454"/>
    <cellStyle name="Normal 58 9 2 3" xfId="4749"/>
    <cellStyle name="Normal 58 9 2 3 2" xfId="13589"/>
    <cellStyle name="Normal 58 9 2 3 2 2" xfId="23840"/>
    <cellStyle name="Normal 58 9 2 3 3" xfId="10010"/>
    <cellStyle name="Normal 58 9 2 3 4" xfId="18833"/>
    <cellStyle name="Normal 58 9 2 4" xfId="2207"/>
    <cellStyle name="Normal 58 9 2 4 2" xfId="11574"/>
    <cellStyle name="Normal 58 9 2 4 3" xfId="21578"/>
    <cellStyle name="Normal 58 9 2 5" xfId="6207"/>
    <cellStyle name="Normal 58 9 2 5 2" xfId="15034"/>
    <cellStyle name="Normal 58 9 2 5 3" xfId="25285"/>
    <cellStyle name="Normal 58 9 2 6" xfId="7652"/>
    <cellStyle name="Normal 58 9 2 6 2" xfId="20060"/>
    <cellStyle name="Normal 58 9 2 7" xfId="16571"/>
    <cellStyle name="Normal 58 9 3" xfId="934"/>
    <cellStyle name="Normal 58 9 3 2" xfId="3420"/>
    <cellStyle name="Normal 58 9 3 2 2" xfId="12564"/>
    <cellStyle name="Normal 58 9 3 2 2 2" xfId="22783"/>
    <cellStyle name="Normal 58 9 3 2 3" xfId="8986"/>
    <cellStyle name="Normal 58 9 3 2 4" xfId="17776"/>
    <cellStyle name="Normal 58 9 3 3" xfId="5098"/>
    <cellStyle name="Normal 58 9 3 3 2" xfId="13937"/>
    <cellStyle name="Normal 58 9 3 3 2 2" xfId="24188"/>
    <cellStyle name="Normal 58 9 3 3 3" xfId="10358"/>
    <cellStyle name="Normal 58 9 3 3 4" xfId="19181"/>
    <cellStyle name="Normal 58 9 3 4" xfId="2529"/>
    <cellStyle name="Normal 58 9 3 4 2" xfId="11896"/>
    <cellStyle name="Normal 58 9 3 4 3" xfId="21900"/>
    <cellStyle name="Normal 58 9 3 5" xfId="6555"/>
    <cellStyle name="Normal 58 9 3 5 2" xfId="15382"/>
    <cellStyle name="Normal 58 9 3 5 3" xfId="25633"/>
    <cellStyle name="Normal 58 9 3 6" xfId="8001"/>
    <cellStyle name="Normal 58 9 3 6 2" xfId="20382"/>
    <cellStyle name="Normal 58 9 3 7" xfId="16893"/>
    <cellStyle name="Normal 58 9 4" xfId="1383"/>
    <cellStyle name="Normal 58 9 4 2" xfId="3813"/>
    <cellStyle name="Normal 58 9 4 2 2" xfId="12951"/>
    <cellStyle name="Normal 58 9 4 2 2 2" xfId="23170"/>
    <cellStyle name="Normal 58 9 4 2 3" xfId="9372"/>
    <cellStyle name="Normal 58 9 4 2 4" xfId="18163"/>
    <cellStyle name="Normal 58 9 4 3" xfId="5476"/>
    <cellStyle name="Normal 58 9 4 3 2" xfId="14315"/>
    <cellStyle name="Normal 58 9 4 3 2 2" xfId="24566"/>
    <cellStyle name="Normal 58 9 4 3 3" xfId="10736"/>
    <cellStyle name="Normal 58 9 4 3 4" xfId="19559"/>
    <cellStyle name="Normal 58 9 4 4" xfId="1887"/>
    <cellStyle name="Normal 58 9 4 4 2" xfId="11257"/>
    <cellStyle name="Normal 58 9 4 4 3" xfId="21261"/>
    <cellStyle name="Normal 58 9 4 5" xfId="6933"/>
    <cellStyle name="Normal 58 9 4 5 2" xfId="15760"/>
    <cellStyle name="Normal 58 9 4 5 3" xfId="26011"/>
    <cellStyle name="Normal 58 9 4 6" xfId="8379"/>
    <cellStyle name="Normal 58 9 4 6 2" xfId="20769"/>
    <cellStyle name="Normal 58 9 4 7" xfId="16254"/>
    <cellStyle name="Normal 58 9 5" xfId="2781"/>
    <cellStyle name="Normal 58 9 5 2" xfId="12100"/>
    <cellStyle name="Normal 58 9 5 2 2" xfId="22144"/>
    <cellStyle name="Normal 58 9 5 3" xfId="8404"/>
    <cellStyle name="Normal 58 9 5 4" xfId="17137"/>
    <cellStyle name="Normal 58 9 6" xfId="4432"/>
    <cellStyle name="Normal 58 9 6 2" xfId="13272"/>
    <cellStyle name="Normal 58 9 6 2 2" xfId="23523"/>
    <cellStyle name="Normal 58 9 6 3" xfId="9693"/>
    <cellStyle name="Normal 58 9 6 4" xfId="18516"/>
    <cellStyle name="Normal 58 9 7" xfId="1704"/>
    <cellStyle name="Normal 58 9 7 2" xfId="11083"/>
    <cellStyle name="Normal 58 9 7 3" xfId="21087"/>
    <cellStyle name="Normal 58 9 8" xfId="5890"/>
    <cellStyle name="Normal 58 9 8 2" xfId="14717"/>
    <cellStyle name="Normal 58 9 8 3" xfId="24968"/>
    <cellStyle name="Normal 58 9 9" xfId="7334"/>
    <cellStyle name="Normal 58 9 9 2" xfId="19743"/>
    <cellStyle name="Normal 58 9_Degree data" xfId="4041"/>
    <cellStyle name="Normal 58_Degree data" xfId="3999"/>
    <cellStyle name="Normal 59" xfId="54"/>
    <cellStyle name="Normal 6" xfId="36"/>
    <cellStyle name="Normal 6 2 2" xfId="53"/>
    <cellStyle name="Normal 6_sreb progression tab 2 redo" xfId="43"/>
    <cellStyle name="Normal 60" xfId="65"/>
    <cellStyle name="Normal 60 2" xfId="935"/>
    <cellStyle name="Normal 60 3" xfId="1721"/>
    <cellStyle name="Normal 60_Degree data" xfId="4042"/>
    <cellStyle name="Normal 61" xfId="66"/>
    <cellStyle name="Normal 61 2" xfId="936"/>
    <cellStyle name="Normal 61 3" xfId="1722"/>
    <cellStyle name="Normal 61_Degree data" xfId="4043"/>
    <cellStyle name="Normal 62" xfId="101"/>
    <cellStyle name="Normal 62 2" xfId="937"/>
    <cellStyle name="Normal 62 3" xfId="1723"/>
    <cellStyle name="Normal 62_Degree data" xfId="4044"/>
    <cellStyle name="Normal 63" xfId="131"/>
    <cellStyle name="Normal 63 10" xfId="1426"/>
    <cellStyle name="Normal 63 10 2" xfId="10805"/>
    <cellStyle name="Normal 63 10 3" xfId="20809"/>
    <cellStyle name="Normal 63 11" xfId="5612"/>
    <cellStyle name="Normal 63 11 2" xfId="14439"/>
    <cellStyle name="Normal 63 11 3" xfId="24690"/>
    <cellStyle name="Normal 63 12" xfId="7056"/>
    <cellStyle name="Normal 63 12 2" xfId="19601"/>
    <cellStyle name="Normal 63 13" xfId="15802"/>
    <cellStyle name="Normal 63 2" xfId="251"/>
    <cellStyle name="Normal 63 2 10" xfId="7092"/>
    <cellStyle name="Normal 63 2 10 2" xfId="19706"/>
    <cellStyle name="Normal 63 2 11" xfId="15838"/>
    <cellStyle name="Normal 63 2 2" xfId="574"/>
    <cellStyle name="Normal 63 2 2 2" xfId="940"/>
    <cellStyle name="Normal 63 2 2 2 2" xfId="3423"/>
    <cellStyle name="Normal 63 2 2 2 2 2" xfId="12567"/>
    <cellStyle name="Normal 63 2 2 2 2 2 2" xfId="22786"/>
    <cellStyle name="Normal 63 2 2 2 2 3" xfId="8989"/>
    <cellStyle name="Normal 63 2 2 2 2 4" xfId="17779"/>
    <cellStyle name="Normal 63 2 2 2 3" xfId="4752"/>
    <cellStyle name="Normal 63 2 2 2 3 2" xfId="13592"/>
    <cellStyle name="Normal 63 2 2 2 3 2 2" xfId="23843"/>
    <cellStyle name="Normal 63 2 2 2 3 3" xfId="10013"/>
    <cellStyle name="Normal 63 2 2 2 3 4" xfId="18836"/>
    <cellStyle name="Normal 63 2 2 2 4" xfId="2532"/>
    <cellStyle name="Normal 63 2 2 2 4 2" xfId="11899"/>
    <cellStyle name="Normal 63 2 2 2 4 3" xfId="21903"/>
    <cellStyle name="Normal 63 2 2 2 5" xfId="6210"/>
    <cellStyle name="Normal 63 2 2 2 5 2" xfId="15037"/>
    <cellStyle name="Normal 63 2 2 2 5 3" xfId="25288"/>
    <cellStyle name="Normal 63 2 2 2 6" xfId="7656"/>
    <cellStyle name="Normal 63 2 2 2 6 2" xfId="20385"/>
    <cellStyle name="Normal 63 2 2 2 7" xfId="16896"/>
    <cellStyle name="Normal 63 2 2 3" xfId="1346"/>
    <cellStyle name="Normal 63 2 2 3 2" xfId="3776"/>
    <cellStyle name="Normal 63 2 2 3 2 2" xfId="12914"/>
    <cellStyle name="Normal 63 2 2 3 2 2 2" xfId="23133"/>
    <cellStyle name="Normal 63 2 2 3 2 3" xfId="9335"/>
    <cellStyle name="Normal 63 2 2 3 2 4" xfId="18126"/>
    <cellStyle name="Normal 63 2 2 3 3" xfId="5101"/>
    <cellStyle name="Normal 63 2 2 3 3 2" xfId="13940"/>
    <cellStyle name="Normal 63 2 2 3 3 2 2" xfId="24191"/>
    <cellStyle name="Normal 63 2 2 3 3 3" xfId="10361"/>
    <cellStyle name="Normal 63 2 2 3 3 4" xfId="19184"/>
    <cellStyle name="Normal 63 2 2 3 4" xfId="2170"/>
    <cellStyle name="Normal 63 2 2 3 4 2" xfId="11537"/>
    <cellStyle name="Normal 63 2 2 3 4 3" xfId="21541"/>
    <cellStyle name="Normal 63 2 2 3 5" xfId="6558"/>
    <cellStyle name="Normal 63 2 2 3 5 2" xfId="15385"/>
    <cellStyle name="Normal 63 2 2 3 5 3" xfId="25636"/>
    <cellStyle name="Normal 63 2 2 3 6" xfId="8004"/>
    <cellStyle name="Normal 63 2 2 3 6 2" xfId="20732"/>
    <cellStyle name="Normal 63 2 2 3 7" xfId="16534"/>
    <cellStyle name="Normal 63 2 2 4" xfId="3061"/>
    <cellStyle name="Normal 63 2 2 4 2" xfId="5439"/>
    <cellStyle name="Normal 63 2 2 4 2 2" xfId="14278"/>
    <cellStyle name="Normal 63 2 2 4 2 2 2" xfId="24529"/>
    <cellStyle name="Normal 63 2 2 4 2 3" xfId="10699"/>
    <cellStyle name="Normal 63 2 2 4 2 4" xfId="19522"/>
    <cellStyle name="Normal 63 2 2 4 3" xfId="6896"/>
    <cellStyle name="Normal 63 2 2 4 3 2" xfId="15723"/>
    <cellStyle name="Normal 63 2 2 4 3 3" xfId="25974"/>
    <cellStyle name="Normal 63 2 2 4 4" xfId="8342"/>
    <cellStyle name="Normal 63 2 2 4 4 2" xfId="22424"/>
    <cellStyle name="Normal 63 2 2 4 5" xfId="17417"/>
    <cellStyle name="Normal 63 2 2 5" xfId="4395"/>
    <cellStyle name="Normal 63 2 2 5 2" xfId="13235"/>
    <cellStyle name="Normal 63 2 2 5 2 2" xfId="23486"/>
    <cellStyle name="Normal 63 2 2 5 3" xfId="9656"/>
    <cellStyle name="Normal 63 2 2 5 4" xfId="18479"/>
    <cellStyle name="Normal 63 2 2 6" xfId="1667"/>
    <cellStyle name="Normal 63 2 2 6 2" xfId="11046"/>
    <cellStyle name="Normal 63 2 2 6 3" xfId="21050"/>
    <cellStyle name="Normal 63 2 2 7" xfId="5853"/>
    <cellStyle name="Normal 63 2 2 7 2" xfId="14680"/>
    <cellStyle name="Normal 63 2 2 7 3" xfId="24931"/>
    <cellStyle name="Normal 63 2 2 8" xfId="7297"/>
    <cellStyle name="Normal 63 2 2 8 2" xfId="20023"/>
    <cellStyle name="Normal 63 2 2 9" xfId="16043"/>
    <cellStyle name="Normal 63 2 2_Degree data" xfId="4047"/>
    <cellStyle name="Normal 63 2 3" xfId="369"/>
    <cellStyle name="Normal 63 2 3 2" xfId="2856"/>
    <cellStyle name="Normal 63 2 3 2 2" xfId="12146"/>
    <cellStyle name="Normal 63 2 3 2 2 2" xfId="22219"/>
    <cellStyle name="Normal 63 2 3 2 3" xfId="8589"/>
    <cellStyle name="Normal 63 2 3 2 4" xfId="17212"/>
    <cellStyle name="Normal 63 2 3 3" xfId="4751"/>
    <cellStyle name="Normal 63 2 3 3 2" xfId="13591"/>
    <cellStyle name="Normal 63 2 3 3 2 2" xfId="23842"/>
    <cellStyle name="Normal 63 2 3 3 3" xfId="10012"/>
    <cellStyle name="Normal 63 2 3 3 4" xfId="18835"/>
    <cellStyle name="Normal 63 2 3 4" xfId="1965"/>
    <cellStyle name="Normal 63 2 3 4 2" xfId="11332"/>
    <cellStyle name="Normal 63 2 3 4 3" xfId="21336"/>
    <cellStyle name="Normal 63 2 3 5" xfId="6209"/>
    <cellStyle name="Normal 63 2 3 5 2" xfId="15036"/>
    <cellStyle name="Normal 63 2 3 5 3" xfId="25287"/>
    <cellStyle name="Normal 63 2 3 6" xfId="7655"/>
    <cellStyle name="Normal 63 2 3 6 2" xfId="19818"/>
    <cellStyle name="Normal 63 2 3 7" xfId="16329"/>
    <cellStyle name="Normal 63 2 4" xfId="939"/>
    <cellStyle name="Normal 63 2 4 2" xfId="3422"/>
    <cellStyle name="Normal 63 2 4 2 2" xfId="12566"/>
    <cellStyle name="Normal 63 2 4 2 2 2" xfId="22785"/>
    <cellStyle name="Normal 63 2 4 2 3" xfId="8988"/>
    <cellStyle name="Normal 63 2 4 2 4" xfId="17778"/>
    <cellStyle name="Normal 63 2 4 3" xfId="5100"/>
    <cellStyle name="Normal 63 2 4 3 2" xfId="13939"/>
    <cellStyle name="Normal 63 2 4 3 2 2" xfId="24190"/>
    <cellStyle name="Normal 63 2 4 3 3" xfId="10360"/>
    <cellStyle name="Normal 63 2 4 3 4" xfId="19183"/>
    <cellStyle name="Normal 63 2 4 4" xfId="2531"/>
    <cellStyle name="Normal 63 2 4 4 2" xfId="11898"/>
    <cellStyle name="Normal 63 2 4 4 3" xfId="21902"/>
    <cellStyle name="Normal 63 2 4 5" xfId="6557"/>
    <cellStyle name="Normal 63 2 4 5 2" xfId="15384"/>
    <cellStyle name="Normal 63 2 4 5 3" xfId="25635"/>
    <cellStyle name="Normal 63 2 4 6" xfId="8003"/>
    <cellStyle name="Normal 63 2 4 6 2" xfId="20384"/>
    <cellStyle name="Normal 63 2 4 7" xfId="16895"/>
    <cellStyle name="Normal 63 2 5" xfId="1141"/>
    <cellStyle name="Normal 63 2 5 2" xfId="3571"/>
    <cellStyle name="Normal 63 2 5 2 2" xfId="12709"/>
    <cellStyle name="Normal 63 2 5 2 2 2" xfId="22928"/>
    <cellStyle name="Normal 63 2 5 2 3" xfId="9130"/>
    <cellStyle name="Normal 63 2 5 2 4" xfId="17921"/>
    <cellStyle name="Normal 63 2 5 3" xfId="5234"/>
    <cellStyle name="Normal 63 2 5 3 2" xfId="14073"/>
    <cellStyle name="Normal 63 2 5 3 2 2" xfId="24324"/>
    <cellStyle name="Normal 63 2 5 3 3" xfId="10494"/>
    <cellStyle name="Normal 63 2 5 3 4" xfId="19317"/>
    <cellStyle name="Normal 63 2 5 4" xfId="1850"/>
    <cellStyle name="Normal 63 2 5 4 2" xfId="11220"/>
    <cellStyle name="Normal 63 2 5 4 3" xfId="21224"/>
    <cellStyle name="Normal 63 2 5 5" xfId="6691"/>
    <cellStyle name="Normal 63 2 5 5 2" xfId="15518"/>
    <cellStyle name="Normal 63 2 5 5 3" xfId="25769"/>
    <cellStyle name="Normal 63 2 5 6" xfId="8137"/>
    <cellStyle name="Normal 63 2 5 6 2" xfId="20527"/>
    <cellStyle name="Normal 63 2 5 7" xfId="16217"/>
    <cellStyle name="Normal 63 2 6" xfId="2744"/>
    <cellStyle name="Normal 63 2 6 2" xfId="12063"/>
    <cellStyle name="Normal 63 2 6 2 2" xfId="22107"/>
    <cellStyle name="Normal 63 2 6 3" xfId="8594"/>
    <cellStyle name="Normal 63 2 6 4" xfId="17100"/>
    <cellStyle name="Normal 63 2 7" xfId="4190"/>
    <cellStyle name="Normal 63 2 7 2" xfId="13030"/>
    <cellStyle name="Normal 63 2 7 2 2" xfId="23281"/>
    <cellStyle name="Normal 63 2 7 3" xfId="9451"/>
    <cellStyle name="Normal 63 2 7 4" xfId="18274"/>
    <cellStyle name="Normal 63 2 8" xfId="1462"/>
    <cellStyle name="Normal 63 2 8 2" xfId="10841"/>
    <cellStyle name="Normal 63 2 8 3" xfId="20845"/>
    <cellStyle name="Normal 63 2 9" xfId="5648"/>
    <cellStyle name="Normal 63 2 9 2" xfId="14475"/>
    <cellStyle name="Normal 63 2 9 3" xfId="24726"/>
    <cellStyle name="Normal 63 2_Degree data" xfId="4046"/>
    <cellStyle name="Normal 63 3" xfId="226"/>
    <cellStyle name="Normal 63 3 10" xfId="16020"/>
    <cellStyle name="Normal 63 3 2" xfId="551"/>
    <cellStyle name="Normal 63 3 2 2" xfId="3038"/>
    <cellStyle name="Normal 63 3 2 2 2" xfId="12228"/>
    <cellStyle name="Normal 63 3 2 2 2 2" xfId="22401"/>
    <cellStyle name="Normal 63 3 2 2 3" xfId="8586"/>
    <cellStyle name="Normal 63 3 2 2 4" xfId="17394"/>
    <cellStyle name="Normal 63 3 2 3" xfId="4753"/>
    <cellStyle name="Normal 63 3 2 3 2" xfId="13593"/>
    <cellStyle name="Normal 63 3 2 3 2 2" xfId="23844"/>
    <cellStyle name="Normal 63 3 2 3 3" xfId="10014"/>
    <cellStyle name="Normal 63 3 2 3 4" xfId="18837"/>
    <cellStyle name="Normal 63 3 2 4" xfId="2147"/>
    <cellStyle name="Normal 63 3 2 4 2" xfId="11514"/>
    <cellStyle name="Normal 63 3 2 4 3" xfId="21518"/>
    <cellStyle name="Normal 63 3 2 5" xfId="6211"/>
    <cellStyle name="Normal 63 3 2 5 2" xfId="15038"/>
    <cellStyle name="Normal 63 3 2 5 3" xfId="25289"/>
    <cellStyle name="Normal 63 3 2 6" xfId="7657"/>
    <cellStyle name="Normal 63 3 2 6 2" xfId="20000"/>
    <cellStyle name="Normal 63 3 2 7" xfId="16511"/>
    <cellStyle name="Normal 63 3 3" xfId="941"/>
    <cellStyle name="Normal 63 3 3 2" xfId="3424"/>
    <cellStyle name="Normal 63 3 3 2 2" xfId="12568"/>
    <cellStyle name="Normal 63 3 3 2 2 2" xfId="22787"/>
    <cellStyle name="Normal 63 3 3 2 3" xfId="8990"/>
    <cellStyle name="Normal 63 3 3 2 4" xfId="17780"/>
    <cellStyle name="Normal 63 3 3 3" xfId="5102"/>
    <cellStyle name="Normal 63 3 3 3 2" xfId="13941"/>
    <cellStyle name="Normal 63 3 3 3 2 2" xfId="24192"/>
    <cellStyle name="Normal 63 3 3 3 3" xfId="10362"/>
    <cellStyle name="Normal 63 3 3 3 4" xfId="19185"/>
    <cellStyle name="Normal 63 3 3 4" xfId="2533"/>
    <cellStyle name="Normal 63 3 3 4 2" xfId="11900"/>
    <cellStyle name="Normal 63 3 3 4 3" xfId="21904"/>
    <cellStyle name="Normal 63 3 3 5" xfId="6559"/>
    <cellStyle name="Normal 63 3 3 5 2" xfId="15386"/>
    <cellStyle name="Normal 63 3 3 5 3" xfId="25637"/>
    <cellStyle name="Normal 63 3 3 6" xfId="8005"/>
    <cellStyle name="Normal 63 3 3 6 2" xfId="20386"/>
    <cellStyle name="Normal 63 3 3 7" xfId="16897"/>
    <cellStyle name="Normal 63 3 4" xfId="1323"/>
    <cellStyle name="Normal 63 3 4 2" xfId="3753"/>
    <cellStyle name="Normal 63 3 4 2 2" xfId="12891"/>
    <cellStyle name="Normal 63 3 4 2 2 2" xfId="23110"/>
    <cellStyle name="Normal 63 3 4 2 3" xfId="9312"/>
    <cellStyle name="Normal 63 3 4 2 4" xfId="18103"/>
    <cellStyle name="Normal 63 3 4 3" xfId="5416"/>
    <cellStyle name="Normal 63 3 4 3 2" xfId="14255"/>
    <cellStyle name="Normal 63 3 4 3 2 2" xfId="24506"/>
    <cellStyle name="Normal 63 3 4 3 3" xfId="10676"/>
    <cellStyle name="Normal 63 3 4 3 4" xfId="19499"/>
    <cellStyle name="Normal 63 3 4 4" xfId="1827"/>
    <cellStyle name="Normal 63 3 4 4 2" xfId="11197"/>
    <cellStyle name="Normal 63 3 4 4 3" xfId="21201"/>
    <cellStyle name="Normal 63 3 4 5" xfId="6873"/>
    <cellStyle name="Normal 63 3 4 5 2" xfId="15700"/>
    <cellStyle name="Normal 63 3 4 5 3" xfId="25951"/>
    <cellStyle name="Normal 63 3 4 6" xfId="8319"/>
    <cellStyle name="Normal 63 3 4 6 2" xfId="20709"/>
    <cellStyle name="Normal 63 3 4 7" xfId="16194"/>
    <cellStyle name="Normal 63 3 5" xfId="2721"/>
    <cellStyle name="Normal 63 3 5 2" xfId="12040"/>
    <cellStyle name="Normal 63 3 5 2 2" xfId="22084"/>
    <cellStyle name="Normal 63 3 5 3" xfId="8563"/>
    <cellStyle name="Normal 63 3 5 4" xfId="17077"/>
    <cellStyle name="Normal 63 3 6" xfId="4372"/>
    <cellStyle name="Normal 63 3 6 2" xfId="13212"/>
    <cellStyle name="Normal 63 3 6 2 2" xfId="23463"/>
    <cellStyle name="Normal 63 3 6 3" xfId="9633"/>
    <cellStyle name="Normal 63 3 6 4" xfId="18456"/>
    <cellStyle name="Normal 63 3 7" xfId="1644"/>
    <cellStyle name="Normal 63 3 7 2" xfId="11023"/>
    <cellStyle name="Normal 63 3 7 3" xfId="21027"/>
    <cellStyle name="Normal 63 3 8" xfId="5830"/>
    <cellStyle name="Normal 63 3 8 2" xfId="14657"/>
    <cellStyle name="Normal 63 3 8 3" xfId="24908"/>
    <cellStyle name="Normal 63 3 9" xfId="7274"/>
    <cellStyle name="Normal 63 3 9 2" xfId="19683"/>
    <cellStyle name="Normal 63 3_Degree data" xfId="4048"/>
    <cellStyle name="Normal 63 4" xfId="469"/>
    <cellStyle name="Normal 63 4 2" xfId="942"/>
    <cellStyle name="Normal 63 4 2 2" xfId="3425"/>
    <cellStyle name="Normal 63 4 2 2 2" xfId="12569"/>
    <cellStyle name="Normal 63 4 2 2 2 2" xfId="22788"/>
    <cellStyle name="Normal 63 4 2 2 3" xfId="8991"/>
    <cellStyle name="Normal 63 4 2 2 4" xfId="17781"/>
    <cellStyle name="Normal 63 4 2 3" xfId="4754"/>
    <cellStyle name="Normal 63 4 2 3 2" xfId="13594"/>
    <cellStyle name="Normal 63 4 2 3 2 2" xfId="23845"/>
    <cellStyle name="Normal 63 4 2 3 3" xfId="10015"/>
    <cellStyle name="Normal 63 4 2 3 4" xfId="18838"/>
    <cellStyle name="Normal 63 4 2 4" xfId="2534"/>
    <cellStyle name="Normal 63 4 2 4 2" xfId="11901"/>
    <cellStyle name="Normal 63 4 2 4 3" xfId="21905"/>
    <cellStyle name="Normal 63 4 2 5" xfId="6212"/>
    <cellStyle name="Normal 63 4 2 5 2" xfId="15039"/>
    <cellStyle name="Normal 63 4 2 5 3" xfId="25290"/>
    <cellStyle name="Normal 63 4 2 6" xfId="7658"/>
    <cellStyle name="Normal 63 4 2 6 2" xfId="20387"/>
    <cellStyle name="Normal 63 4 2 7" xfId="16898"/>
    <cellStyle name="Normal 63 4 3" xfId="1241"/>
    <cellStyle name="Normal 63 4 3 2" xfId="3671"/>
    <cellStyle name="Normal 63 4 3 2 2" xfId="12809"/>
    <cellStyle name="Normal 63 4 3 2 2 2" xfId="23028"/>
    <cellStyle name="Normal 63 4 3 2 3" xfId="9230"/>
    <cellStyle name="Normal 63 4 3 2 4" xfId="18021"/>
    <cellStyle name="Normal 63 4 3 3" xfId="5103"/>
    <cellStyle name="Normal 63 4 3 3 2" xfId="13942"/>
    <cellStyle name="Normal 63 4 3 3 2 2" xfId="24193"/>
    <cellStyle name="Normal 63 4 3 3 3" xfId="10363"/>
    <cellStyle name="Normal 63 4 3 3 4" xfId="19186"/>
    <cellStyle name="Normal 63 4 3 4" xfId="2065"/>
    <cellStyle name="Normal 63 4 3 4 2" xfId="11432"/>
    <cellStyle name="Normal 63 4 3 4 3" xfId="21436"/>
    <cellStyle name="Normal 63 4 3 5" xfId="6560"/>
    <cellStyle name="Normal 63 4 3 5 2" xfId="15387"/>
    <cellStyle name="Normal 63 4 3 5 3" xfId="25638"/>
    <cellStyle name="Normal 63 4 3 6" xfId="8006"/>
    <cellStyle name="Normal 63 4 3 6 2" xfId="20627"/>
    <cellStyle name="Normal 63 4 3 7" xfId="16429"/>
    <cellStyle name="Normal 63 4 4" xfId="2956"/>
    <cellStyle name="Normal 63 4 4 2" xfId="5334"/>
    <cellStyle name="Normal 63 4 4 2 2" xfId="14173"/>
    <cellStyle name="Normal 63 4 4 2 2 2" xfId="24424"/>
    <cellStyle name="Normal 63 4 4 2 3" xfId="10594"/>
    <cellStyle name="Normal 63 4 4 2 4" xfId="19417"/>
    <cellStyle name="Normal 63 4 4 3" xfId="6791"/>
    <cellStyle name="Normal 63 4 4 3 2" xfId="15618"/>
    <cellStyle name="Normal 63 4 4 3 3" xfId="25869"/>
    <cellStyle name="Normal 63 4 4 4" xfId="8237"/>
    <cellStyle name="Normal 63 4 4 4 2" xfId="22319"/>
    <cellStyle name="Normal 63 4 4 5" xfId="17312"/>
    <cellStyle name="Normal 63 4 5" xfId="4290"/>
    <cellStyle name="Normal 63 4 5 2" xfId="13130"/>
    <cellStyle name="Normal 63 4 5 2 2" xfId="23381"/>
    <cellStyle name="Normal 63 4 5 3" xfId="9551"/>
    <cellStyle name="Normal 63 4 5 4" xfId="18374"/>
    <cellStyle name="Normal 63 4 6" xfId="1562"/>
    <cellStyle name="Normal 63 4 6 2" xfId="10941"/>
    <cellStyle name="Normal 63 4 6 3" xfId="20945"/>
    <cellStyle name="Normal 63 4 7" xfId="5748"/>
    <cellStyle name="Normal 63 4 7 2" xfId="14575"/>
    <cellStyle name="Normal 63 4 7 3" xfId="24826"/>
    <cellStyle name="Normal 63 4 8" xfId="7192"/>
    <cellStyle name="Normal 63 4 8 2" xfId="19918"/>
    <cellStyle name="Normal 63 4 9" xfId="15938"/>
    <cellStyle name="Normal 63 4_Degree data" xfId="4049"/>
    <cellStyle name="Normal 63 5" xfId="333"/>
    <cellStyle name="Normal 63 5 2" xfId="2820"/>
    <cellStyle name="Normal 63 5 2 2" xfId="12122"/>
    <cellStyle name="Normal 63 5 2 2 2" xfId="22183"/>
    <cellStyle name="Normal 63 5 2 3" xfId="8482"/>
    <cellStyle name="Normal 63 5 2 4" xfId="17176"/>
    <cellStyle name="Normal 63 5 3" xfId="4750"/>
    <cellStyle name="Normal 63 5 3 2" xfId="13590"/>
    <cellStyle name="Normal 63 5 3 2 2" xfId="23841"/>
    <cellStyle name="Normal 63 5 3 3" xfId="10011"/>
    <cellStyle name="Normal 63 5 3 4" xfId="18834"/>
    <cellStyle name="Normal 63 5 4" xfId="1929"/>
    <cellStyle name="Normal 63 5 4 2" xfId="11296"/>
    <cellStyle name="Normal 63 5 4 3" xfId="21300"/>
    <cellStyle name="Normal 63 5 5" xfId="6208"/>
    <cellStyle name="Normal 63 5 5 2" xfId="15035"/>
    <cellStyle name="Normal 63 5 5 3" xfId="25286"/>
    <cellStyle name="Normal 63 5 6" xfId="7654"/>
    <cellStyle name="Normal 63 5 6 2" xfId="19782"/>
    <cellStyle name="Normal 63 5 7" xfId="16293"/>
    <cellStyle name="Normal 63 6" xfId="938"/>
    <cellStyle name="Normal 63 6 2" xfId="3421"/>
    <cellStyle name="Normal 63 6 2 2" xfId="12565"/>
    <cellStyle name="Normal 63 6 2 2 2" xfId="22784"/>
    <cellStyle name="Normal 63 6 2 3" xfId="8987"/>
    <cellStyle name="Normal 63 6 2 4" xfId="17777"/>
    <cellStyle name="Normal 63 6 3" xfId="5099"/>
    <cellStyle name="Normal 63 6 3 2" xfId="13938"/>
    <cellStyle name="Normal 63 6 3 2 2" xfId="24189"/>
    <cellStyle name="Normal 63 6 3 3" xfId="10359"/>
    <cellStyle name="Normal 63 6 3 4" xfId="19182"/>
    <cellStyle name="Normal 63 6 4" xfId="2530"/>
    <cellStyle name="Normal 63 6 4 2" xfId="11897"/>
    <cellStyle name="Normal 63 6 4 3" xfId="21901"/>
    <cellStyle name="Normal 63 6 5" xfId="6556"/>
    <cellStyle name="Normal 63 6 5 2" xfId="15383"/>
    <cellStyle name="Normal 63 6 5 3" xfId="25634"/>
    <cellStyle name="Normal 63 6 6" xfId="8002"/>
    <cellStyle name="Normal 63 6 6 2" xfId="20383"/>
    <cellStyle name="Normal 63 6 7" xfId="16894"/>
    <cellStyle name="Normal 63 7" xfId="1105"/>
    <cellStyle name="Normal 63 7 2" xfId="3535"/>
    <cellStyle name="Normal 63 7 2 2" xfId="12673"/>
    <cellStyle name="Normal 63 7 2 2 2" xfId="22892"/>
    <cellStyle name="Normal 63 7 2 3" xfId="9094"/>
    <cellStyle name="Normal 63 7 2 4" xfId="17885"/>
    <cellStyle name="Normal 63 7 3" xfId="5198"/>
    <cellStyle name="Normal 63 7 3 2" xfId="14037"/>
    <cellStyle name="Normal 63 7 3 2 2" xfId="24288"/>
    <cellStyle name="Normal 63 7 3 3" xfId="10458"/>
    <cellStyle name="Normal 63 7 3 4" xfId="19281"/>
    <cellStyle name="Normal 63 7 4" xfId="1738"/>
    <cellStyle name="Normal 63 7 4 2" xfId="11114"/>
    <cellStyle name="Normal 63 7 4 3" xfId="21118"/>
    <cellStyle name="Normal 63 7 5" xfId="6655"/>
    <cellStyle name="Normal 63 7 5 2" xfId="15482"/>
    <cellStyle name="Normal 63 7 5 3" xfId="25733"/>
    <cellStyle name="Normal 63 7 6" xfId="8101"/>
    <cellStyle name="Normal 63 7 6 2" xfId="20491"/>
    <cellStyle name="Normal 63 7 7" xfId="16111"/>
    <cellStyle name="Normal 63 8" xfId="2638"/>
    <cellStyle name="Normal 63 8 2" xfId="11979"/>
    <cellStyle name="Normal 63 8 2 2" xfId="22002"/>
    <cellStyle name="Normal 63 8 3" xfId="8574"/>
    <cellStyle name="Normal 63 8 4" xfId="16995"/>
    <cellStyle name="Normal 63 9" xfId="4152"/>
    <cellStyle name="Normal 63 9 2" xfId="12992"/>
    <cellStyle name="Normal 63 9 2 2" xfId="23243"/>
    <cellStyle name="Normal 63 9 3" xfId="9413"/>
    <cellStyle name="Normal 63 9 4" xfId="18236"/>
    <cellStyle name="Normal 63_Degree data" xfId="4045"/>
    <cellStyle name="Normal 64" xfId="138"/>
    <cellStyle name="Normal 64 2" xfId="943"/>
    <cellStyle name="Normal 64 3" xfId="1745"/>
    <cellStyle name="Normal 64_Degree data" xfId="4050"/>
    <cellStyle name="Normal 65" xfId="140"/>
    <cellStyle name="Normal 65 2" xfId="944"/>
    <cellStyle name="Normal 65 3" xfId="1747"/>
    <cellStyle name="Normal 65_Degree data" xfId="4051"/>
    <cellStyle name="Normal 66" xfId="139"/>
    <cellStyle name="Normal 66 2" xfId="945"/>
    <cellStyle name="Normal 66 3" xfId="1746"/>
    <cellStyle name="Normal 66_Degree data" xfId="4052"/>
    <cellStyle name="Normal 67" xfId="176"/>
    <cellStyle name="Normal 67 2" xfId="946"/>
    <cellStyle name="Normal 67 3" xfId="1779"/>
    <cellStyle name="Normal 67_Degree data" xfId="4053"/>
    <cellStyle name="Normal 68" xfId="177"/>
    <cellStyle name="Normal 68 2" xfId="947"/>
    <cellStyle name="Normal 68 3" xfId="1780"/>
    <cellStyle name="Normal 68_Degree data" xfId="4054"/>
    <cellStyle name="Normal 69" xfId="207"/>
    <cellStyle name="Normal 69 2" xfId="948"/>
    <cellStyle name="Normal 69 3" xfId="1809"/>
    <cellStyle name="Normal 69_Degree data" xfId="4055"/>
    <cellStyle name="Normal 7" xfId="51"/>
    <cellStyle name="Normal 7 10" xfId="949"/>
    <cellStyle name="Normal 7 10 2" xfId="3426"/>
    <cellStyle name="Normal 7 10 2 2" xfId="12570"/>
    <cellStyle name="Normal 7 10 2 2 2" xfId="22789"/>
    <cellStyle name="Normal 7 10 2 3" xfId="8992"/>
    <cellStyle name="Normal 7 10 2 4" xfId="17782"/>
    <cellStyle name="Normal 7 10 3" xfId="4756"/>
    <cellStyle name="Normal 7 10 3 2" xfId="13595"/>
    <cellStyle name="Normal 7 10 3 2 2" xfId="23846"/>
    <cellStyle name="Normal 7 10 3 3" xfId="10016"/>
    <cellStyle name="Normal 7 10 3 4" xfId="18839"/>
    <cellStyle name="Normal 7 10 4" xfId="2535"/>
    <cellStyle name="Normal 7 10 4 2" xfId="11902"/>
    <cellStyle name="Normal 7 10 4 3" xfId="21906"/>
    <cellStyle name="Normal 7 10 5" xfId="6213"/>
    <cellStyle name="Normal 7 10 5 2" xfId="15040"/>
    <cellStyle name="Normal 7 10 5 3" xfId="25291"/>
    <cellStyle name="Normal 7 10 6" xfId="7659"/>
    <cellStyle name="Normal 7 10 6 2" xfId="20388"/>
    <cellStyle name="Normal 7 10 7" xfId="16899"/>
    <cellStyle name="Normal 7 11" xfId="1054"/>
    <cellStyle name="Normal 7 11 2" xfId="3484"/>
    <cellStyle name="Normal 7 11 2 2" xfId="12622"/>
    <cellStyle name="Normal 7 11 2 2 2" xfId="22841"/>
    <cellStyle name="Normal 7 11 2 3" xfId="9044"/>
    <cellStyle name="Normal 7 11 2 4" xfId="17834"/>
    <cellStyle name="Normal 7 11 3" xfId="5104"/>
    <cellStyle name="Normal 7 11 3 2" xfId="13943"/>
    <cellStyle name="Normal 7 11 3 2 2" xfId="24194"/>
    <cellStyle name="Normal 7 11 3 3" xfId="10364"/>
    <cellStyle name="Normal 7 11 3 4" xfId="19187"/>
    <cellStyle name="Normal 7 11 4" xfId="1719"/>
    <cellStyle name="Normal 7 11 4 2" xfId="11098"/>
    <cellStyle name="Normal 7 11 4 3" xfId="21102"/>
    <cellStyle name="Normal 7 11 5" xfId="6561"/>
    <cellStyle name="Normal 7 11 5 2" xfId="15388"/>
    <cellStyle name="Normal 7 11 5 3" xfId="25639"/>
    <cellStyle name="Normal 7 11 6" xfId="8007"/>
    <cellStyle name="Normal 7 11 6 2" xfId="20440"/>
    <cellStyle name="Normal 7 11 7" xfId="16095"/>
    <cellStyle name="Normal 7 12" xfId="2619"/>
    <cellStyle name="Normal 7 12 2" xfId="5147"/>
    <cellStyle name="Normal 7 12 2 2" xfId="13986"/>
    <cellStyle name="Normal 7 12 2 2 2" xfId="24237"/>
    <cellStyle name="Normal 7 12 2 3" xfId="10407"/>
    <cellStyle name="Normal 7 12 2 4" xfId="19230"/>
    <cellStyle name="Normal 7 12 3" xfId="6604"/>
    <cellStyle name="Normal 7 12 3 2" xfId="15431"/>
    <cellStyle name="Normal 7 12 3 3" xfId="25682"/>
    <cellStyle name="Normal 7 12 4" xfId="8050"/>
    <cellStyle name="Normal 7 12 4 2" xfId="21985"/>
    <cellStyle name="Normal 7 12 5" xfId="16978"/>
    <cellStyle name="Normal 7 13" xfId="4101"/>
    <cellStyle name="Normal 7 13 2" xfId="5561"/>
    <cellStyle name="Normal 7 13 2 2" xfId="14388"/>
    <cellStyle name="Normal 7 13 2 3" xfId="24639"/>
    <cellStyle name="Normal 7 13 3" xfId="7005"/>
    <cellStyle name="Normal 7 13 3 2" xfId="23192"/>
    <cellStyle name="Normal 7 13 4" xfId="18185"/>
    <cellStyle name="Normal 7 14" xfId="1407"/>
    <cellStyle name="Normal 7 14 2" xfId="10786"/>
    <cellStyle name="Normal 7 14 3" xfId="20790"/>
    <cellStyle name="Normal 7 15" xfId="5519"/>
    <cellStyle name="Normal 7 15 2" xfId="14348"/>
    <cellStyle name="Normal 7 15 3" xfId="24599"/>
    <cellStyle name="Normal 7 16" xfId="6960"/>
    <cellStyle name="Normal 7 16 2" xfId="19585"/>
    <cellStyle name="Normal 7 17" xfId="15783"/>
    <cellStyle name="Normal 7 2" xfId="122"/>
    <cellStyle name="Normal 7 2 10" xfId="4113"/>
    <cellStyle name="Normal 7 2 10 2" xfId="5573"/>
    <cellStyle name="Normal 7 2 10 2 2" xfId="14400"/>
    <cellStyle name="Normal 7 2 10 2 3" xfId="24651"/>
    <cellStyle name="Normal 7 2 10 3" xfId="7017"/>
    <cellStyle name="Normal 7 2 10 3 2" xfId="23204"/>
    <cellStyle name="Normal 7 2 10 4" xfId="18197"/>
    <cellStyle name="Normal 7 2 11" xfId="1432"/>
    <cellStyle name="Normal 7 2 11 2" xfId="10811"/>
    <cellStyle name="Normal 7 2 11 3" xfId="20815"/>
    <cellStyle name="Normal 7 2 12" xfId="5541"/>
    <cellStyle name="Normal 7 2 12 2" xfId="14370"/>
    <cellStyle name="Normal 7 2 12 3" xfId="24621"/>
    <cellStyle name="Normal 7 2 13" xfId="6987"/>
    <cellStyle name="Normal 7 2 13 2" xfId="19598"/>
    <cellStyle name="Normal 7 2 14" xfId="15808"/>
    <cellStyle name="Normal 7 2 2" xfId="166"/>
    <cellStyle name="Normal 7 2 2 10" xfId="5675"/>
    <cellStyle name="Normal 7 2 2 10 2" xfId="14502"/>
    <cellStyle name="Normal 7 2 2 10 3" xfId="24753"/>
    <cellStyle name="Normal 7 2 2 11" xfId="7119"/>
    <cellStyle name="Normal 7 2 2 11 2" xfId="19628"/>
    <cellStyle name="Normal 7 2 2 12" xfId="15865"/>
    <cellStyle name="Normal 7 2 2 2" xfId="278"/>
    <cellStyle name="Normal 7 2 2 2 10" xfId="16069"/>
    <cellStyle name="Normal 7 2 2 2 2" xfId="600"/>
    <cellStyle name="Normal 7 2 2 2 2 2" xfId="3087"/>
    <cellStyle name="Normal 7 2 2 2 2 2 2" xfId="12236"/>
    <cellStyle name="Normal 7 2 2 2 2 2 2 2" xfId="22450"/>
    <cellStyle name="Normal 7 2 2 2 2 2 3" xfId="8658"/>
    <cellStyle name="Normal 7 2 2 2 2 2 4" xfId="17443"/>
    <cellStyle name="Normal 7 2 2 2 2 3" xfId="4759"/>
    <cellStyle name="Normal 7 2 2 2 2 3 2" xfId="13598"/>
    <cellStyle name="Normal 7 2 2 2 2 3 2 2" xfId="23849"/>
    <cellStyle name="Normal 7 2 2 2 2 3 3" xfId="10019"/>
    <cellStyle name="Normal 7 2 2 2 2 3 4" xfId="18842"/>
    <cellStyle name="Normal 7 2 2 2 2 4" xfId="2196"/>
    <cellStyle name="Normal 7 2 2 2 2 4 2" xfId="11563"/>
    <cellStyle name="Normal 7 2 2 2 2 4 3" xfId="21567"/>
    <cellStyle name="Normal 7 2 2 2 2 5" xfId="6216"/>
    <cellStyle name="Normal 7 2 2 2 2 5 2" xfId="15043"/>
    <cellStyle name="Normal 7 2 2 2 2 5 3" xfId="25294"/>
    <cellStyle name="Normal 7 2 2 2 2 6" xfId="7662"/>
    <cellStyle name="Normal 7 2 2 2 2 6 2" xfId="20049"/>
    <cellStyle name="Normal 7 2 2 2 2 7" xfId="16560"/>
    <cellStyle name="Normal 7 2 2 2 3" xfId="952"/>
    <cellStyle name="Normal 7 2 2 2 3 2" xfId="3429"/>
    <cellStyle name="Normal 7 2 2 2 3 2 2" xfId="12573"/>
    <cellStyle name="Normal 7 2 2 2 3 2 2 2" xfId="22792"/>
    <cellStyle name="Normal 7 2 2 2 3 2 3" xfId="8995"/>
    <cellStyle name="Normal 7 2 2 2 3 2 4" xfId="17785"/>
    <cellStyle name="Normal 7 2 2 2 3 3" xfId="5107"/>
    <cellStyle name="Normal 7 2 2 2 3 3 2" xfId="13946"/>
    <cellStyle name="Normal 7 2 2 2 3 3 2 2" xfId="24197"/>
    <cellStyle name="Normal 7 2 2 2 3 3 3" xfId="10367"/>
    <cellStyle name="Normal 7 2 2 2 3 3 4" xfId="19190"/>
    <cellStyle name="Normal 7 2 2 2 3 4" xfId="2538"/>
    <cellStyle name="Normal 7 2 2 2 3 4 2" xfId="11905"/>
    <cellStyle name="Normal 7 2 2 2 3 4 3" xfId="21909"/>
    <cellStyle name="Normal 7 2 2 2 3 5" xfId="6564"/>
    <cellStyle name="Normal 7 2 2 2 3 5 2" xfId="15391"/>
    <cellStyle name="Normal 7 2 2 2 3 5 3" xfId="25642"/>
    <cellStyle name="Normal 7 2 2 2 3 6" xfId="8010"/>
    <cellStyle name="Normal 7 2 2 2 3 6 2" xfId="20391"/>
    <cellStyle name="Normal 7 2 2 2 3 7" xfId="16902"/>
    <cellStyle name="Normal 7 2 2 2 4" xfId="1372"/>
    <cellStyle name="Normal 7 2 2 2 4 2" xfId="3802"/>
    <cellStyle name="Normal 7 2 2 2 4 2 2" xfId="12940"/>
    <cellStyle name="Normal 7 2 2 2 4 2 2 2" xfId="23159"/>
    <cellStyle name="Normal 7 2 2 2 4 2 3" xfId="9361"/>
    <cellStyle name="Normal 7 2 2 2 4 2 4" xfId="18152"/>
    <cellStyle name="Normal 7 2 2 2 4 3" xfId="5465"/>
    <cellStyle name="Normal 7 2 2 2 4 3 2" xfId="14304"/>
    <cellStyle name="Normal 7 2 2 2 4 3 2 2" xfId="24555"/>
    <cellStyle name="Normal 7 2 2 2 4 3 3" xfId="10725"/>
    <cellStyle name="Normal 7 2 2 2 4 3 4" xfId="19548"/>
    <cellStyle name="Normal 7 2 2 2 4 4" xfId="1876"/>
    <cellStyle name="Normal 7 2 2 2 4 4 2" xfId="11246"/>
    <cellStyle name="Normal 7 2 2 2 4 4 3" xfId="21250"/>
    <cellStyle name="Normal 7 2 2 2 4 5" xfId="6922"/>
    <cellStyle name="Normal 7 2 2 2 4 5 2" xfId="15749"/>
    <cellStyle name="Normal 7 2 2 2 4 5 3" xfId="26000"/>
    <cellStyle name="Normal 7 2 2 2 4 6" xfId="8368"/>
    <cellStyle name="Normal 7 2 2 2 4 6 2" xfId="20758"/>
    <cellStyle name="Normal 7 2 2 2 4 7" xfId="16243"/>
    <cellStyle name="Normal 7 2 2 2 5" xfId="2770"/>
    <cellStyle name="Normal 7 2 2 2 5 2" xfId="12089"/>
    <cellStyle name="Normal 7 2 2 2 5 2 2" xfId="22133"/>
    <cellStyle name="Normal 7 2 2 2 5 3" xfId="8651"/>
    <cellStyle name="Normal 7 2 2 2 5 4" xfId="17126"/>
    <cellStyle name="Normal 7 2 2 2 6" xfId="4421"/>
    <cellStyle name="Normal 7 2 2 2 6 2" xfId="13261"/>
    <cellStyle name="Normal 7 2 2 2 6 2 2" xfId="23512"/>
    <cellStyle name="Normal 7 2 2 2 6 3" xfId="9682"/>
    <cellStyle name="Normal 7 2 2 2 6 4" xfId="18505"/>
    <cellStyle name="Normal 7 2 2 2 7" xfId="1693"/>
    <cellStyle name="Normal 7 2 2 2 7 2" xfId="11072"/>
    <cellStyle name="Normal 7 2 2 2 7 3" xfId="21076"/>
    <cellStyle name="Normal 7 2 2 2 8" xfId="5879"/>
    <cellStyle name="Normal 7 2 2 2 8 2" xfId="14706"/>
    <cellStyle name="Normal 7 2 2 2 8 3" xfId="24957"/>
    <cellStyle name="Normal 7 2 2 2 9" xfId="7323"/>
    <cellStyle name="Normal 7 2 2 2 9 2" xfId="19732"/>
    <cellStyle name="Normal 7 2 2 2_Degree data" xfId="4059"/>
    <cellStyle name="Normal 7 2 2 3" xfId="496"/>
    <cellStyle name="Normal 7 2 2 3 2" xfId="953"/>
    <cellStyle name="Normal 7 2 2 3 2 2" xfId="3430"/>
    <cellStyle name="Normal 7 2 2 3 2 2 2" xfId="12574"/>
    <cellStyle name="Normal 7 2 2 3 2 2 2 2" xfId="22793"/>
    <cellStyle name="Normal 7 2 2 3 2 2 3" xfId="8996"/>
    <cellStyle name="Normal 7 2 2 3 2 2 4" xfId="17786"/>
    <cellStyle name="Normal 7 2 2 3 2 3" xfId="4760"/>
    <cellStyle name="Normal 7 2 2 3 2 3 2" xfId="13599"/>
    <cellStyle name="Normal 7 2 2 3 2 3 2 2" xfId="23850"/>
    <cellStyle name="Normal 7 2 2 3 2 3 3" xfId="10020"/>
    <cellStyle name="Normal 7 2 2 3 2 3 4" xfId="18843"/>
    <cellStyle name="Normal 7 2 2 3 2 4" xfId="2539"/>
    <cellStyle name="Normal 7 2 2 3 2 4 2" xfId="11906"/>
    <cellStyle name="Normal 7 2 2 3 2 4 3" xfId="21910"/>
    <cellStyle name="Normal 7 2 2 3 2 5" xfId="6217"/>
    <cellStyle name="Normal 7 2 2 3 2 5 2" xfId="15044"/>
    <cellStyle name="Normal 7 2 2 3 2 5 3" xfId="25295"/>
    <cellStyle name="Normal 7 2 2 3 2 6" xfId="7663"/>
    <cellStyle name="Normal 7 2 2 3 2 6 2" xfId="20392"/>
    <cellStyle name="Normal 7 2 2 3 2 7" xfId="16903"/>
    <cellStyle name="Normal 7 2 2 3 3" xfId="1268"/>
    <cellStyle name="Normal 7 2 2 3 3 2" xfId="3698"/>
    <cellStyle name="Normal 7 2 2 3 3 2 2" xfId="12836"/>
    <cellStyle name="Normal 7 2 2 3 3 2 2 2" xfId="23055"/>
    <cellStyle name="Normal 7 2 2 3 3 2 3" xfId="9257"/>
    <cellStyle name="Normal 7 2 2 3 3 2 4" xfId="18048"/>
    <cellStyle name="Normal 7 2 2 3 3 3" xfId="5108"/>
    <cellStyle name="Normal 7 2 2 3 3 3 2" xfId="13947"/>
    <cellStyle name="Normal 7 2 2 3 3 3 2 2" xfId="24198"/>
    <cellStyle name="Normal 7 2 2 3 3 3 3" xfId="10368"/>
    <cellStyle name="Normal 7 2 2 3 3 3 4" xfId="19191"/>
    <cellStyle name="Normal 7 2 2 3 3 4" xfId="2092"/>
    <cellStyle name="Normal 7 2 2 3 3 4 2" xfId="11459"/>
    <cellStyle name="Normal 7 2 2 3 3 4 3" xfId="21463"/>
    <cellStyle name="Normal 7 2 2 3 3 5" xfId="6565"/>
    <cellStyle name="Normal 7 2 2 3 3 5 2" xfId="15392"/>
    <cellStyle name="Normal 7 2 2 3 3 5 3" xfId="25643"/>
    <cellStyle name="Normal 7 2 2 3 3 6" xfId="8011"/>
    <cellStyle name="Normal 7 2 2 3 3 6 2" xfId="20654"/>
    <cellStyle name="Normal 7 2 2 3 3 7" xfId="16456"/>
    <cellStyle name="Normal 7 2 2 3 4" xfId="2983"/>
    <cellStyle name="Normal 7 2 2 3 4 2" xfId="5361"/>
    <cellStyle name="Normal 7 2 2 3 4 2 2" xfId="14200"/>
    <cellStyle name="Normal 7 2 2 3 4 2 2 2" xfId="24451"/>
    <cellStyle name="Normal 7 2 2 3 4 2 3" xfId="10621"/>
    <cellStyle name="Normal 7 2 2 3 4 2 4" xfId="19444"/>
    <cellStyle name="Normal 7 2 2 3 4 3" xfId="6818"/>
    <cellStyle name="Normal 7 2 2 3 4 3 2" xfId="15645"/>
    <cellStyle name="Normal 7 2 2 3 4 3 3" xfId="25896"/>
    <cellStyle name="Normal 7 2 2 3 4 4" xfId="8264"/>
    <cellStyle name="Normal 7 2 2 3 4 4 2" xfId="22346"/>
    <cellStyle name="Normal 7 2 2 3 4 5" xfId="17339"/>
    <cellStyle name="Normal 7 2 2 3 5" xfId="4317"/>
    <cellStyle name="Normal 7 2 2 3 5 2" xfId="13157"/>
    <cellStyle name="Normal 7 2 2 3 5 2 2" xfId="23408"/>
    <cellStyle name="Normal 7 2 2 3 5 3" xfId="9578"/>
    <cellStyle name="Normal 7 2 2 3 5 4" xfId="18401"/>
    <cellStyle name="Normal 7 2 2 3 6" xfId="1589"/>
    <cellStyle name="Normal 7 2 2 3 6 2" xfId="10968"/>
    <cellStyle name="Normal 7 2 2 3 6 3" xfId="20972"/>
    <cellStyle name="Normal 7 2 2 3 7" xfId="5775"/>
    <cellStyle name="Normal 7 2 2 3 7 2" xfId="14602"/>
    <cellStyle name="Normal 7 2 2 3 7 3" xfId="24853"/>
    <cellStyle name="Normal 7 2 2 3 8" xfId="7219"/>
    <cellStyle name="Normal 7 2 2 3 8 2" xfId="19945"/>
    <cellStyle name="Normal 7 2 2 3 9" xfId="15965"/>
    <cellStyle name="Normal 7 2 2 3_Degree data" xfId="4060"/>
    <cellStyle name="Normal 7 2 2 4" xfId="396"/>
    <cellStyle name="Normal 7 2 2 4 2" xfId="2883"/>
    <cellStyle name="Normal 7 2 2 4 2 2" xfId="12173"/>
    <cellStyle name="Normal 7 2 2 4 2 2 2" xfId="22246"/>
    <cellStyle name="Normal 7 2 2 4 2 3" xfId="8610"/>
    <cellStyle name="Normal 7 2 2 4 2 4" xfId="17239"/>
    <cellStyle name="Normal 7 2 2 4 3" xfId="4758"/>
    <cellStyle name="Normal 7 2 2 4 3 2" xfId="13597"/>
    <cellStyle name="Normal 7 2 2 4 3 2 2" xfId="23848"/>
    <cellStyle name="Normal 7 2 2 4 3 3" xfId="10018"/>
    <cellStyle name="Normal 7 2 2 4 3 4" xfId="18841"/>
    <cellStyle name="Normal 7 2 2 4 4" xfId="1992"/>
    <cellStyle name="Normal 7 2 2 4 4 2" xfId="11359"/>
    <cellStyle name="Normal 7 2 2 4 4 3" xfId="21363"/>
    <cellStyle name="Normal 7 2 2 4 5" xfId="6215"/>
    <cellStyle name="Normal 7 2 2 4 5 2" xfId="15042"/>
    <cellStyle name="Normal 7 2 2 4 5 3" xfId="25293"/>
    <cellStyle name="Normal 7 2 2 4 6" xfId="7661"/>
    <cellStyle name="Normal 7 2 2 4 6 2" xfId="19845"/>
    <cellStyle name="Normal 7 2 2 4 7" xfId="16356"/>
    <cellStyle name="Normal 7 2 2 5" xfId="951"/>
    <cellStyle name="Normal 7 2 2 5 2" xfId="3428"/>
    <cellStyle name="Normal 7 2 2 5 2 2" xfId="12572"/>
    <cellStyle name="Normal 7 2 2 5 2 2 2" xfId="22791"/>
    <cellStyle name="Normal 7 2 2 5 2 3" xfId="8994"/>
    <cellStyle name="Normal 7 2 2 5 2 4" xfId="17784"/>
    <cellStyle name="Normal 7 2 2 5 3" xfId="5106"/>
    <cellStyle name="Normal 7 2 2 5 3 2" xfId="13945"/>
    <cellStyle name="Normal 7 2 2 5 3 2 2" xfId="24196"/>
    <cellStyle name="Normal 7 2 2 5 3 3" xfId="10366"/>
    <cellStyle name="Normal 7 2 2 5 3 4" xfId="19189"/>
    <cellStyle name="Normal 7 2 2 5 4" xfId="2537"/>
    <cellStyle name="Normal 7 2 2 5 4 2" xfId="11904"/>
    <cellStyle name="Normal 7 2 2 5 4 3" xfId="21908"/>
    <cellStyle name="Normal 7 2 2 5 5" xfId="6563"/>
    <cellStyle name="Normal 7 2 2 5 5 2" xfId="15390"/>
    <cellStyle name="Normal 7 2 2 5 5 3" xfId="25641"/>
    <cellStyle name="Normal 7 2 2 5 6" xfId="8009"/>
    <cellStyle name="Normal 7 2 2 5 6 2" xfId="20390"/>
    <cellStyle name="Normal 7 2 2 5 7" xfId="16901"/>
    <cellStyle name="Normal 7 2 2 6" xfId="1168"/>
    <cellStyle name="Normal 7 2 2 6 2" xfId="3598"/>
    <cellStyle name="Normal 7 2 2 6 2 2" xfId="12736"/>
    <cellStyle name="Normal 7 2 2 6 2 2 2" xfId="22955"/>
    <cellStyle name="Normal 7 2 2 6 2 3" xfId="9157"/>
    <cellStyle name="Normal 7 2 2 6 2 4" xfId="17948"/>
    <cellStyle name="Normal 7 2 2 6 3" xfId="5261"/>
    <cellStyle name="Normal 7 2 2 6 3 2" xfId="14100"/>
    <cellStyle name="Normal 7 2 2 6 3 2 2" xfId="24351"/>
    <cellStyle name="Normal 7 2 2 6 3 3" xfId="10521"/>
    <cellStyle name="Normal 7 2 2 6 3 4" xfId="19344"/>
    <cellStyle name="Normal 7 2 2 6 4" xfId="1769"/>
    <cellStyle name="Normal 7 2 2 6 4 2" xfId="11142"/>
    <cellStyle name="Normal 7 2 2 6 4 3" xfId="21146"/>
    <cellStyle name="Normal 7 2 2 6 5" xfId="6718"/>
    <cellStyle name="Normal 7 2 2 6 5 2" xfId="15545"/>
    <cellStyle name="Normal 7 2 2 6 5 3" xfId="25796"/>
    <cellStyle name="Normal 7 2 2 6 6" xfId="8164"/>
    <cellStyle name="Normal 7 2 2 6 6 2" xfId="20554"/>
    <cellStyle name="Normal 7 2 2 6 7" xfId="16139"/>
    <cellStyle name="Normal 7 2 2 7" xfId="2666"/>
    <cellStyle name="Normal 7 2 2 7 2" xfId="11988"/>
    <cellStyle name="Normal 7 2 2 7 2 2" xfId="22029"/>
    <cellStyle name="Normal 7 2 2 7 3" xfId="8581"/>
    <cellStyle name="Normal 7 2 2 7 4" xfId="17022"/>
    <cellStyle name="Normal 7 2 2 8" xfId="4217"/>
    <cellStyle name="Normal 7 2 2 8 2" xfId="13057"/>
    <cellStyle name="Normal 7 2 2 8 2 2" xfId="23308"/>
    <cellStyle name="Normal 7 2 2 8 3" xfId="9478"/>
    <cellStyle name="Normal 7 2 2 8 4" xfId="18301"/>
    <cellStyle name="Normal 7 2 2 9" xfId="1489"/>
    <cellStyle name="Normal 7 2 2 9 2" xfId="10868"/>
    <cellStyle name="Normal 7 2 2 9 3" xfId="20872"/>
    <cellStyle name="Normal 7 2 2_Degree data" xfId="4058"/>
    <cellStyle name="Normal 7 2 3" xfId="213"/>
    <cellStyle name="Normal 7 2 3 10" xfId="7162"/>
    <cellStyle name="Normal 7 2 3 10 2" xfId="19671"/>
    <cellStyle name="Normal 7 2 3 11" xfId="15908"/>
    <cellStyle name="Normal 7 2 3 2" xfId="539"/>
    <cellStyle name="Normal 7 2 3 2 2" xfId="955"/>
    <cellStyle name="Normal 7 2 3 2 2 2" xfId="3432"/>
    <cellStyle name="Normal 7 2 3 2 2 2 2" xfId="12576"/>
    <cellStyle name="Normal 7 2 3 2 2 2 2 2" xfId="22795"/>
    <cellStyle name="Normal 7 2 3 2 2 2 3" xfId="8998"/>
    <cellStyle name="Normal 7 2 3 2 2 2 4" xfId="17788"/>
    <cellStyle name="Normal 7 2 3 2 2 3" xfId="4762"/>
    <cellStyle name="Normal 7 2 3 2 2 3 2" xfId="13601"/>
    <cellStyle name="Normal 7 2 3 2 2 3 2 2" xfId="23852"/>
    <cellStyle name="Normal 7 2 3 2 2 3 3" xfId="10022"/>
    <cellStyle name="Normal 7 2 3 2 2 3 4" xfId="18845"/>
    <cellStyle name="Normal 7 2 3 2 2 4" xfId="2541"/>
    <cellStyle name="Normal 7 2 3 2 2 4 2" xfId="11908"/>
    <cellStyle name="Normal 7 2 3 2 2 4 3" xfId="21912"/>
    <cellStyle name="Normal 7 2 3 2 2 5" xfId="6219"/>
    <cellStyle name="Normal 7 2 3 2 2 5 2" xfId="15046"/>
    <cellStyle name="Normal 7 2 3 2 2 5 3" xfId="25297"/>
    <cellStyle name="Normal 7 2 3 2 2 6" xfId="7665"/>
    <cellStyle name="Normal 7 2 3 2 2 6 2" xfId="20394"/>
    <cellStyle name="Normal 7 2 3 2 2 7" xfId="16905"/>
    <cellStyle name="Normal 7 2 3 2 3" xfId="1311"/>
    <cellStyle name="Normal 7 2 3 2 3 2" xfId="3741"/>
    <cellStyle name="Normal 7 2 3 2 3 2 2" xfId="12879"/>
    <cellStyle name="Normal 7 2 3 2 3 2 2 2" xfId="23098"/>
    <cellStyle name="Normal 7 2 3 2 3 2 3" xfId="9300"/>
    <cellStyle name="Normal 7 2 3 2 3 2 4" xfId="18091"/>
    <cellStyle name="Normal 7 2 3 2 3 3" xfId="5110"/>
    <cellStyle name="Normal 7 2 3 2 3 3 2" xfId="13949"/>
    <cellStyle name="Normal 7 2 3 2 3 3 2 2" xfId="24200"/>
    <cellStyle name="Normal 7 2 3 2 3 3 3" xfId="10370"/>
    <cellStyle name="Normal 7 2 3 2 3 3 4" xfId="19193"/>
    <cellStyle name="Normal 7 2 3 2 3 4" xfId="2135"/>
    <cellStyle name="Normal 7 2 3 2 3 4 2" xfId="11502"/>
    <cellStyle name="Normal 7 2 3 2 3 4 3" xfId="21506"/>
    <cellStyle name="Normal 7 2 3 2 3 5" xfId="6567"/>
    <cellStyle name="Normal 7 2 3 2 3 5 2" xfId="15394"/>
    <cellStyle name="Normal 7 2 3 2 3 5 3" xfId="25645"/>
    <cellStyle name="Normal 7 2 3 2 3 6" xfId="8013"/>
    <cellStyle name="Normal 7 2 3 2 3 6 2" xfId="20697"/>
    <cellStyle name="Normal 7 2 3 2 3 7" xfId="16499"/>
    <cellStyle name="Normal 7 2 3 2 4" xfId="3026"/>
    <cellStyle name="Normal 7 2 3 2 4 2" xfId="5404"/>
    <cellStyle name="Normal 7 2 3 2 4 2 2" xfId="14243"/>
    <cellStyle name="Normal 7 2 3 2 4 2 2 2" xfId="24494"/>
    <cellStyle name="Normal 7 2 3 2 4 2 3" xfId="10664"/>
    <cellStyle name="Normal 7 2 3 2 4 2 4" xfId="19487"/>
    <cellStyle name="Normal 7 2 3 2 4 3" xfId="6861"/>
    <cellStyle name="Normal 7 2 3 2 4 3 2" xfId="15688"/>
    <cellStyle name="Normal 7 2 3 2 4 3 3" xfId="25939"/>
    <cellStyle name="Normal 7 2 3 2 4 4" xfId="8307"/>
    <cellStyle name="Normal 7 2 3 2 4 4 2" xfId="22389"/>
    <cellStyle name="Normal 7 2 3 2 4 5" xfId="17382"/>
    <cellStyle name="Normal 7 2 3 2 5" xfId="4360"/>
    <cellStyle name="Normal 7 2 3 2 5 2" xfId="13200"/>
    <cellStyle name="Normal 7 2 3 2 5 2 2" xfId="23451"/>
    <cellStyle name="Normal 7 2 3 2 5 3" xfId="9621"/>
    <cellStyle name="Normal 7 2 3 2 5 4" xfId="18444"/>
    <cellStyle name="Normal 7 2 3 2 6" xfId="1632"/>
    <cellStyle name="Normal 7 2 3 2 6 2" xfId="11011"/>
    <cellStyle name="Normal 7 2 3 2 6 3" xfId="21015"/>
    <cellStyle name="Normal 7 2 3 2 7" xfId="5818"/>
    <cellStyle name="Normal 7 2 3 2 7 2" xfId="14645"/>
    <cellStyle name="Normal 7 2 3 2 7 3" xfId="24896"/>
    <cellStyle name="Normal 7 2 3 2 8" xfId="7262"/>
    <cellStyle name="Normal 7 2 3 2 8 2" xfId="19988"/>
    <cellStyle name="Normal 7 2 3 2 9" xfId="16008"/>
    <cellStyle name="Normal 7 2 3 2_Degree data" xfId="4062"/>
    <cellStyle name="Normal 7 2 3 3" xfId="439"/>
    <cellStyle name="Normal 7 2 3 3 2" xfId="2926"/>
    <cellStyle name="Normal 7 2 3 3 2 2" xfId="12216"/>
    <cellStyle name="Normal 7 2 3 3 2 2 2" xfId="22289"/>
    <cellStyle name="Normal 7 2 3 3 2 3" xfId="8593"/>
    <cellStyle name="Normal 7 2 3 3 2 4" xfId="17282"/>
    <cellStyle name="Normal 7 2 3 3 3" xfId="4761"/>
    <cellStyle name="Normal 7 2 3 3 3 2" xfId="13600"/>
    <cellStyle name="Normal 7 2 3 3 3 2 2" xfId="23851"/>
    <cellStyle name="Normal 7 2 3 3 3 3" xfId="10021"/>
    <cellStyle name="Normal 7 2 3 3 3 4" xfId="18844"/>
    <cellStyle name="Normal 7 2 3 3 4" xfId="2035"/>
    <cellStyle name="Normal 7 2 3 3 4 2" xfId="11402"/>
    <cellStyle name="Normal 7 2 3 3 4 3" xfId="21406"/>
    <cellStyle name="Normal 7 2 3 3 5" xfId="6218"/>
    <cellStyle name="Normal 7 2 3 3 5 2" xfId="15045"/>
    <cellStyle name="Normal 7 2 3 3 5 3" xfId="25296"/>
    <cellStyle name="Normal 7 2 3 3 6" xfId="7664"/>
    <cellStyle name="Normal 7 2 3 3 6 2" xfId="19888"/>
    <cellStyle name="Normal 7 2 3 3 7" xfId="16399"/>
    <cellStyle name="Normal 7 2 3 4" xfId="954"/>
    <cellStyle name="Normal 7 2 3 4 2" xfId="3431"/>
    <cellStyle name="Normal 7 2 3 4 2 2" xfId="12575"/>
    <cellStyle name="Normal 7 2 3 4 2 2 2" xfId="22794"/>
    <cellStyle name="Normal 7 2 3 4 2 3" xfId="8997"/>
    <cellStyle name="Normal 7 2 3 4 2 4" xfId="17787"/>
    <cellStyle name="Normal 7 2 3 4 3" xfId="5109"/>
    <cellStyle name="Normal 7 2 3 4 3 2" xfId="13948"/>
    <cellStyle name="Normal 7 2 3 4 3 2 2" xfId="24199"/>
    <cellStyle name="Normal 7 2 3 4 3 3" xfId="10369"/>
    <cellStyle name="Normal 7 2 3 4 3 4" xfId="19192"/>
    <cellStyle name="Normal 7 2 3 4 4" xfId="2540"/>
    <cellStyle name="Normal 7 2 3 4 4 2" xfId="11907"/>
    <cellStyle name="Normal 7 2 3 4 4 3" xfId="21911"/>
    <cellStyle name="Normal 7 2 3 4 5" xfId="6566"/>
    <cellStyle name="Normal 7 2 3 4 5 2" xfId="15393"/>
    <cellStyle name="Normal 7 2 3 4 5 3" xfId="25644"/>
    <cellStyle name="Normal 7 2 3 4 6" xfId="8012"/>
    <cellStyle name="Normal 7 2 3 4 6 2" xfId="20393"/>
    <cellStyle name="Normal 7 2 3 4 7" xfId="16904"/>
    <cellStyle name="Normal 7 2 3 5" xfId="1211"/>
    <cellStyle name="Normal 7 2 3 5 2" xfId="3641"/>
    <cellStyle name="Normal 7 2 3 5 2 2" xfId="12779"/>
    <cellStyle name="Normal 7 2 3 5 2 2 2" xfId="22998"/>
    <cellStyle name="Normal 7 2 3 5 2 3" xfId="9200"/>
    <cellStyle name="Normal 7 2 3 5 2 4" xfId="17991"/>
    <cellStyle name="Normal 7 2 3 5 3" xfId="5304"/>
    <cellStyle name="Normal 7 2 3 5 3 2" xfId="14143"/>
    <cellStyle name="Normal 7 2 3 5 3 2 2" xfId="24394"/>
    <cellStyle name="Normal 7 2 3 5 3 3" xfId="10564"/>
    <cellStyle name="Normal 7 2 3 5 3 4" xfId="19387"/>
    <cellStyle name="Normal 7 2 3 5 4" xfId="1815"/>
    <cellStyle name="Normal 7 2 3 5 4 2" xfId="11185"/>
    <cellStyle name="Normal 7 2 3 5 4 3" xfId="21189"/>
    <cellStyle name="Normal 7 2 3 5 5" xfId="6761"/>
    <cellStyle name="Normal 7 2 3 5 5 2" xfId="15588"/>
    <cellStyle name="Normal 7 2 3 5 5 3" xfId="25839"/>
    <cellStyle name="Normal 7 2 3 5 6" xfId="8207"/>
    <cellStyle name="Normal 7 2 3 5 6 2" xfId="20597"/>
    <cellStyle name="Normal 7 2 3 5 7" xfId="16182"/>
    <cellStyle name="Normal 7 2 3 6" xfId="2709"/>
    <cellStyle name="Normal 7 2 3 6 2" xfId="12028"/>
    <cellStyle name="Normal 7 2 3 6 2 2" xfId="22072"/>
    <cellStyle name="Normal 7 2 3 6 3" xfId="8505"/>
    <cellStyle name="Normal 7 2 3 6 4" xfId="17065"/>
    <cellStyle name="Normal 7 2 3 7" xfId="4260"/>
    <cellStyle name="Normal 7 2 3 7 2" xfId="13100"/>
    <cellStyle name="Normal 7 2 3 7 2 2" xfId="23351"/>
    <cellStyle name="Normal 7 2 3 7 3" xfId="9521"/>
    <cellStyle name="Normal 7 2 3 7 4" xfId="18344"/>
    <cellStyle name="Normal 7 2 3 8" xfId="1532"/>
    <cellStyle name="Normal 7 2 3 8 2" xfId="10911"/>
    <cellStyle name="Normal 7 2 3 8 3" xfId="20915"/>
    <cellStyle name="Normal 7 2 3 9" xfId="5718"/>
    <cellStyle name="Normal 7 2 3 9 2" xfId="14545"/>
    <cellStyle name="Normal 7 2 3 9 3" xfId="24796"/>
    <cellStyle name="Normal 7 2 3_Degree data" xfId="4061"/>
    <cellStyle name="Normal 7 2 4" xfId="248"/>
    <cellStyle name="Normal 7 2 4 10" xfId="7089"/>
    <cellStyle name="Normal 7 2 4 10 2" xfId="19703"/>
    <cellStyle name="Normal 7 2 4 11" xfId="15835"/>
    <cellStyle name="Normal 7 2 4 2" xfId="571"/>
    <cellStyle name="Normal 7 2 4 2 2" xfId="957"/>
    <cellStyle name="Normal 7 2 4 2 2 2" xfId="3434"/>
    <cellStyle name="Normal 7 2 4 2 2 2 2" xfId="12578"/>
    <cellStyle name="Normal 7 2 4 2 2 2 2 2" xfId="22797"/>
    <cellStyle name="Normal 7 2 4 2 2 2 3" xfId="9000"/>
    <cellStyle name="Normal 7 2 4 2 2 2 4" xfId="17790"/>
    <cellStyle name="Normal 7 2 4 2 2 3" xfId="4764"/>
    <cellStyle name="Normal 7 2 4 2 2 3 2" xfId="13603"/>
    <cellStyle name="Normal 7 2 4 2 2 3 2 2" xfId="23854"/>
    <cellStyle name="Normal 7 2 4 2 2 3 3" xfId="10024"/>
    <cellStyle name="Normal 7 2 4 2 2 3 4" xfId="18847"/>
    <cellStyle name="Normal 7 2 4 2 2 4" xfId="2543"/>
    <cellStyle name="Normal 7 2 4 2 2 4 2" xfId="11910"/>
    <cellStyle name="Normal 7 2 4 2 2 4 3" xfId="21914"/>
    <cellStyle name="Normal 7 2 4 2 2 5" xfId="6221"/>
    <cellStyle name="Normal 7 2 4 2 2 5 2" xfId="15048"/>
    <cellStyle name="Normal 7 2 4 2 2 5 3" xfId="25299"/>
    <cellStyle name="Normal 7 2 4 2 2 6" xfId="7667"/>
    <cellStyle name="Normal 7 2 4 2 2 6 2" xfId="20396"/>
    <cellStyle name="Normal 7 2 4 2 2 7" xfId="16907"/>
    <cellStyle name="Normal 7 2 4 2 3" xfId="1343"/>
    <cellStyle name="Normal 7 2 4 2 3 2" xfId="3773"/>
    <cellStyle name="Normal 7 2 4 2 3 2 2" xfId="12911"/>
    <cellStyle name="Normal 7 2 4 2 3 2 2 2" xfId="23130"/>
    <cellStyle name="Normal 7 2 4 2 3 2 3" xfId="9332"/>
    <cellStyle name="Normal 7 2 4 2 3 2 4" xfId="18123"/>
    <cellStyle name="Normal 7 2 4 2 3 3" xfId="5112"/>
    <cellStyle name="Normal 7 2 4 2 3 3 2" xfId="13951"/>
    <cellStyle name="Normal 7 2 4 2 3 3 2 2" xfId="24202"/>
    <cellStyle name="Normal 7 2 4 2 3 3 3" xfId="10372"/>
    <cellStyle name="Normal 7 2 4 2 3 3 4" xfId="19195"/>
    <cellStyle name="Normal 7 2 4 2 3 4" xfId="2167"/>
    <cellStyle name="Normal 7 2 4 2 3 4 2" xfId="11534"/>
    <cellStyle name="Normal 7 2 4 2 3 4 3" xfId="21538"/>
    <cellStyle name="Normal 7 2 4 2 3 5" xfId="6569"/>
    <cellStyle name="Normal 7 2 4 2 3 5 2" xfId="15396"/>
    <cellStyle name="Normal 7 2 4 2 3 5 3" xfId="25647"/>
    <cellStyle name="Normal 7 2 4 2 3 6" xfId="8015"/>
    <cellStyle name="Normal 7 2 4 2 3 6 2" xfId="20729"/>
    <cellStyle name="Normal 7 2 4 2 3 7" xfId="16531"/>
    <cellStyle name="Normal 7 2 4 2 4" xfId="3058"/>
    <cellStyle name="Normal 7 2 4 2 4 2" xfId="5436"/>
    <cellStyle name="Normal 7 2 4 2 4 2 2" xfId="14275"/>
    <cellStyle name="Normal 7 2 4 2 4 2 2 2" xfId="24526"/>
    <cellStyle name="Normal 7 2 4 2 4 2 3" xfId="10696"/>
    <cellStyle name="Normal 7 2 4 2 4 2 4" xfId="19519"/>
    <cellStyle name="Normal 7 2 4 2 4 3" xfId="6893"/>
    <cellStyle name="Normal 7 2 4 2 4 3 2" xfId="15720"/>
    <cellStyle name="Normal 7 2 4 2 4 3 3" xfId="25971"/>
    <cellStyle name="Normal 7 2 4 2 4 4" xfId="8339"/>
    <cellStyle name="Normal 7 2 4 2 4 4 2" xfId="22421"/>
    <cellStyle name="Normal 7 2 4 2 4 5" xfId="17414"/>
    <cellStyle name="Normal 7 2 4 2 5" xfId="4392"/>
    <cellStyle name="Normal 7 2 4 2 5 2" xfId="13232"/>
    <cellStyle name="Normal 7 2 4 2 5 2 2" xfId="23483"/>
    <cellStyle name="Normal 7 2 4 2 5 3" xfId="9653"/>
    <cellStyle name="Normal 7 2 4 2 5 4" xfId="18476"/>
    <cellStyle name="Normal 7 2 4 2 6" xfId="1664"/>
    <cellStyle name="Normal 7 2 4 2 6 2" xfId="11043"/>
    <cellStyle name="Normal 7 2 4 2 6 3" xfId="21047"/>
    <cellStyle name="Normal 7 2 4 2 7" xfId="5850"/>
    <cellStyle name="Normal 7 2 4 2 7 2" xfId="14677"/>
    <cellStyle name="Normal 7 2 4 2 7 3" xfId="24928"/>
    <cellStyle name="Normal 7 2 4 2 8" xfId="7294"/>
    <cellStyle name="Normal 7 2 4 2 8 2" xfId="20020"/>
    <cellStyle name="Normal 7 2 4 2 9" xfId="16040"/>
    <cellStyle name="Normal 7 2 4 2_Degree data" xfId="4064"/>
    <cellStyle name="Normal 7 2 4 3" xfId="366"/>
    <cellStyle name="Normal 7 2 4 3 2" xfId="2853"/>
    <cellStyle name="Normal 7 2 4 3 2 2" xfId="12143"/>
    <cellStyle name="Normal 7 2 4 3 2 2 2" xfId="22216"/>
    <cellStyle name="Normal 7 2 4 3 2 3" xfId="8413"/>
    <cellStyle name="Normal 7 2 4 3 2 4" xfId="17209"/>
    <cellStyle name="Normal 7 2 4 3 3" xfId="4763"/>
    <cellStyle name="Normal 7 2 4 3 3 2" xfId="13602"/>
    <cellStyle name="Normal 7 2 4 3 3 2 2" xfId="23853"/>
    <cellStyle name="Normal 7 2 4 3 3 3" xfId="10023"/>
    <cellStyle name="Normal 7 2 4 3 3 4" xfId="18846"/>
    <cellStyle name="Normal 7 2 4 3 4" xfId="1962"/>
    <cellStyle name="Normal 7 2 4 3 4 2" xfId="11329"/>
    <cellStyle name="Normal 7 2 4 3 4 3" xfId="21333"/>
    <cellStyle name="Normal 7 2 4 3 5" xfId="6220"/>
    <cellStyle name="Normal 7 2 4 3 5 2" xfId="15047"/>
    <cellStyle name="Normal 7 2 4 3 5 3" xfId="25298"/>
    <cellStyle name="Normal 7 2 4 3 6" xfId="7666"/>
    <cellStyle name="Normal 7 2 4 3 6 2" xfId="19815"/>
    <cellStyle name="Normal 7 2 4 3 7" xfId="16326"/>
    <cellStyle name="Normal 7 2 4 4" xfId="956"/>
    <cellStyle name="Normal 7 2 4 4 2" xfId="3433"/>
    <cellStyle name="Normal 7 2 4 4 2 2" xfId="12577"/>
    <cellStyle name="Normal 7 2 4 4 2 2 2" xfId="22796"/>
    <cellStyle name="Normal 7 2 4 4 2 3" xfId="8999"/>
    <cellStyle name="Normal 7 2 4 4 2 4" xfId="17789"/>
    <cellStyle name="Normal 7 2 4 4 3" xfId="5111"/>
    <cellStyle name="Normal 7 2 4 4 3 2" xfId="13950"/>
    <cellStyle name="Normal 7 2 4 4 3 2 2" xfId="24201"/>
    <cellStyle name="Normal 7 2 4 4 3 3" xfId="10371"/>
    <cellStyle name="Normal 7 2 4 4 3 4" xfId="19194"/>
    <cellStyle name="Normal 7 2 4 4 4" xfId="2542"/>
    <cellStyle name="Normal 7 2 4 4 4 2" xfId="11909"/>
    <cellStyle name="Normal 7 2 4 4 4 3" xfId="21913"/>
    <cellStyle name="Normal 7 2 4 4 5" xfId="6568"/>
    <cellStyle name="Normal 7 2 4 4 5 2" xfId="15395"/>
    <cellStyle name="Normal 7 2 4 4 5 3" xfId="25646"/>
    <cellStyle name="Normal 7 2 4 4 6" xfId="8014"/>
    <cellStyle name="Normal 7 2 4 4 6 2" xfId="20395"/>
    <cellStyle name="Normal 7 2 4 4 7" xfId="16906"/>
    <cellStyle name="Normal 7 2 4 5" xfId="1138"/>
    <cellStyle name="Normal 7 2 4 5 2" xfId="3568"/>
    <cellStyle name="Normal 7 2 4 5 2 2" xfId="12706"/>
    <cellStyle name="Normal 7 2 4 5 2 2 2" xfId="22925"/>
    <cellStyle name="Normal 7 2 4 5 2 3" xfId="9127"/>
    <cellStyle name="Normal 7 2 4 5 2 4" xfId="17918"/>
    <cellStyle name="Normal 7 2 4 5 3" xfId="5231"/>
    <cellStyle name="Normal 7 2 4 5 3 2" xfId="14070"/>
    <cellStyle name="Normal 7 2 4 5 3 2 2" xfId="24321"/>
    <cellStyle name="Normal 7 2 4 5 3 3" xfId="10491"/>
    <cellStyle name="Normal 7 2 4 5 3 4" xfId="19314"/>
    <cellStyle name="Normal 7 2 4 5 4" xfId="1847"/>
    <cellStyle name="Normal 7 2 4 5 4 2" xfId="11217"/>
    <cellStyle name="Normal 7 2 4 5 4 3" xfId="21221"/>
    <cellStyle name="Normal 7 2 4 5 5" xfId="6688"/>
    <cellStyle name="Normal 7 2 4 5 5 2" xfId="15515"/>
    <cellStyle name="Normal 7 2 4 5 5 3" xfId="25766"/>
    <cellStyle name="Normal 7 2 4 5 6" xfId="8134"/>
    <cellStyle name="Normal 7 2 4 5 6 2" xfId="20524"/>
    <cellStyle name="Normal 7 2 4 5 7" xfId="16214"/>
    <cellStyle name="Normal 7 2 4 6" xfId="2741"/>
    <cellStyle name="Normal 7 2 4 6 2" xfId="12060"/>
    <cellStyle name="Normal 7 2 4 6 2 2" xfId="22104"/>
    <cellStyle name="Normal 7 2 4 6 3" xfId="8498"/>
    <cellStyle name="Normal 7 2 4 6 4" xfId="17097"/>
    <cellStyle name="Normal 7 2 4 7" xfId="4187"/>
    <cellStyle name="Normal 7 2 4 7 2" xfId="13027"/>
    <cellStyle name="Normal 7 2 4 7 2 2" xfId="23278"/>
    <cellStyle name="Normal 7 2 4 7 3" xfId="9448"/>
    <cellStyle name="Normal 7 2 4 7 4" xfId="18271"/>
    <cellStyle name="Normal 7 2 4 8" xfId="1459"/>
    <cellStyle name="Normal 7 2 4 8 2" xfId="10838"/>
    <cellStyle name="Normal 7 2 4 8 3" xfId="20842"/>
    <cellStyle name="Normal 7 2 4 9" xfId="5645"/>
    <cellStyle name="Normal 7 2 4 9 2" xfId="14472"/>
    <cellStyle name="Normal 7 2 4 9 3" xfId="24723"/>
    <cellStyle name="Normal 7 2 4_Degree data" xfId="4063"/>
    <cellStyle name="Normal 7 2 5" xfId="466"/>
    <cellStyle name="Normal 7 2 5 2" xfId="958"/>
    <cellStyle name="Normal 7 2 5 2 2" xfId="3435"/>
    <cellStyle name="Normal 7 2 5 2 2 2" xfId="12579"/>
    <cellStyle name="Normal 7 2 5 2 2 2 2" xfId="22798"/>
    <cellStyle name="Normal 7 2 5 2 2 3" xfId="9001"/>
    <cellStyle name="Normal 7 2 5 2 2 4" xfId="17791"/>
    <cellStyle name="Normal 7 2 5 2 3" xfId="4765"/>
    <cellStyle name="Normal 7 2 5 2 3 2" xfId="13604"/>
    <cellStyle name="Normal 7 2 5 2 3 2 2" xfId="23855"/>
    <cellStyle name="Normal 7 2 5 2 3 3" xfId="10025"/>
    <cellStyle name="Normal 7 2 5 2 3 4" xfId="18848"/>
    <cellStyle name="Normal 7 2 5 2 4" xfId="2544"/>
    <cellStyle name="Normal 7 2 5 2 4 2" xfId="11911"/>
    <cellStyle name="Normal 7 2 5 2 4 3" xfId="21915"/>
    <cellStyle name="Normal 7 2 5 2 5" xfId="6222"/>
    <cellStyle name="Normal 7 2 5 2 5 2" xfId="15049"/>
    <cellStyle name="Normal 7 2 5 2 5 3" xfId="25300"/>
    <cellStyle name="Normal 7 2 5 2 6" xfId="7668"/>
    <cellStyle name="Normal 7 2 5 2 6 2" xfId="20397"/>
    <cellStyle name="Normal 7 2 5 2 7" xfId="16908"/>
    <cellStyle name="Normal 7 2 5 3" xfId="1238"/>
    <cellStyle name="Normal 7 2 5 3 2" xfId="3668"/>
    <cellStyle name="Normal 7 2 5 3 2 2" xfId="12806"/>
    <cellStyle name="Normal 7 2 5 3 2 2 2" xfId="23025"/>
    <cellStyle name="Normal 7 2 5 3 2 3" xfId="9227"/>
    <cellStyle name="Normal 7 2 5 3 2 4" xfId="18018"/>
    <cellStyle name="Normal 7 2 5 3 3" xfId="5113"/>
    <cellStyle name="Normal 7 2 5 3 3 2" xfId="13952"/>
    <cellStyle name="Normal 7 2 5 3 3 2 2" xfId="24203"/>
    <cellStyle name="Normal 7 2 5 3 3 3" xfId="10373"/>
    <cellStyle name="Normal 7 2 5 3 3 4" xfId="19196"/>
    <cellStyle name="Normal 7 2 5 3 4" xfId="2062"/>
    <cellStyle name="Normal 7 2 5 3 4 2" xfId="11429"/>
    <cellStyle name="Normal 7 2 5 3 4 3" xfId="21433"/>
    <cellStyle name="Normal 7 2 5 3 5" xfId="6570"/>
    <cellStyle name="Normal 7 2 5 3 5 2" xfId="15397"/>
    <cellStyle name="Normal 7 2 5 3 5 3" xfId="25648"/>
    <cellStyle name="Normal 7 2 5 3 6" xfId="8016"/>
    <cellStyle name="Normal 7 2 5 3 6 2" xfId="20624"/>
    <cellStyle name="Normal 7 2 5 3 7" xfId="16426"/>
    <cellStyle name="Normal 7 2 5 4" xfId="2953"/>
    <cellStyle name="Normal 7 2 5 4 2" xfId="5331"/>
    <cellStyle name="Normal 7 2 5 4 2 2" xfId="14170"/>
    <cellStyle name="Normal 7 2 5 4 2 2 2" xfId="24421"/>
    <cellStyle name="Normal 7 2 5 4 2 3" xfId="10591"/>
    <cellStyle name="Normal 7 2 5 4 2 4" xfId="19414"/>
    <cellStyle name="Normal 7 2 5 4 3" xfId="6788"/>
    <cellStyle name="Normal 7 2 5 4 3 2" xfId="15615"/>
    <cellStyle name="Normal 7 2 5 4 3 3" xfId="25866"/>
    <cellStyle name="Normal 7 2 5 4 4" xfId="8234"/>
    <cellStyle name="Normal 7 2 5 4 4 2" xfId="22316"/>
    <cellStyle name="Normal 7 2 5 4 5" xfId="17309"/>
    <cellStyle name="Normal 7 2 5 5" xfId="4287"/>
    <cellStyle name="Normal 7 2 5 5 2" xfId="13127"/>
    <cellStyle name="Normal 7 2 5 5 2 2" xfId="23378"/>
    <cellStyle name="Normal 7 2 5 5 3" xfId="9548"/>
    <cellStyle name="Normal 7 2 5 5 4" xfId="18371"/>
    <cellStyle name="Normal 7 2 5 6" xfId="1559"/>
    <cellStyle name="Normal 7 2 5 6 2" xfId="10938"/>
    <cellStyle name="Normal 7 2 5 6 3" xfId="20942"/>
    <cellStyle name="Normal 7 2 5 7" xfId="5745"/>
    <cellStyle name="Normal 7 2 5 7 2" xfId="14572"/>
    <cellStyle name="Normal 7 2 5 7 3" xfId="24823"/>
    <cellStyle name="Normal 7 2 5 8" xfId="7189"/>
    <cellStyle name="Normal 7 2 5 8 2" xfId="19915"/>
    <cellStyle name="Normal 7 2 5 9" xfId="15935"/>
    <cellStyle name="Normal 7 2 5_Degree data" xfId="4065"/>
    <cellStyle name="Normal 7 2 6" xfId="339"/>
    <cellStyle name="Normal 7 2 6 2" xfId="959"/>
    <cellStyle name="Normal 7 2 6 2 2" xfId="3436"/>
    <cellStyle name="Normal 7 2 6 2 2 2" xfId="12580"/>
    <cellStyle name="Normal 7 2 6 2 2 2 2" xfId="22799"/>
    <cellStyle name="Normal 7 2 6 2 2 3" xfId="9002"/>
    <cellStyle name="Normal 7 2 6 2 2 4" xfId="17792"/>
    <cellStyle name="Normal 7 2 6 2 3" xfId="4766"/>
    <cellStyle name="Normal 7 2 6 2 3 2" xfId="13605"/>
    <cellStyle name="Normal 7 2 6 2 3 2 2" xfId="23856"/>
    <cellStyle name="Normal 7 2 6 2 3 3" xfId="10026"/>
    <cellStyle name="Normal 7 2 6 2 3 4" xfId="18849"/>
    <cellStyle name="Normal 7 2 6 2 4" xfId="2545"/>
    <cellStyle name="Normal 7 2 6 2 4 2" xfId="11912"/>
    <cellStyle name="Normal 7 2 6 2 4 3" xfId="21916"/>
    <cellStyle name="Normal 7 2 6 2 5" xfId="6223"/>
    <cellStyle name="Normal 7 2 6 2 5 2" xfId="15050"/>
    <cellStyle name="Normal 7 2 6 2 5 3" xfId="25301"/>
    <cellStyle name="Normal 7 2 6 2 6" xfId="7669"/>
    <cellStyle name="Normal 7 2 6 2 6 2" xfId="20398"/>
    <cellStyle name="Normal 7 2 6 2 7" xfId="16909"/>
    <cellStyle name="Normal 7 2 6 3" xfId="1111"/>
    <cellStyle name="Normal 7 2 6 3 2" xfId="3541"/>
    <cellStyle name="Normal 7 2 6 3 2 2" xfId="12679"/>
    <cellStyle name="Normal 7 2 6 3 2 2 2" xfId="22898"/>
    <cellStyle name="Normal 7 2 6 3 2 3" xfId="9100"/>
    <cellStyle name="Normal 7 2 6 3 2 4" xfId="17891"/>
    <cellStyle name="Normal 7 2 6 3 3" xfId="5114"/>
    <cellStyle name="Normal 7 2 6 3 3 2" xfId="13953"/>
    <cellStyle name="Normal 7 2 6 3 3 2 2" xfId="24204"/>
    <cellStyle name="Normal 7 2 6 3 3 3" xfId="10374"/>
    <cellStyle name="Normal 7 2 6 3 3 4" xfId="19197"/>
    <cellStyle name="Normal 7 2 6 3 4" xfId="2608"/>
    <cellStyle name="Normal 7 2 6 3 4 2" xfId="11974"/>
    <cellStyle name="Normal 7 2 6 3 4 3" xfId="21978"/>
    <cellStyle name="Normal 7 2 6 3 5" xfId="6571"/>
    <cellStyle name="Normal 7 2 6 3 5 2" xfId="15398"/>
    <cellStyle name="Normal 7 2 6 3 5 3" xfId="25649"/>
    <cellStyle name="Normal 7 2 6 3 6" xfId="8017"/>
    <cellStyle name="Normal 7 2 6 3 6 2" xfId="20497"/>
    <cellStyle name="Normal 7 2 6 3 7" xfId="16971"/>
    <cellStyle name="Normal 7 2 6 4" xfId="2826"/>
    <cellStyle name="Normal 7 2 6 4 2" xfId="5204"/>
    <cellStyle name="Normal 7 2 6 4 2 2" xfId="14043"/>
    <cellStyle name="Normal 7 2 6 4 2 2 2" xfId="24294"/>
    <cellStyle name="Normal 7 2 6 4 2 3" xfId="10464"/>
    <cellStyle name="Normal 7 2 6 4 2 4" xfId="19287"/>
    <cellStyle name="Normal 7 2 6 4 3" xfId="6661"/>
    <cellStyle name="Normal 7 2 6 4 3 2" xfId="15488"/>
    <cellStyle name="Normal 7 2 6 4 3 3" xfId="25739"/>
    <cellStyle name="Normal 7 2 6 4 4" xfId="8107"/>
    <cellStyle name="Normal 7 2 6 4 4 2" xfId="22189"/>
    <cellStyle name="Normal 7 2 6 4 5" xfId="17182"/>
    <cellStyle name="Normal 7 2 6 5" xfId="4158"/>
    <cellStyle name="Normal 7 2 6 5 2" xfId="12998"/>
    <cellStyle name="Normal 7 2 6 5 2 2" xfId="23249"/>
    <cellStyle name="Normal 7 2 6 5 3" xfId="9419"/>
    <cellStyle name="Normal 7 2 6 5 4" xfId="18242"/>
    <cellStyle name="Normal 7 2 6 6" xfId="1935"/>
    <cellStyle name="Normal 7 2 6 6 2" xfId="11302"/>
    <cellStyle name="Normal 7 2 6 6 3" xfId="21306"/>
    <cellStyle name="Normal 7 2 6 7" xfId="5618"/>
    <cellStyle name="Normal 7 2 6 7 2" xfId="14445"/>
    <cellStyle name="Normal 7 2 6 7 3" xfId="24696"/>
    <cellStyle name="Normal 7 2 6 8" xfId="7062"/>
    <cellStyle name="Normal 7 2 6 8 2" xfId="19788"/>
    <cellStyle name="Normal 7 2 6 9" xfId="16299"/>
    <cellStyle name="Normal 7 2 6_Degree data" xfId="4066"/>
    <cellStyle name="Normal 7 2 7" xfId="950"/>
    <cellStyle name="Normal 7 2 7 2" xfId="3427"/>
    <cellStyle name="Normal 7 2 7 2 2" xfId="12571"/>
    <cellStyle name="Normal 7 2 7 2 2 2" xfId="22790"/>
    <cellStyle name="Normal 7 2 7 2 3" xfId="8993"/>
    <cellStyle name="Normal 7 2 7 2 4" xfId="17783"/>
    <cellStyle name="Normal 7 2 7 3" xfId="4757"/>
    <cellStyle name="Normal 7 2 7 3 2" xfId="13596"/>
    <cellStyle name="Normal 7 2 7 3 2 2" xfId="23847"/>
    <cellStyle name="Normal 7 2 7 3 3" xfId="10017"/>
    <cellStyle name="Normal 7 2 7 3 4" xfId="18840"/>
    <cellStyle name="Normal 7 2 7 4" xfId="2536"/>
    <cellStyle name="Normal 7 2 7 4 2" xfId="11903"/>
    <cellStyle name="Normal 7 2 7 4 3" xfId="21907"/>
    <cellStyle name="Normal 7 2 7 5" xfId="6214"/>
    <cellStyle name="Normal 7 2 7 5 2" xfId="15041"/>
    <cellStyle name="Normal 7 2 7 5 3" xfId="25292"/>
    <cellStyle name="Normal 7 2 7 6" xfId="7660"/>
    <cellStyle name="Normal 7 2 7 6 2" xfId="20389"/>
    <cellStyle name="Normal 7 2 7 7" xfId="16900"/>
    <cellStyle name="Normal 7 2 8" xfId="1066"/>
    <cellStyle name="Normal 7 2 8 2" xfId="3496"/>
    <cellStyle name="Normal 7 2 8 2 2" xfId="12634"/>
    <cellStyle name="Normal 7 2 8 2 2 2" xfId="22853"/>
    <cellStyle name="Normal 7 2 8 2 3" xfId="9056"/>
    <cellStyle name="Normal 7 2 8 2 4" xfId="17846"/>
    <cellStyle name="Normal 7 2 8 3" xfId="5105"/>
    <cellStyle name="Normal 7 2 8 3 2" xfId="13944"/>
    <cellStyle name="Normal 7 2 8 3 2 2" xfId="24195"/>
    <cellStyle name="Normal 7 2 8 3 3" xfId="10365"/>
    <cellStyle name="Normal 7 2 8 3 4" xfId="19188"/>
    <cellStyle name="Normal 7 2 8 4" xfId="1735"/>
    <cellStyle name="Normal 7 2 8 4 2" xfId="11111"/>
    <cellStyle name="Normal 7 2 8 4 3" xfId="21115"/>
    <cellStyle name="Normal 7 2 8 5" xfId="6562"/>
    <cellStyle name="Normal 7 2 8 5 2" xfId="15389"/>
    <cellStyle name="Normal 7 2 8 5 3" xfId="25640"/>
    <cellStyle name="Normal 7 2 8 6" xfId="8008"/>
    <cellStyle name="Normal 7 2 8 6 2" xfId="20452"/>
    <cellStyle name="Normal 7 2 8 7" xfId="16108"/>
    <cellStyle name="Normal 7 2 9" xfId="2633"/>
    <cellStyle name="Normal 7 2 9 2" xfId="5159"/>
    <cellStyle name="Normal 7 2 9 2 2" xfId="13998"/>
    <cellStyle name="Normal 7 2 9 2 2 2" xfId="24249"/>
    <cellStyle name="Normal 7 2 9 2 3" xfId="10419"/>
    <cellStyle name="Normal 7 2 9 2 4" xfId="19242"/>
    <cellStyle name="Normal 7 2 9 3" xfId="6616"/>
    <cellStyle name="Normal 7 2 9 3 2" xfId="15443"/>
    <cellStyle name="Normal 7 2 9 3 3" xfId="25694"/>
    <cellStyle name="Normal 7 2 9 4" xfId="8062"/>
    <cellStyle name="Normal 7 2 9 4 2" xfId="21998"/>
    <cellStyle name="Normal 7 2 9 5" xfId="16991"/>
    <cellStyle name="Normal 7 2_Degree data" xfId="4057"/>
    <cellStyle name="Normal 7 3" xfId="137"/>
    <cellStyle name="Normal 7 3 10" xfId="4121"/>
    <cellStyle name="Normal 7 3 10 2" xfId="5581"/>
    <cellStyle name="Normal 7 3 10 2 2" xfId="14408"/>
    <cellStyle name="Normal 7 3 10 2 3" xfId="24659"/>
    <cellStyle name="Normal 7 3 10 3" xfId="7025"/>
    <cellStyle name="Normal 7 3 10 3 2" xfId="23212"/>
    <cellStyle name="Normal 7 3 10 4" xfId="18205"/>
    <cellStyle name="Normal 7 3 11" xfId="1440"/>
    <cellStyle name="Normal 7 3 11 2" xfId="10819"/>
    <cellStyle name="Normal 7 3 11 3" xfId="20823"/>
    <cellStyle name="Normal 7 3 12" xfId="5549"/>
    <cellStyle name="Normal 7 3 12 2" xfId="14378"/>
    <cellStyle name="Normal 7 3 12 3" xfId="24629"/>
    <cellStyle name="Normal 7 3 13" xfId="6995"/>
    <cellStyle name="Normal 7 3 13 2" xfId="19607"/>
    <cellStyle name="Normal 7 3 14" xfId="15816"/>
    <cellStyle name="Normal 7 3 2" xfId="174"/>
    <cellStyle name="Normal 7 3 2 10" xfId="5683"/>
    <cellStyle name="Normal 7 3 2 10 2" xfId="14510"/>
    <cellStyle name="Normal 7 3 2 10 3" xfId="24761"/>
    <cellStyle name="Normal 7 3 2 11" xfId="7127"/>
    <cellStyle name="Normal 7 3 2 11 2" xfId="19636"/>
    <cellStyle name="Normal 7 3 2 12" xfId="15873"/>
    <cellStyle name="Normal 7 3 2 2" xfId="286"/>
    <cellStyle name="Normal 7 3 2 2 10" xfId="16077"/>
    <cellStyle name="Normal 7 3 2 2 2" xfId="608"/>
    <cellStyle name="Normal 7 3 2 2 2 2" xfId="3095"/>
    <cellStyle name="Normal 7 3 2 2 2 2 2" xfId="12240"/>
    <cellStyle name="Normal 7 3 2 2 2 2 2 2" xfId="22458"/>
    <cellStyle name="Normal 7 3 2 2 2 2 3" xfId="8662"/>
    <cellStyle name="Normal 7 3 2 2 2 2 4" xfId="17451"/>
    <cellStyle name="Normal 7 3 2 2 2 3" xfId="4769"/>
    <cellStyle name="Normal 7 3 2 2 2 3 2" xfId="13608"/>
    <cellStyle name="Normal 7 3 2 2 2 3 2 2" xfId="23859"/>
    <cellStyle name="Normal 7 3 2 2 2 3 3" xfId="10029"/>
    <cellStyle name="Normal 7 3 2 2 2 3 4" xfId="18852"/>
    <cellStyle name="Normal 7 3 2 2 2 4" xfId="2204"/>
    <cellStyle name="Normal 7 3 2 2 2 4 2" xfId="11571"/>
    <cellStyle name="Normal 7 3 2 2 2 4 3" xfId="21575"/>
    <cellStyle name="Normal 7 3 2 2 2 5" xfId="6226"/>
    <cellStyle name="Normal 7 3 2 2 2 5 2" xfId="15053"/>
    <cellStyle name="Normal 7 3 2 2 2 5 3" xfId="25304"/>
    <cellStyle name="Normal 7 3 2 2 2 6" xfId="7672"/>
    <cellStyle name="Normal 7 3 2 2 2 6 2" xfId="20057"/>
    <cellStyle name="Normal 7 3 2 2 2 7" xfId="16568"/>
    <cellStyle name="Normal 7 3 2 2 3" xfId="962"/>
    <cellStyle name="Normal 7 3 2 2 3 2" xfId="3439"/>
    <cellStyle name="Normal 7 3 2 2 3 2 2" xfId="12583"/>
    <cellStyle name="Normal 7 3 2 2 3 2 2 2" xfId="22802"/>
    <cellStyle name="Normal 7 3 2 2 3 2 3" xfId="9005"/>
    <cellStyle name="Normal 7 3 2 2 3 2 4" xfId="17795"/>
    <cellStyle name="Normal 7 3 2 2 3 3" xfId="5117"/>
    <cellStyle name="Normal 7 3 2 2 3 3 2" xfId="13956"/>
    <cellStyle name="Normal 7 3 2 2 3 3 2 2" xfId="24207"/>
    <cellStyle name="Normal 7 3 2 2 3 3 3" xfId="10377"/>
    <cellStyle name="Normal 7 3 2 2 3 3 4" xfId="19200"/>
    <cellStyle name="Normal 7 3 2 2 3 4" xfId="2548"/>
    <cellStyle name="Normal 7 3 2 2 3 4 2" xfId="11915"/>
    <cellStyle name="Normal 7 3 2 2 3 4 3" xfId="21919"/>
    <cellStyle name="Normal 7 3 2 2 3 5" xfId="6574"/>
    <cellStyle name="Normal 7 3 2 2 3 5 2" xfId="15401"/>
    <cellStyle name="Normal 7 3 2 2 3 5 3" xfId="25652"/>
    <cellStyle name="Normal 7 3 2 2 3 6" xfId="8020"/>
    <cellStyle name="Normal 7 3 2 2 3 6 2" xfId="20401"/>
    <cellStyle name="Normal 7 3 2 2 3 7" xfId="16912"/>
    <cellStyle name="Normal 7 3 2 2 4" xfId="1380"/>
    <cellStyle name="Normal 7 3 2 2 4 2" xfId="3810"/>
    <cellStyle name="Normal 7 3 2 2 4 2 2" xfId="12948"/>
    <cellStyle name="Normal 7 3 2 2 4 2 2 2" xfId="23167"/>
    <cellStyle name="Normal 7 3 2 2 4 2 3" xfId="9369"/>
    <cellStyle name="Normal 7 3 2 2 4 2 4" xfId="18160"/>
    <cellStyle name="Normal 7 3 2 2 4 3" xfId="5473"/>
    <cellStyle name="Normal 7 3 2 2 4 3 2" xfId="14312"/>
    <cellStyle name="Normal 7 3 2 2 4 3 2 2" xfId="24563"/>
    <cellStyle name="Normal 7 3 2 2 4 3 3" xfId="10733"/>
    <cellStyle name="Normal 7 3 2 2 4 3 4" xfId="19556"/>
    <cellStyle name="Normal 7 3 2 2 4 4" xfId="1884"/>
    <cellStyle name="Normal 7 3 2 2 4 4 2" xfId="11254"/>
    <cellStyle name="Normal 7 3 2 2 4 4 3" xfId="21258"/>
    <cellStyle name="Normal 7 3 2 2 4 5" xfId="6930"/>
    <cellStyle name="Normal 7 3 2 2 4 5 2" xfId="15757"/>
    <cellStyle name="Normal 7 3 2 2 4 5 3" xfId="26008"/>
    <cellStyle name="Normal 7 3 2 2 4 6" xfId="8376"/>
    <cellStyle name="Normal 7 3 2 2 4 6 2" xfId="20766"/>
    <cellStyle name="Normal 7 3 2 2 4 7" xfId="16251"/>
    <cellStyle name="Normal 7 3 2 2 5" xfId="2778"/>
    <cellStyle name="Normal 7 3 2 2 5 2" xfId="12097"/>
    <cellStyle name="Normal 7 3 2 2 5 2 2" xfId="22141"/>
    <cellStyle name="Normal 7 3 2 2 5 3" xfId="8549"/>
    <cellStyle name="Normal 7 3 2 2 5 4" xfId="17134"/>
    <cellStyle name="Normal 7 3 2 2 6" xfId="4429"/>
    <cellStyle name="Normal 7 3 2 2 6 2" xfId="13269"/>
    <cellStyle name="Normal 7 3 2 2 6 2 2" xfId="23520"/>
    <cellStyle name="Normal 7 3 2 2 6 3" xfId="9690"/>
    <cellStyle name="Normal 7 3 2 2 6 4" xfId="18513"/>
    <cellStyle name="Normal 7 3 2 2 7" xfId="1701"/>
    <cellStyle name="Normal 7 3 2 2 7 2" xfId="11080"/>
    <cellStyle name="Normal 7 3 2 2 7 3" xfId="21084"/>
    <cellStyle name="Normal 7 3 2 2 8" xfId="5887"/>
    <cellStyle name="Normal 7 3 2 2 8 2" xfId="14714"/>
    <cellStyle name="Normal 7 3 2 2 8 3" xfId="24965"/>
    <cellStyle name="Normal 7 3 2 2 9" xfId="7331"/>
    <cellStyle name="Normal 7 3 2 2 9 2" xfId="19740"/>
    <cellStyle name="Normal 7 3 2 2_Degree data" xfId="4069"/>
    <cellStyle name="Normal 7 3 2 3" xfId="504"/>
    <cellStyle name="Normal 7 3 2 3 2" xfId="963"/>
    <cellStyle name="Normal 7 3 2 3 2 2" xfId="3440"/>
    <cellStyle name="Normal 7 3 2 3 2 2 2" xfId="12584"/>
    <cellStyle name="Normal 7 3 2 3 2 2 2 2" xfId="22803"/>
    <cellStyle name="Normal 7 3 2 3 2 2 3" xfId="9006"/>
    <cellStyle name="Normal 7 3 2 3 2 2 4" xfId="17796"/>
    <cellStyle name="Normal 7 3 2 3 2 3" xfId="4770"/>
    <cellStyle name="Normal 7 3 2 3 2 3 2" xfId="13609"/>
    <cellStyle name="Normal 7 3 2 3 2 3 2 2" xfId="23860"/>
    <cellStyle name="Normal 7 3 2 3 2 3 3" xfId="10030"/>
    <cellStyle name="Normal 7 3 2 3 2 3 4" xfId="18853"/>
    <cellStyle name="Normal 7 3 2 3 2 4" xfId="2549"/>
    <cellStyle name="Normal 7 3 2 3 2 4 2" xfId="11916"/>
    <cellStyle name="Normal 7 3 2 3 2 4 3" xfId="21920"/>
    <cellStyle name="Normal 7 3 2 3 2 5" xfId="6227"/>
    <cellStyle name="Normal 7 3 2 3 2 5 2" xfId="15054"/>
    <cellStyle name="Normal 7 3 2 3 2 5 3" xfId="25305"/>
    <cellStyle name="Normal 7 3 2 3 2 6" xfId="7673"/>
    <cellStyle name="Normal 7 3 2 3 2 6 2" xfId="20402"/>
    <cellStyle name="Normal 7 3 2 3 2 7" xfId="16913"/>
    <cellStyle name="Normal 7 3 2 3 3" xfId="1276"/>
    <cellStyle name="Normal 7 3 2 3 3 2" xfId="3706"/>
    <cellStyle name="Normal 7 3 2 3 3 2 2" xfId="12844"/>
    <cellStyle name="Normal 7 3 2 3 3 2 2 2" xfId="23063"/>
    <cellStyle name="Normal 7 3 2 3 3 2 3" xfId="9265"/>
    <cellStyle name="Normal 7 3 2 3 3 2 4" xfId="18056"/>
    <cellStyle name="Normal 7 3 2 3 3 3" xfId="5118"/>
    <cellStyle name="Normal 7 3 2 3 3 3 2" xfId="13957"/>
    <cellStyle name="Normal 7 3 2 3 3 3 2 2" xfId="24208"/>
    <cellStyle name="Normal 7 3 2 3 3 3 3" xfId="10378"/>
    <cellStyle name="Normal 7 3 2 3 3 3 4" xfId="19201"/>
    <cellStyle name="Normal 7 3 2 3 3 4" xfId="2100"/>
    <cellStyle name="Normal 7 3 2 3 3 4 2" xfId="11467"/>
    <cellStyle name="Normal 7 3 2 3 3 4 3" xfId="21471"/>
    <cellStyle name="Normal 7 3 2 3 3 5" xfId="6575"/>
    <cellStyle name="Normal 7 3 2 3 3 5 2" xfId="15402"/>
    <cellStyle name="Normal 7 3 2 3 3 5 3" xfId="25653"/>
    <cellStyle name="Normal 7 3 2 3 3 6" xfId="8021"/>
    <cellStyle name="Normal 7 3 2 3 3 6 2" xfId="20662"/>
    <cellStyle name="Normal 7 3 2 3 3 7" xfId="16464"/>
    <cellStyle name="Normal 7 3 2 3 4" xfId="2991"/>
    <cellStyle name="Normal 7 3 2 3 4 2" xfId="5369"/>
    <cellStyle name="Normal 7 3 2 3 4 2 2" xfId="14208"/>
    <cellStyle name="Normal 7 3 2 3 4 2 2 2" xfId="24459"/>
    <cellStyle name="Normal 7 3 2 3 4 2 3" xfId="10629"/>
    <cellStyle name="Normal 7 3 2 3 4 2 4" xfId="19452"/>
    <cellStyle name="Normal 7 3 2 3 4 3" xfId="6826"/>
    <cellStyle name="Normal 7 3 2 3 4 3 2" xfId="15653"/>
    <cellStyle name="Normal 7 3 2 3 4 3 3" xfId="25904"/>
    <cellStyle name="Normal 7 3 2 3 4 4" xfId="8272"/>
    <cellStyle name="Normal 7 3 2 3 4 4 2" xfId="22354"/>
    <cellStyle name="Normal 7 3 2 3 4 5" xfId="17347"/>
    <cellStyle name="Normal 7 3 2 3 5" xfId="4325"/>
    <cellStyle name="Normal 7 3 2 3 5 2" xfId="13165"/>
    <cellStyle name="Normal 7 3 2 3 5 2 2" xfId="23416"/>
    <cellStyle name="Normal 7 3 2 3 5 3" xfId="9586"/>
    <cellStyle name="Normal 7 3 2 3 5 4" xfId="18409"/>
    <cellStyle name="Normal 7 3 2 3 6" xfId="1597"/>
    <cellStyle name="Normal 7 3 2 3 6 2" xfId="10976"/>
    <cellStyle name="Normal 7 3 2 3 6 3" xfId="20980"/>
    <cellStyle name="Normal 7 3 2 3 7" xfId="5783"/>
    <cellStyle name="Normal 7 3 2 3 7 2" xfId="14610"/>
    <cellStyle name="Normal 7 3 2 3 7 3" xfId="24861"/>
    <cellStyle name="Normal 7 3 2 3 8" xfId="7227"/>
    <cellStyle name="Normal 7 3 2 3 8 2" xfId="19953"/>
    <cellStyle name="Normal 7 3 2 3 9" xfId="15973"/>
    <cellStyle name="Normal 7 3 2 3_Degree data" xfId="4070"/>
    <cellStyle name="Normal 7 3 2 4" xfId="404"/>
    <cellStyle name="Normal 7 3 2 4 2" xfId="2891"/>
    <cellStyle name="Normal 7 3 2 4 2 2" xfId="12181"/>
    <cellStyle name="Normal 7 3 2 4 2 2 2" xfId="22254"/>
    <cellStyle name="Normal 7 3 2 4 2 3" xfId="8530"/>
    <cellStyle name="Normal 7 3 2 4 2 4" xfId="17247"/>
    <cellStyle name="Normal 7 3 2 4 3" xfId="4768"/>
    <cellStyle name="Normal 7 3 2 4 3 2" xfId="13607"/>
    <cellStyle name="Normal 7 3 2 4 3 2 2" xfId="23858"/>
    <cellStyle name="Normal 7 3 2 4 3 3" xfId="10028"/>
    <cellStyle name="Normal 7 3 2 4 3 4" xfId="18851"/>
    <cellStyle name="Normal 7 3 2 4 4" xfId="2000"/>
    <cellStyle name="Normal 7 3 2 4 4 2" xfId="11367"/>
    <cellStyle name="Normal 7 3 2 4 4 3" xfId="21371"/>
    <cellStyle name="Normal 7 3 2 4 5" xfId="6225"/>
    <cellStyle name="Normal 7 3 2 4 5 2" xfId="15052"/>
    <cellStyle name="Normal 7 3 2 4 5 3" xfId="25303"/>
    <cellStyle name="Normal 7 3 2 4 6" xfId="7671"/>
    <cellStyle name="Normal 7 3 2 4 6 2" xfId="19853"/>
    <cellStyle name="Normal 7 3 2 4 7" xfId="16364"/>
    <cellStyle name="Normal 7 3 2 5" xfId="961"/>
    <cellStyle name="Normal 7 3 2 5 2" xfId="3438"/>
    <cellStyle name="Normal 7 3 2 5 2 2" xfId="12582"/>
    <cellStyle name="Normal 7 3 2 5 2 2 2" xfId="22801"/>
    <cellStyle name="Normal 7 3 2 5 2 3" xfId="9004"/>
    <cellStyle name="Normal 7 3 2 5 2 4" xfId="17794"/>
    <cellStyle name="Normal 7 3 2 5 3" xfId="5116"/>
    <cellStyle name="Normal 7 3 2 5 3 2" xfId="13955"/>
    <cellStyle name="Normal 7 3 2 5 3 2 2" xfId="24206"/>
    <cellStyle name="Normal 7 3 2 5 3 3" xfId="10376"/>
    <cellStyle name="Normal 7 3 2 5 3 4" xfId="19199"/>
    <cellStyle name="Normal 7 3 2 5 4" xfId="2547"/>
    <cellStyle name="Normal 7 3 2 5 4 2" xfId="11914"/>
    <cellStyle name="Normal 7 3 2 5 4 3" xfId="21918"/>
    <cellStyle name="Normal 7 3 2 5 5" xfId="6573"/>
    <cellStyle name="Normal 7 3 2 5 5 2" xfId="15400"/>
    <cellStyle name="Normal 7 3 2 5 5 3" xfId="25651"/>
    <cellStyle name="Normal 7 3 2 5 6" xfId="8019"/>
    <cellStyle name="Normal 7 3 2 5 6 2" xfId="20400"/>
    <cellStyle name="Normal 7 3 2 5 7" xfId="16911"/>
    <cellStyle name="Normal 7 3 2 6" xfId="1176"/>
    <cellStyle name="Normal 7 3 2 6 2" xfId="3606"/>
    <cellStyle name="Normal 7 3 2 6 2 2" xfId="12744"/>
    <cellStyle name="Normal 7 3 2 6 2 2 2" xfId="22963"/>
    <cellStyle name="Normal 7 3 2 6 2 3" xfId="9165"/>
    <cellStyle name="Normal 7 3 2 6 2 4" xfId="17956"/>
    <cellStyle name="Normal 7 3 2 6 3" xfId="5269"/>
    <cellStyle name="Normal 7 3 2 6 3 2" xfId="14108"/>
    <cellStyle name="Normal 7 3 2 6 3 2 2" xfId="24359"/>
    <cellStyle name="Normal 7 3 2 6 3 3" xfId="10529"/>
    <cellStyle name="Normal 7 3 2 6 3 4" xfId="19352"/>
    <cellStyle name="Normal 7 3 2 6 4" xfId="1777"/>
    <cellStyle name="Normal 7 3 2 6 4 2" xfId="11150"/>
    <cellStyle name="Normal 7 3 2 6 4 3" xfId="21154"/>
    <cellStyle name="Normal 7 3 2 6 5" xfId="6726"/>
    <cellStyle name="Normal 7 3 2 6 5 2" xfId="15553"/>
    <cellStyle name="Normal 7 3 2 6 5 3" xfId="25804"/>
    <cellStyle name="Normal 7 3 2 6 6" xfId="8172"/>
    <cellStyle name="Normal 7 3 2 6 6 2" xfId="20562"/>
    <cellStyle name="Normal 7 3 2 6 7" xfId="16147"/>
    <cellStyle name="Normal 7 3 2 7" xfId="2674"/>
    <cellStyle name="Normal 7 3 2 7 2" xfId="11993"/>
    <cellStyle name="Normal 7 3 2 7 2 2" xfId="22037"/>
    <cellStyle name="Normal 7 3 2 7 3" xfId="8570"/>
    <cellStyle name="Normal 7 3 2 7 4" xfId="17030"/>
    <cellStyle name="Normal 7 3 2 8" xfId="4225"/>
    <cellStyle name="Normal 7 3 2 8 2" xfId="13065"/>
    <cellStyle name="Normal 7 3 2 8 2 2" xfId="23316"/>
    <cellStyle name="Normal 7 3 2 8 3" xfId="9486"/>
    <cellStyle name="Normal 7 3 2 8 4" xfId="18309"/>
    <cellStyle name="Normal 7 3 2 9" xfId="1497"/>
    <cellStyle name="Normal 7 3 2 9 2" xfId="10876"/>
    <cellStyle name="Normal 7 3 2 9 3" xfId="20880"/>
    <cellStyle name="Normal 7 3 2_Degree data" xfId="4068"/>
    <cellStyle name="Normal 7 3 3" xfId="221"/>
    <cellStyle name="Normal 7 3 3 10" xfId="7170"/>
    <cellStyle name="Normal 7 3 3 10 2" xfId="19679"/>
    <cellStyle name="Normal 7 3 3 11" xfId="15916"/>
    <cellStyle name="Normal 7 3 3 2" xfId="547"/>
    <cellStyle name="Normal 7 3 3 2 2" xfId="965"/>
    <cellStyle name="Normal 7 3 3 2 2 2" xfId="3442"/>
    <cellStyle name="Normal 7 3 3 2 2 2 2" xfId="12586"/>
    <cellStyle name="Normal 7 3 3 2 2 2 2 2" xfId="22805"/>
    <cellStyle name="Normal 7 3 3 2 2 2 3" xfId="9008"/>
    <cellStyle name="Normal 7 3 3 2 2 2 4" xfId="17798"/>
    <cellStyle name="Normal 7 3 3 2 2 3" xfId="4772"/>
    <cellStyle name="Normal 7 3 3 2 2 3 2" xfId="13611"/>
    <cellStyle name="Normal 7 3 3 2 2 3 2 2" xfId="23862"/>
    <cellStyle name="Normal 7 3 3 2 2 3 3" xfId="10032"/>
    <cellStyle name="Normal 7 3 3 2 2 3 4" xfId="18855"/>
    <cellStyle name="Normal 7 3 3 2 2 4" xfId="2551"/>
    <cellStyle name="Normal 7 3 3 2 2 4 2" xfId="11918"/>
    <cellStyle name="Normal 7 3 3 2 2 4 3" xfId="21922"/>
    <cellStyle name="Normal 7 3 3 2 2 5" xfId="6229"/>
    <cellStyle name="Normal 7 3 3 2 2 5 2" xfId="15056"/>
    <cellStyle name="Normal 7 3 3 2 2 5 3" xfId="25307"/>
    <cellStyle name="Normal 7 3 3 2 2 6" xfId="7675"/>
    <cellStyle name="Normal 7 3 3 2 2 6 2" xfId="20404"/>
    <cellStyle name="Normal 7 3 3 2 2 7" xfId="16915"/>
    <cellStyle name="Normal 7 3 3 2 3" xfId="1319"/>
    <cellStyle name="Normal 7 3 3 2 3 2" xfId="3749"/>
    <cellStyle name="Normal 7 3 3 2 3 2 2" xfId="12887"/>
    <cellStyle name="Normal 7 3 3 2 3 2 2 2" xfId="23106"/>
    <cellStyle name="Normal 7 3 3 2 3 2 3" xfId="9308"/>
    <cellStyle name="Normal 7 3 3 2 3 2 4" xfId="18099"/>
    <cellStyle name="Normal 7 3 3 2 3 3" xfId="5120"/>
    <cellStyle name="Normal 7 3 3 2 3 3 2" xfId="13959"/>
    <cellStyle name="Normal 7 3 3 2 3 3 2 2" xfId="24210"/>
    <cellStyle name="Normal 7 3 3 2 3 3 3" xfId="10380"/>
    <cellStyle name="Normal 7 3 3 2 3 3 4" xfId="19203"/>
    <cellStyle name="Normal 7 3 3 2 3 4" xfId="2143"/>
    <cellStyle name="Normal 7 3 3 2 3 4 2" xfId="11510"/>
    <cellStyle name="Normal 7 3 3 2 3 4 3" xfId="21514"/>
    <cellStyle name="Normal 7 3 3 2 3 5" xfId="6577"/>
    <cellStyle name="Normal 7 3 3 2 3 5 2" xfId="15404"/>
    <cellStyle name="Normal 7 3 3 2 3 5 3" xfId="25655"/>
    <cellStyle name="Normal 7 3 3 2 3 6" xfId="8023"/>
    <cellStyle name="Normal 7 3 3 2 3 6 2" xfId="20705"/>
    <cellStyle name="Normal 7 3 3 2 3 7" xfId="16507"/>
    <cellStyle name="Normal 7 3 3 2 4" xfId="3034"/>
    <cellStyle name="Normal 7 3 3 2 4 2" xfId="5412"/>
    <cellStyle name="Normal 7 3 3 2 4 2 2" xfId="14251"/>
    <cellStyle name="Normal 7 3 3 2 4 2 2 2" xfId="24502"/>
    <cellStyle name="Normal 7 3 3 2 4 2 3" xfId="10672"/>
    <cellStyle name="Normal 7 3 3 2 4 2 4" xfId="19495"/>
    <cellStyle name="Normal 7 3 3 2 4 3" xfId="6869"/>
    <cellStyle name="Normal 7 3 3 2 4 3 2" xfId="15696"/>
    <cellStyle name="Normal 7 3 3 2 4 3 3" xfId="25947"/>
    <cellStyle name="Normal 7 3 3 2 4 4" xfId="8315"/>
    <cellStyle name="Normal 7 3 3 2 4 4 2" xfId="22397"/>
    <cellStyle name="Normal 7 3 3 2 4 5" xfId="17390"/>
    <cellStyle name="Normal 7 3 3 2 5" xfId="4368"/>
    <cellStyle name="Normal 7 3 3 2 5 2" xfId="13208"/>
    <cellStyle name="Normal 7 3 3 2 5 2 2" xfId="23459"/>
    <cellStyle name="Normal 7 3 3 2 5 3" xfId="9629"/>
    <cellStyle name="Normal 7 3 3 2 5 4" xfId="18452"/>
    <cellStyle name="Normal 7 3 3 2 6" xfId="1640"/>
    <cellStyle name="Normal 7 3 3 2 6 2" xfId="11019"/>
    <cellStyle name="Normal 7 3 3 2 6 3" xfId="21023"/>
    <cellStyle name="Normal 7 3 3 2 7" xfId="5826"/>
    <cellStyle name="Normal 7 3 3 2 7 2" xfId="14653"/>
    <cellStyle name="Normal 7 3 3 2 7 3" xfId="24904"/>
    <cellStyle name="Normal 7 3 3 2 8" xfId="7270"/>
    <cellStyle name="Normal 7 3 3 2 8 2" xfId="19996"/>
    <cellStyle name="Normal 7 3 3 2 9" xfId="16016"/>
    <cellStyle name="Normal 7 3 3 2_Degree data" xfId="4072"/>
    <cellStyle name="Normal 7 3 3 3" xfId="447"/>
    <cellStyle name="Normal 7 3 3 3 2" xfId="2934"/>
    <cellStyle name="Normal 7 3 3 3 2 2" xfId="12224"/>
    <cellStyle name="Normal 7 3 3 3 2 2 2" xfId="22297"/>
    <cellStyle name="Normal 7 3 3 3 2 3" xfId="8519"/>
    <cellStyle name="Normal 7 3 3 3 2 4" xfId="17290"/>
    <cellStyle name="Normal 7 3 3 3 3" xfId="4771"/>
    <cellStyle name="Normal 7 3 3 3 3 2" xfId="13610"/>
    <cellStyle name="Normal 7 3 3 3 3 2 2" xfId="23861"/>
    <cellStyle name="Normal 7 3 3 3 3 3" xfId="10031"/>
    <cellStyle name="Normal 7 3 3 3 3 4" xfId="18854"/>
    <cellStyle name="Normal 7 3 3 3 4" xfId="2043"/>
    <cellStyle name="Normal 7 3 3 3 4 2" xfId="11410"/>
    <cellStyle name="Normal 7 3 3 3 4 3" xfId="21414"/>
    <cellStyle name="Normal 7 3 3 3 5" xfId="6228"/>
    <cellStyle name="Normal 7 3 3 3 5 2" xfId="15055"/>
    <cellStyle name="Normal 7 3 3 3 5 3" xfId="25306"/>
    <cellStyle name="Normal 7 3 3 3 6" xfId="7674"/>
    <cellStyle name="Normal 7 3 3 3 6 2" xfId="19896"/>
    <cellStyle name="Normal 7 3 3 3 7" xfId="16407"/>
    <cellStyle name="Normal 7 3 3 4" xfId="964"/>
    <cellStyle name="Normal 7 3 3 4 2" xfId="3441"/>
    <cellStyle name="Normal 7 3 3 4 2 2" xfId="12585"/>
    <cellStyle name="Normal 7 3 3 4 2 2 2" xfId="22804"/>
    <cellStyle name="Normal 7 3 3 4 2 3" xfId="9007"/>
    <cellStyle name="Normal 7 3 3 4 2 4" xfId="17797"/>
    <cellStyle name="Normal 7 3 3 4 3" xfId="5119"/>
    <cellStyle name="Normal 7 3 3 4 3 2" xfId="13958"/>
    <cellStyle name="Normal 7 3 3 4 3 2 2" xfId="24209"/>
    <cellStyle name="Normal 7 3 3 4 3 3" xfId="10379"/>
    <cellStyle name="Normal 7 3 3 4 3 4" xfId="19202"/>
    <cellStyle name="Normal 7 3 3 4 4" xfId="2550"/>
    <cellStyle name="Normal 7 3 3 4 4 2" xfId="11917"/>
    <cellStyle name="Normal 7 3 3 4 4 3" xfId="21921"/>
    <cellStyle name="Normal 7 3 3 4 5" xfId="6576"/>
    <cellStyle name="Normal 7 3 3 4 5 2" xfId="15403"/>
    <cellStyle name="Normal 7 3 3 4 5 3" xfId="25654"/>
    <cellStyle name="Normal 7 3 3 4 6" xfId="8022"/>
    <cellStyle name="Normal 7 3 3 4 6 2" xfId="20403"/>
    <cellStyle name="Normal 7 3 3 4 7" xfId="16914"/>
    <cellStyle name="Normal 7 3 3 5" xfId="1219"/>
    <cellStyle name="Normal 7 3 3 5 2" xfId="3649"/>
    <cellStyle name="Normal 7 3 3 5 2 2" xfId="12787"/>
    <cellStyle name="Normal 7 3 3 5 2 2 2" xfId="23006"/>
    <cellStyle name="Normal 7 3 3 5 2 3" xfId="9208"/>
    <cellStyle name="Normal 7 3 3 5 2 4" xfId="17999"/>
    <cellStyle name="Normal 7 3 3 5 3" xfId="5312"/>
    <cellStyle name="Normal 7 3 3 5 3 2" xfId="14151"/>
    <cellStyle name="Normal 7 3 3 5 3 2 2" xfId="24402"/>
    <cellStyle name="Normal 7 3 3 5 3 3" xfId="10572"/>
    <cellStyle name="Normal 7 3 3 5 3 4" xfId="19395"/>
    <cellStyle name="Normal 7 3 3 5 4" xfId="1823"/>
    <cellStyle name="Normal 7 3 3 5 4 2" xfId="11193"/>
    <cellStyle name="Normal 7 3 3 5 4 3" xfId="21197"/>
    <cellStyle name="Normal 7 3 3 5 5" xfId="6769"/>
    <cellStyle name="Normal 7 3 3 5 5 2" xfId="15596"/>
    <cellStyle name="Normal 7 3 3 5 5 3" xfId="25847"/>
    <cellStyle name="Normal 7 3 3 5 6" xfId="8215"/>
    <cellStyle name="Normal 7 3 3 5 6 2" xfId="20605"/>
    <cellStyle name="Normal 7 3 3 5 7" xfId="16190"/>
    <cellStyle name="Normal 7 3 3 6" xfId="2717"/>
    <cellStyle name="Normal 7 3 3 6 2" xfId="12036"/>
    <cellStyle name="Normal 7 3 3 6 2 2" xfId="22080"/>
    <cellStyle name="Normal 7 3 3 6 3" xfId="8587"/>
    <cellStyle name="Normal 7 3 3 6 4" xfId="17073"/>
    <cellStyle name="Normal 7 3 3 7" xfId="4268"/>
    <cellStyle name="Normal 7 3 3 7 2" xfId="13108"/>
    <cellStyle name="Normal 7 3 3 7 2 2" xfId="23359"/>
    <cellStyle name="Normal 7 3 3 7 3" xfId="9529"/>
    <cellStyle name="Normal 7 3 3 7 4" xfId="18352"/>
    <cellStyle name="Normal 7 3 3 8" xfId="1540"/>
    <cellStyle name="Normal 7 3 3 8 2" xfId="10919"/>
    <cellStyle name="Normal 7 3 3 8 3" xfId="20923"/>
    <cellStyle name="Normal 7 3 3 9" xfId="5726"/>
    <cellStyle name="Normal 7 3 3 9 2" xfId="14553"/>
    <cellStyle name="Normal 7 3 3 9 3" xfId="24804"/>
    <cellStyle name="Normal 7 3 3_Degree data" xfId="4071"/>
    <cellStyle name="Normal 7 3 4" xfId="257"/>
    <cellStyle name="Normal 7 3 4 10" xfId="7098"/>
    <cellStyle name="Normal 7 3 4 10 2" xfId="19712"/>
    <cellStyle name="Normal 7 3 4 11" xfId="15844"/>
    <cellStyle name="Normal 7 3 4 2" xfId="580"/>
    <cellStyle name="Normal 7 3 4 2 2" xfId="967"/>
    <cellStyle name="Normal 7 3 4 2 2 2" xfId="3444"/>
    <cellStyle name="Normal 7 3 4 2 2 2 2" xfId="12588"/>
    <cellStyle name="Normal 7 3 4 2 2 2 2 2" xfId="22807"/>
    <cellStyle name="Normal 7 3 4 2 2 2 3" xfId="9010"/>
    <cellStyle name="Normal 7 3 4 2 2 2 4" xfId="17800"/>
    <cellStyle name="Normal 7 3 4 2 2 3" xfId="4774"/>
    <cellStyle name="Normal 7 3 4 2 2 3 2" xfId="13613"/>
    <cellStyle name="Normal 7 3 4 2 2 3 2 2" xfId="23864"/>
    <cellStyle name="Normal 7 3 4 2 2 3 3" xfId="10034"/>
    <cellStyle name="Normal 7 3 4 2 2 3 4" xfId="18857"/>
    <cellStyle name="Normal 7 3 4 2 2 4" xfId="2553"/>
    <cellStyle name="Normal 7 3 4 2 2 4 2" xfId="11920"/>
    <cellStyle name="Normal 7 3 4 2 2 4 3" xfId="21924"/>
    <cellStyle name="Normal 7 3 4 2 2 5" xfId="6231"/>
    <cellStyle name="Normal 7 3 4 2 2 5 2" xfId="15058"/>
    <cellStyle name="Normal 7 3 4 2 2 5 3" xfId="25309"/>
    <cellStyle name="Normal 7 3 4 2 2 6" xfId="7677"/>
    <cellStyle name="Normal 7 3 4 2 2 6 2" xfId="20406"/>
    <cellStyle name="Normal 7 3 4 2 2 7" xfId="16917"/>
    <cellStyle name="Normal 7 3 4 2 3" xfId="1352"/>
    <cellStyle name="Normal 7 3 4 2 3 2" xfId="3782"/>
    <cellStyle name="Normal 7 3 4 2 3 2 2" xfId="12920"/>
    <cellStyle name="Normal 7 3 4 2 3 2 2 2" xfId="23139"/>
    <cellStyle name="Normal 7 3 4 2 3 2 3" xfId="9341"/>
    <cellStyle name="Normal 7 3 4 2 3 2 4" xfId="18132"/>
    <cellStyle name="Normal 7 3 4 2 3 3" xfId="5122"/>
    <cellStyle name="Normal 7 3 4 2 3 3 2" xfId="13961"/>
    <cellStyle name="Normal 7 3 4 2 3 3 2 2" xfId="24212"/>
    <cellStyle name="Normal 7 3 4 2 3 3 3" xfId="10382"/>
    <cellStyle name="Normal 7 3 4 2 3 3 4" xfId="19205"/>
    <cellStyle name="Normal 7 3 4 2 3 4" xfId="2176"/>
    <cellStyle name="Normal 7 3 4 2 3 4 2" xfId="11543"/>
    <cellStyle name="Normal 7 3 4 2 3 4 3" xfId="21547"/>
    <cellStyle name="Normal 7 3 4 2 3 5" xfId="6579"/>
    <cellStyle name="Normal 7 3 4 2 3 5 2" xfId="15406"/>
    <cellStyle name="Normal 7 3 4 2 3 5 3" xfId="25657"/>
    <cellStyle name="Normal 7 3 4 2 3 6" xfId="8025"/>
    <cellStyle name="Normal 7 3 4 2 3 6 2" xfId="20738"/>
    <cellStyle name="Normal 7 3 4 2 3 7" xfId="16540"/>
    <cellStyle name="Normal 7 3 4 2 4" xfId="3067"/>
    <cellStyle name="Normal 7 3 4 2 4 2" xfId="5445"/>
    <cellStyle name="Normal 7 3 4 2 4 2 2" xfId="14284"/>
    <cellStyle name="Normal 7 3 4 2 4 2 2 2" xfId="24535"/>
    <cellStyle name="Normal 7 3 4 2 4 2 3" xfId="10705"/>
    <cellStyle name="Normal 7 3 4 2 4 2 4" xfId="19528"/>
    <cellStyle name="Normal 7 3 4 2 4 3" xfId="6902"/>
    <cellStyle name="Normal 7 3 4 2 4 3 2" xfId="15729"/>
    <cellStyle name="Normal 7 3 4 2 4 3 3" xfId="25980"/>
    <cellStyle name="Normal 7 3 4 2 4 4" xfId="8348"/>
    <cellStyle name="Normal 7 3 4 2 4 4 2" xfId="22430"/>
    <cellStyle name="Normal 7 3 4 2 4 5" xfId="17423"/>
    <cellStyle name="Normal 7 3 4 2 5" xfId="4401"/>
    <cellStyle name="Normal 7 3 4 2 5 2" xfId="13241"/>
    <cellStyle name="Normal 7 3 4 2 5 2 2" xfId="23492"/>
    <cellStyle name="Normal 7 3 4 2 5 3" xfId="9662"/>
    <cellStyle name="Normal 7 3 4 2 5 4" xfId="18485"/>
    <cellStyle name="Normal 7 3 4 2 6" xfId="1673"/>
    <cellStyle name="Normal 7 3 4 2 6 2" xfId="11052"/>
    <cellStyle name="Normal 7 3 4 2 6 3" xfId="21056"/>
    <cellStyle name="Normal 7 3 4 2 7" xfId="5859"/>
    <cellStyle name="Normal 7 3 4 2 7 2" xfId="14686"/>
    <cellStyle name="Normal 7 3 4 2 7 3" xfId="24937"/>
    <cellStyle name="Normal 7 3 4 2 8" xfId="7303"/>
    <cellStyle name="Normal 7 3 4 2 8 2" xfId="20029"/>
    <cellStyle name="Normal 7 3 4 2 9" xfId="16049"/>
    <cellStyle name="Normal 7 3 4 2_Degree data" xfId="4074"/>
    <cellStyle name="Normal 7 3 4 3" xfId="375"/>
    <cellStyle name="Normal 7 3 4 3 2" xfId="2862"/>
    <cellStyle name="Normal 7 3 4 3 2 2" xfId="12152"/>
    <cellStyle name="Normal 7 3 4 3 2 2 2" xfId="22225"/>
    <cellStyle name="Normal 7 3 4 3 2 3" xfId="8401"/>
    <cellStyle name="Normal 7 3 4 3 2 4" xfId="17218"/>
    <cellStyle name="Normal 7 3 4 3 3" xfId="4773"/>
    <cellStyle name="Normal 7 3 4 3 3 2" xfId="13612"/>
    <cellStyle name="Normal 7 3 4 3 3 2 2" xfId="23863"/>
    <cellStyle name="Normal 7 3 4 3 3 3" xfId="10033"/>
    <cellStyle name="Normal 7 3 4 3 3 4" xfId="18856"/>
    <cellStyle name="Normal 7 3 4 3 4" xfId="1971"/>
    <cellStyle name="Normal 7 3 4 3 4 2" xfId="11338"/>
    <cellStyle name="Normal 7 3 4 3 4 3" xfId="21342"/>
    <cellStyle name="Normal 7 3 4 3 5" xfId="6230"/>
    <cellStyle name="Normal 7 3 4 3 5 2" xfId="15057"/>
    <cellStyle name="Normal 7 3 4 3 5 3" xfId="25308"/>
    <cellStyle name="Normal 7 3 4 3 6" xfId="7676"/>
    <cellStyle name="Normal 7 3 4 3 6 2" xfId="19824"/>
    <cellStyle name="Normal 7 3 4 3 7" xfId="16335"/>
    <cellStyle name="Normal 7 3 4 4" xfId="966"/>
    <cellStyle name="Normal 7 3 4 4 2" xfId="3443"/>
    <cellStyle name="Normal 7 3 4 4 2 2" xfId="12587"/>
    <cellStyle name="Normal 7 3 4 4 2 2 2" xfId="22806"/>
    <cellStyle name="Normal 7 3 4 4 2 3" xfId="9009"/>
    <cellStyle name="Normal 7 3 4 4 2 4" xfId="17799"/>
    <cellStyle name="Normal 7 3 4 4 3" xfId="5121"/>
    <cellStyle name="Normal 7 3 4 4 3 2" xfId="13960"/>
    <cellStyle name="Normal 7 3 4 4 3 2 2" xfId="24211"/>
    <cellStyle name="Normal 7 3 4 4 3 3" xfId="10381"/>
    <cellStyle name="Normal 7 3 4 4 3 4" xfId="19204"/>
    <cellStyle name="Normal 7 3 4 4 4" xfId="2552"/>
    <cellStyle name="Normal 7 3 4 4 4 2" xfId="11919"/>
    <cellStyle name="Normal 7 3 4 4 4 3" xfId="21923"/>
    <cellStyle name="Normal 7 3 4 4 5" xfId="6578"/>
    <cellStyle name="Normal 7 3 4 4 5 2" xfId="15405"/>
    <cellStyle name="Normal 7 3 4 4 5 3" xfId="25656"/>
    <cellStyle name="Normal 7 3 4 4 6" xfId="8024"/>
    <cellStyle name="Normal 7 3 4 4 6 2" xfId="20405"/>
    <cellStyle name="Normal 7 3 4 4 7" xfId="16916"/>
    <cellStyle name="Normal 7 3 4 5" xfId="1147"/>
    <cellStyle name="Normal 7 3 4 5 2" xfId="3577"/>
    <cellStyle name="Normal 7 3 4 5 2 2" xfId="12715"/>
    <cellStyle name="Normal 7 3 4 5 2 2 2" xfId="22934"/>
    <cellStyle name="Normal 7 3 4 5 2 3" xfId="9136"/>
    <cellStyle name="Normal 7 3 4 5 2 4" xfId="17927"/>
    <cellStyle name="Normal 7 3 4 5 3" xfId="5240"/>
    <cellStyle name="Normal 7 3 4 5 3 2" xfId="14079"/>
    <cellStyle name="Normal 7 3 4 5 3 2 2" xfId="24330"/>
    <cellStyle name="Normal 7 3 4 5 3 3" xfId="10500"/>
    <cellStyle name="Normal 7 3 4 5 3 4" xfId="19323"/>
    <cellStyle name="Normal 7 3 4 5 4" xfId="1856"/>
    <cellStyle name="Normal 7 3 4 5 4 2" xfId="11226"/>
    <cellStyle name="Normal 7 3 4 5 4 3" xfId="21230"/>
    <cellStyle name="Normal 7 3 4 5 5" xfId="6697"/>
    <cellStyle name="Normal 7 3 4 5 5 2" xfId="15524"/>
    <cellStyle name="Normal 7 3 4 5 5 3" xfId="25775"/>
    <cellStyle name="Normal 7 3 4 5 6" xfId="8143"/>
    <cellStyle name="Normal 7 3 4 5 6 2" xfId="20533"/>
    <cellStyle name="Normal 7 3 4 5 7" xfId="16223"/>
    <cellStyle name="Normal 7 3 4 6" xfId="2750"/>
    <cellStyle name="Normal 7 3 4 6 2" xfId="12069"/>
    <cellStyle name="Normal 7 3 4 6 2 2" xfId="22113"/>
    <cellStyle name="Normal 7 3 4 6 3" xfId="8428"/>
    <cellStyle name="Normal 7 3 4 6 4" xfId="17106"/>
    <cellStyle name="Normal 7 3 4 7" xfId="4196"/>
    <cellStyle name="Normal 7 3 4 7 2" xfId="13036"/>
    <cellStyle name="Normal 7 3 4 7 2 2" xfId="23287"/>
    <cellStyle name="Normal 7 3 4 7 3" xfId="9457"/>
    <cellStyle name="Normal 7 3 4 7 4" xfId="18280"/>
    <cellStyle name="Normal 7 3 4 8" xfId="1468"/>
    <cellStyle name="Normal 7 3 4 8 2" xfId="10847"/>
    <cellStyle name="Normal 7 3 4 8 3" xfId="20851"/>
    <cellStyle name="Normal 7 3 4 9" xfId="5654"/>
    <cellStyle name="Normal 7 3 4 9 2" xfId="14481"/>
    <cellStyle name="Normal 7 3 4 9 3" xfId="24732"/>
    <cellStyle name="Normal 7 3 4_Degree data" xfId="4073"/>
    <cellStyle name="Normal 7 3 5" xfId="475"/>
    <cellStyle name="Normal 7 3 5 2" xfId="968"/>
    <cellStyle name="Normal 7 3 5 2 2" xfId="3445"/>
    <cellStyle name="Normal 7 3 5 2 2 2" xfId="12589"/>
    <cellStyle name="Normal 7 3 5 2 2 2 2" xfId="22808"/>
    <cellStyle name="Normal 7 3 5 2 2 3" xfId="9011"/>
    <cellStyle name="Normal 7 3 5 2 2 4" xfId="17801"/>
    <cellStyle name="Normal 7 3 5 2 3" xfId="4775"/>
    <cellStyle name="Normal 7 3 5 2 3 2" xfId="13614"/>
    <cellStyle name="Normal 7 3 5 2 3 2 2" xfId="23865"/>
    <cellStyle name="Normal 7 3 5 2 3 3" xfId="10035"/>
    <cellStyle name="Normal 7 3 5 2 3 4" xfId="18858"/>
    <cellStyle name="Normal 7 3 5 2 4" xfId="2554"/>
    <cellStyle name="Normal 7 3 5 2 4 2" xfId="11921"/>
    <cellStyle name="Normal 7 3 5 2 4 3" xfId="21925"/>
    <cellStyle name="Normal 7 3 5 2 5" xfId="6232"/>
    <cellStyle name="Normal 7 3 5 2 5 2" xfId="15059"/>
    <cellStyle name="Normal 7 3 5 2 5 3" xfId="25310"/>
    <cellStyle name="Normal 7 3 5 2 6" xfId="7678"/>
    <cellStyle name="Normal 7 3 5 2 6 2" xfId="20407"/>
    <cellStyle name="Normal 7 3 5 2 7" xfId="16918"/>
    <cellStyle name="Normal 7 3 5 3" xfId="1247"/>
    <cellStyle name="Normal 7 3 5 3 2" xfId="3677"/>
    <cellStyle name="Normal 7 3 5 3 2 2" xfId="12815"/>
    <cellStyle name="Normal 7 3 5 3 2 2 2" xfId="23034"/>
    <cellStyle name="Normal 7 3 5 3 2 3" xfId="9236"/>
    <cellStyle name="Normal 7 3 5 3 2 4" xfId="18027"/>
    <cellStyle name="Normal 7 3 5 3 3" xfId="5123"/>
    <cellStyle name="Normal 7 3 5 3 3 2" xfId="13962"/>
    <cellStyle name="Normal 7 3 5 3 3 2 2" xfId="24213"/>
    <cellStyle name="Normal 7 3 5 3 3 3" xfId="10383"/>
    <cellStyle name="Normal 7 3 5 3 3 4" xfId="19206"/>
    <cellStyle name="Normal 7 3 5 3 4" xfId="2071"/>
    <cellStyle name="Normal 7 3 5 3 4 2" xfId="11438"/>
    <cellStyle name="Normal 7 3 5 3 4 3" xfId="21442"/>
    <cellStyle name="Normal 7 3 5 3 5" xfId="6580"/>
    <cellStyle name="Normal 7 3 5 3 5 2" xfId="15407"/>
    <cellStyle name="Normal 7 3 5 3 5 3" xfId="25658"/>
    <cellStyle name="Normal 7 3 5 3 6" xfId="8026"/>
    <cellStyle name="Normal 7 3 5 3 6 2" xfId="20633"/>
    <cellStyle name="Normal 7 3 5 3 7" xfId="16435"/>
    <cellStyle name="Normal 7 3 5 4" xfId="2962"/>
    <cellStyle name="Normal 7 3 5 4 2" xfId="5340"/>
    <cellStyle name="Normal 7 3 5 4 2 2" xfId="14179"/>
    <cellStyle name="Normal 7 3 5 4 2 2 2" xfId="24430"/>
    <cellStyle name="Normal 7 3 5 4 2 3" xfId="10600"/>
    <cellStyle name="Normal 7 3 5 4 2 4" xfId="19423"/>
    <cellStyle name="Normal 7 3 5 4 3" xfId="6797"/>
    <cellStyle name="Normal 7 3 5 4 3 2" xfId="15624"/>
    <cellStyle name="Normal 7 3 5 4 3 3" xfId="25875"/>
    <cellStyle name="Normal 7 3 5 4 4" xfId="8243"/>
    <cellStyle name="Normal 7 3 5 4 4 2" xfId="22325"/>
    <cellStyle name="Normal 7 3 5 4 5" xfId="17318"/>
    <cellStyle name="Normal 7 3 5 5" xfId="4296"/>
    <cellStyle name="Normal 7 3 5 5 2" xfId="13136"/>
    <cellStyle name="Normal 7 3 5 5 2 2" xfId="23387"/>
    <cellStyle name="Normal 7 3 5 5 3" xfId="9557"/>
    <cellStyle name="Normal 7 3 5 5 4" xfId="18380"/>
    <cellStyle name="Normal 7 3 5 6" xfId="1568"/>
    <cellStyle name="Normal 7 3 5 6 2" xfId="10947"/>
    <cellStyle name="Normal 7 3 5 6 3" xfId="20951"/>
    <cellStyle name="Normal 7 3 5 7" xfId="5754"/>
    <cellStyle name="Normal 7 3 5 7 2" xfId="14581"/>
    <cellStyle name="Normal 7 3 5 7 3" xfId="24832"/>
    <cellStyle name="Normal 7 3 5 8" xfId="7198"/>
    <cellStyle name="Normal 7 3 5 8 2" xfId="19924"/>
    <cellStyle name="Normal 7 3 5 9" xfId="15944"/>
    <cellStyle name="Normal 7 3 5_Degree data" xfId="4075"/>
    <cellStyle name="Normal 7 3 6" xfId="347"/>
    <cellStyle name="Normal 7 3 6 2" xfId="969"/>
    <cellStyle name="Normal 7 3 6 2 2" xfId="3446"/>
    <cellStyle name="Normal 7 3 6 2 2 2" xfId="12590"/>
    <cellStyle name="Normal 7 3 6 2 2 2 2" xfId="22809"/>
    <cellStyle name="Normal 7 3 6 2 2 3" xfId="9012"/>
    <cellStyle name="Normal 7 3 6 2 2 4" xfId="17802"/>
    <cellStyle name="Normal 7 3 6 2 3" xfId="4776"/>
    <cellStyle name="Normal 7 3 6 2 3 2" xfId="13615"/>
    <cellStyle name="Normal 7 3 6 2 3 2 2" xfId="23866"/>
    <cellStyle name="Normal 7 3 6 2 3 3" xfId="10036"/>
    <cellStyle name="Normal 7 3 6 2 3 4" xfId="18859"/>
    <cellStyle name="Normal 7 3 6 2 4" xfId="2555"/>
    <cellStyle name="Normal 7 3 6 2 4 2" xfId="11922"/>
    <cellStyle name="Normal 7 3 6 2 4 3" xfId="21926"/>
    <cellStyle name="Normal 7 3 6 2 5" xfId="6233"/>
    <cellStyle name="Normal 7 3 6 2 5 2" xfId="15060"/>
    <cellStyle name="Normal 7 3 6 2 5 3" xfId="25311"/>
    <cellStyle name="Normal 7 3 6 2 6" xfId="7679"/>
    <cellStyle name="Normal 7 3 6 2 6 2" xfId="20408"/>
    <cellStyle name="Normal 7 3 6 2 7" xfId="16919"/>
    <cellStyle name="Normal 7 3 6 3" xfId="1119"/>
    <cellStyle name="Normal 7 3 6 3 2" xfId="3549"/>
    <cellStyle name="Normal 7 3 6 3 2 2" xfId="12687"/>
    <cellStyle name="Normal 7 3 6 3 2 2 2" xfId="22906"/>
    <cellStyle name="Normal 7 3 6 3 2 3" xfId="9108"/>
    <cellStyle name="Normal 7 3 6 3 2 4" xfId="17899"/>
    <cellStyle name="Normal 7 3 6 3 3" xfId="5124"/>
    <cellStyle name="Normal 7 3 6 3 3 2" xfId="13963"/>
    <cellStyle name="Normal 7 3 6 3 3 2 2" xfId="24214"/>
    <cellStyle name="Normal 7 3 6 3 3 3" xfId="10384"/>
    <cellStyle name="Normal 7 3 6 3 3 4" xfId="19207"/>
    <cellStyle name="Normal 7 3 6 3 4" xfId="2609"/>
    <cellStyle name="Normal 7 3 6 3 4 2" xfId="11975"/>
    <cellStyle name="Normal 7 3 6 3 4 3" xfId="21979"/>
    <cellStyle name="Normal 7 3 6 3 5" xfId="6581"/>
    <cellStyle name="Normal 7 3 6 3 5 2" xfId="15408"/>
    <cellStyle name="Normal 7 3 6 3 5 3" xfId="25659"/>
    <cellStyle name="Normal 7 3 6 3 6" xfId="8027"/>
    <cellStyle name="Normal 7 3 6 3 6 2" xfId="20505"/>
    <cellStyle name="Normal 7 3 6 3 7" xfId="16972"/>
    <cellStyle name="Normal 7 3 6 4" xfId="2834"/>
    <cellStyle name="Normal 7 3 6 4 2" xfId="5212"/>
    <cellStyle name="Normal 7 3 6 4 2 2" xfId="14051"/>
    <cellStyle name="Normal 7 3 6 4 2 2 2" xfId="24302"/>
    <cellStyle name="Normal 7 3 6 4 2 3" xfId="10472"/>
    <cellStyle name="Normal 7 3 6 4 2 4" xfId="19295"/>
    <cellStyle name="Normal 7 3 6 4 3" xfId="6669"/>
    <cellStyle name="Normal 7 3 6 4 3 2" xfId="15496"/>
    <cellStyle name="Normal 7 3 6 4 3 3" xfId="25747"/>
    <cellStyle name="Normal 7 3 6 4 4" xfId="8115"/>
    <cellStyle name="Normal 7 3 6 4 4 2" xfId="22197"/>
    <cellStyle name="Normal 7 3 6 4 5" xfId="17190"/>
    <cellStyle name="Normal 7 3 6 5" xfId="4166"/>
    <cellStyle name="Normal 7 3 6 5 2" xfId="13006"/>
    <cellStyle name="Normal 7 3 6 5 2 2" xfId="23257"/>
    <cellStyle name="Normal 7 3 6 5 3" xfId="9427"/>
    <cellStyle name="Normal 7 3 6 5 4" xfId="18250"/>
    <cellStyle name="Normal 7 3 6 6" xfId="1943"/>
    <cellStyle name="Normal 7 3 6 6 2" xfId="11310"/>
    <cellStyle name="Normal 7 3 6 6 3" xfId="21314"/>
    <cellStyle name="Normal 7 3 6 7" xfId="5626"/>
    <cellStyle name="Normal 7 3 6 7 2" xfId="14453"/>
    <cellStyle name="Normal 7 3 6 7 3" xfId="24704"/>
    <cellStyle name="Normal 7 3 6 8" xfId="7070"/>
    <cellStyle name="Normal 7 3 6 8 2" xfId="19796"/>
    <cellStyle name="Normal 7 3 6 9" xfId="16307"/>
    <cellStyle name="Normal 7 3 6_Degree data" xfId="4076"/>
    <cellStyle name="Normal 7 3 7" xfId="960"/>
    <cellStyle name="Normal 7 3 7 2" xfId="3437"/>
    <cellStyle name="Normal 7 3 7 2 2" xfId="12581"/>
    <cellStyle name="Normal 7 3 7 2 2 2" xfId="22800"/>
    <cellStyle name="Normal 7 3 7 2 3" xfId="9003"/>
    <cellStyle name="Normal 7 3 7 2 4" xfId="17793"/>
    <cellStyle name="Normal 7 3 7 3" xfId="4767"/>
    <cellStyle name="Normal 7 3 7 3 2" xfId="13606"/>
    <cellStyle name="Normal 7 3 7 3 2 2" xfId="23857"/>
    <cellStyle name="Normal 7 3 7 3 3" xfId="10027"/>
    <cellStyle name="Normal 7 3 7 3 4" xfId="18850"/>
    <cellStyle name="Normal 7 3 7 4" xfId="2546"/>
    <cellStyle name="Normal 7 3 7 4 2" xfId="11913"/>
    <cellStyle name="Normal 7 3 7 4 3" xfId="21917"/>
    <cellStyle name="Normal 7 3 7 5" xfId="6224"/>
    <cellStyle name="Normal 7 3 7 5 2" xfId="15051"/>
    <cellStyle name="Normal 7 3 7 5 3" xfId="25302"/>
    <cellStyle name="Normal 7 3 7 6" xfId="7670"/>
    <cellStyle name="Normal 7 3 7 6 2" xfId="20399"/>
    <cellStyle name="Normal 7 3 7 7" xfId="16910"/>
    <cellStyle name="Normal 7 3 8" xfId="1074"/>
    <cellStyle name="Normal 7 3 8 2" xfId="3504"/>
    <cellStyle name="Normal 7 3 8 2 2" xfId="12642"/>
    <cellStyle name="Normal 7 3 8 2 2 2" xfId="22861"/>
    <cellStyle name="Normal 7 3 8 2 3" xfId="9064"/>
    <cellStyle name="Normal 7 3 8 2 4" xfId="17854"/>
    <cellStyle name="Normal 7 3 8 3" xfId="5115"/>
    <cellStyle name="Normal 7 3 8 3 2" xfId="13954"/>
    <cellStyle name="Normal 7 3 8 3 2 2" xfId="24205"/>
    <cellStyle name="Normal 7 3 8 3 3" xfId="10375"/>
    <cellStyle name="Normal 7 3 8 3 4" xfId="19198"/>
    <cellStyle name="Normal 7 3 8 4" xfId="1744"/>
    <cellStyle name="Normal 7 3 8 4 2" xfId="11120"/>
    <cellStyle name="Normal 7 3 8 4 3" xfId="21124"/>
    <cellStyle name="Normal 7 3 8 5" xfId="6572"/>
    <cellStyle name="Normal 7 3 8 5 2" xfId="15399"/>
    <cellStyle name="Normal 7 3 8 5 3" xfId="25650"/>
    <cellStyle name="Normal 7 3 8 6" xfId="8018"/>
    <cellStyle name="Normal 7 3 8 6 2" xfId="20460"/>
    <cellStyle name="Normal 7 3 8 7" xfId="16117"/>
    <cellStyle name="Normal 7 3 9" xfId="2644"/>
    <cellStyle name="Normal 7 3 9 2" xfId="5167"/>
    <cellStyle name="Normal 7 3 9 2 2" xfId="14006"/>
    <cellStyle name="Normal 7 3 9 2 2 2" xfId="24257"/>
    <cellStyle name="Normal 7 3 9 2 3" xfId="10427"/>
    <cellStyle name="Normal 7 3 9 2 4" xfId="19250"/>
    <cellStyle name="Normal 7 3 9 3" xfId="6624"/>
    <cellStyle name="Normal 7 3 9 3 2" xfId="15451"/>
    <cellStyle name="Normal 7 3 9 3 3" xfId="25702"/>
    <cellStyle name="Normal 7 3 9 4" xfId="8070"/>
    <cellStyle name="Normal 7 3 9 4 2" xfId="22008"/>
    <cellStyle name="Normal 7 3 9 5" xfId="17001"/>
    <cellStyle name="Normal 7 3_Degree data" xfId="4067"/>
    <cellStyle name="Normal 7 4" xfId="149"/>
    <cellStyle name="Normal 7 4 10" xfId="1418"/>
    <cellStyle name="Normal 7 4 10 2" xfId="10797"/>
    <cellStyle name="Normal 7 4 10 3" xfId="20801"/>
    <cellStyle name="Normal 7 4 11" xfId="5529"/>
    <cellStyle name="Normal 7 4 11 2" xfId="14358"/>
    <cellStyle name="Normal 7 4 11 3" xfId="24609"/>
    <cellStyle name="Normal 7 4 12" xfId="6971"/>
    <cellStyle name="Normal 7 4 12 2" xfId="19616"/>
    <cellStyle name="Normal 7 4 13" xfId="15794"/>
    <cellStyle name="Normal 7 4 2" xfId="199"/>
    <cellStyle name="Normal 7 4 2 10" xfId="7150"/>
    <cellStyle name="Normal 7 4 2 10 2" xfId="19659"/>
    <cellStyle name="Normal 7 4 2 11" xfId="15896"/>
    <cellStyle name="Normal 7 4 2 2" xfId="527"/>
    <cellStyle name="Normal 7 4 2 2 2" xfId="972"/>
    <cellStyle name="Normal 7 4 2 2 2 2" xfId="3449"/>
    <cellStyle name="Normal 7 4 2 2 2 2 2" xfId="12593"/>
    <cellStyle name="Normal 7 4 2 2 2 2 2 2" xfId="22812"/>
    <cellStyle name="Normal 7 4 2 2 2 2 3" xfId="9015"/>
    <cellStyle name="Normal 7 4 2 2 2 2 4" xfId="17805"/>
    <cellStyle name="Normal 7 4 2 2 2 3" xfId="4779"/>
    <cellStyle name="Normal 7 4 2 2 2 3 2" xfId="13618"/>
    <cellStyle name="Normal 7 4 2 2 2 3 2 2" xfId="23869"/>
    <cellStyle name="Normal 7 4 2 2 2 3 3" xfId="10039"/>
    <cellStyle name="Normal 7 4 2 2 2 3 4" xfId="18862"/>
    <cellStyle name="Normal 7 4 2 2 2 4" xfId="2558"/>
    <cellStyle name="Normal 7 4 2 2 2 4 2" xfId="11925"/>
    <cellStyle name="Normal 7 4 2 2 2 4 3" xfId="21929"/>
    <cellStyle name="Normal 7 4 2 2 2 5" xfId="6236"/>
    <cellStyle name="Normal 7 4 2 2 2 5 2" xfId="15063"/>
    <cellStyle name="Normal 7 4 2 2 2 5 3" xfId="25314"/>
    <cellStyle name="Normal 7 4 2 2 2 6" xfId="7682"/>
    <cellStyle name="Normal 7 4 2 2 2 6 2" xfId="20411"/>
    <cellStyle name="Normal 7 4 2 2 2 7" xfId="16922"/>
    <cellStyle name="Normal 7 4 2 2 3" xfId="1299"/>
    <cellStyle name="Normal 7 4 2 2 3 2" xfId="3729"/>
    <cellStyle name="Normal 7 4 2 2 3 2 2" xfId="12867"/>
    <cellStyle name="Normal 7 4 2 2 3 2 2 2" xfId="23086"/>
    <cellStyle name="Normal 7 4 2 2 3 2 3" xfId="9288"/>
    <cellStyle name="Normal 7 4 2 2 3 2 4" xfId="18079"/>
    <cellStyle name="Normal 7 4 2 2 3 3" xfId="5127"/>
    <cellStyle name="Normal 7 4 2 2 3 3 2" xfId="13966"/>
    <cellStyle name="Normal 7 4 2 2 3 3 2 2" xfId="24217"/>
    <cellStyle name="Normal 7 4 2 2 3 3 3" xfId="10387"/>
    <cellStyle name="Normal 7 4 2 2 3 3 4" xfId="19210"/>
    <cellStyle name="Normal 7 4 2 2 3 4" xfId="2123"/>
    <cellStyle name="Normal 7 4 2 2 3 4 2" xfId="11490"/>
    <cellStyle name="Normal 7 4 2 2 3 4 3" xfId="21494"/>
    <cellStyle name="Normal 7 4 2 2 3 5" xfId="6584"/>
    <cellStyle name="Normal 7 4 2 2 3 5 2" xfId="15411"/>
    <cellStyle name="Normal 7 4 2 2 3 5 3" xfId="25662"/>
    <cellStyle name="Normal 7 4 2 2 3 6" xfId="8030"/>
    <cellStyle name="Normal 7 4 2 2 3 6 2" xfId="20685"/>
    <cellStyle name="Normal 7 4 2 2 3 7" xfId="16487"/>
    <cellStyle name="Normal 7 4 2 2 4" xfId="3014"/>
    <cellStyle name="Normal 7 4 2 2 4 2" xfId="5392"/>
    <cellStyle name="Normal 7 4 2 2 4 2 2" xfId="14231"/>
    <cellStyle name="Normal 7 4 2 2 4 2 2 2" xfId="24482"/>
    <cellStyle name="Normal 7 4 2 2 4 2 3" xfId="10652"/>
    <cellStyle name="Normal 7 4 2 2 4 2 4" xfId="19475"/>
    <cellStyle name="Normal 7 4 2 2 4 3" xfId="6849"/>
    <cellStyle name="Normal 7 4 2 2 4 3 2" xfId="15676"/>
    <cellStyle name="Normal 7 4 2 2 4 3 3" xfId="25927"/>
    <cellStyle name="Normal 7 4 2 2 4 4" xfId="8295"/>
    <cellStyle name="Normal 7 4 2 2 4 4 2" xfId="22377"/>
    <cellStyle name="Normal 7 4 2 2 4 5" xfId="17370"/>
    <cellStyle name="Normal 7 4 2 2 5" xfId="4348"/>
    <cellStyle name="Normal 7 4 2 2 5 2" xfId="13188"/>
    <cellStyle name="Normal 7 4 2 2 5 2 2" xfId="23439"/>
    <cellStyle name="Normal 7 4 2 2 5 3" xfId="9609"/>
    <cellStyle name="Normal 7 4 2 2 5 4" xfId="18432"/>
    <cellStyle name="Normal 7 4 2 2 6" xfId="1620"/>
    <cellStyle name="Normal 7 4 2 2 6 2" xfId="10999"/>
    <cellStyle name="Normal 7 4 2 2 6 3" xfId="21003"/>
    <cellStyle name="Normal 7 4 2 2 7" xfId="5806"/>
    <cellStyle name="Normal 7 4 2 2 7 2" xfId="14633"/>
    <cellStyle name="Normal 7 4 2 2 7 3" xfId="24884"/>
    <cellStyle name="Normal 7 4 2 2 8" xfId="7250"/>
    <cellStyle name="Normal 7 4 2 2 8 2" xfId="19976"/>
    <cellStyle name="Normal 7 4 2 2 9" xfId="15996"/>
    <cellStyle name="Normal 7 4 2 2_Degree data" xfId="4079"/>
    <cellStyle name="Normal 7 4 2 3" xfId="427"/>
    <cellStyle name="Normal 7 4 2 3 2" xfId="2914"/>
    <cellStyle name="Normal 7 4 2 3 2 2" xfId="12204"/>
    <cellStyle name="Normal 7 4 2 3 2 2 2" xfId="22277"/>
    <cellStyle name="Normal 7 4 2 3 2 3" xfId="8462"/>
    <cellStyle name="Normal 7 4 2 3 2 4" xfId="17270"/>
    <cellStyle name="Normal 7 4 2 3 3" xfId="4778"/>
    <cellStyle name="Normal 7 4 2 3 3 2" xfId="13617"/>
    <cellStyle name="Normal 7 4 2 3 3 2 2" xfId="23868"/>
    <cellStyle name="Normal 7 4 2 3 3 3" xfId="10038"/>
    <cellStyle name="Normal 7 4 2 3 3 4" xfId="18861"/>
    <cellStyle name="Normal 7 4 2 3 4" xfId="2023"/>
    <cellStyle name="Normal 7 4 2 3 4 2" xfId="11390"/>
    <cellStyle name="Normal 7 4 2 3 4 3" xfId="21394"/>
    <cellStyle name="Normal 7 4 2 3 5" xfId="6235"/>
    <cellStyle name="Normal 7 4 2 3 5 2" xfId="15062"/>
    <cellStyle name="Normal 7 4 2 3 5 3" xfId="25313"/>
    <cellStyle name="Normal 7 4 2 3 6" xfId="7681"/>
    <cellStyle name="Normal 7 4 2 3 6 2" xfId="19876"/>
    <cellStyle name="Normal 7 4 2 3 7" xfId="16387"/>
    <cellStyle name="Normal 7 4 2 4" xfId="971"/>
    <cellStyle name="Normal 7 4 2 4 2" xfId="3448"/>
    <cellStyle name="Normal 7 4 2 4 2 2" xfId="12592"/>
    <cellStyle name="Normal 7 4 2 4 2 2 2" xfId="22811"/>
    <cellStyle name="Normal 7 4 2 4 2 3" xfId="9014"/>
    <cellStyle name="Normal 7 4 2 4 2 4" xfId="17804"/>
    <cellStyle name="Normal 7 4 2 4 3" xfId="5126"/>
    <cellStyle name="Normal 7 4 2 4 3 2" xfId="13965"/>
    <cellStyle name="Normal 7 4 2 4 3 2 2" xfId="24216"/>
    <cellStyle name="Normal 7 4 2 4 3 3" xfId="10386"/>
    <cellStyle name="Normal 7 4 2 4 3 4" xfId="19209"/>
    <cellStyle name="Normal 7 4 2 4 4" xfId="2557"/>
    <cellStyle name="Normal 7 4 2 4 4 2" xfId="11924"/>
    <cellStyle name="Normal 7 4 2 4 4 3" xfId="21928"/>
    <cellStyle name="Normal 7 4 2 4 5" xfId="6583"/>
    <cellStyle name="Normal 7 4 2 4 5 2" xfId="15410"/>
    <cellStyle name="Normal 7 4 2 4 5 3" xfId="25661"/>
    <cellStyle name="Normal 7 4 2 4 6" xfId="8029"/>
    <cellStyle name="Normal 7 4 2 4 6 2" xfId="20410"/>
    <cellStyle name="Normal 7 4 2 4 7" xfId="16921"/>
    <cellStyle name="Normal 7 4 2 5" xfId="1199"/>
    <cellStyle name="Normal 7 4 2 5 2" xfId="3629"/>
    <cellStyle name="Normal 7 4 2 5 2 2" xfId="12767"/>
    <cellStyle name="Normal 7 4 2 5 2 2 2" xfId="22986"/>
    <cellStyle name="Normal 7 4 2 5 2 3" xfId="9188"/>
    <cellStyle name="Normal 7 4 2 5 2 4" xfId="17979"/>
    <cellStyle name="Normal 7 4 2 5 3" xfId="5292"/>
    <cellStyle name="Normal 7 4 2 5 3 2" xfId="14131"/>
    <cellStyle name="Normal 7 4 2 5 3 2 2" xfId="24382"/>
    <cellStyle name="Normal 7 4 2 5 3 3" xfId="10552"/>
    <cellStyle name="Normal 7 4 2 5 3 4" xfId="19375"/>
    <cellStyle name="Normal 7 4 2 5 4" xfId="1802"/>
    <cellStyle name="Normal 7 4 2 5 4 2" xfId="11173"/>
    <cellStyle name="Normal 7 4 2 5 4 3" xfId="21177"/>
    <cellStyle name="Normal 7 4 2 5 5" xfId="6749"/>
    <cellStyle name="Normal 7 4 2 5 5 2" xfId="15576"/>
    <cellStyle name="Normal 7 4 2 5 5 3" xfId="25827"/>
    <cellStyle name="Normal 7 4 2 5 6" xfId="8195"/>
    <cellStyle name="Normal 7 4 2 5 6 2" xfId="20585"/>
    <cellStyle name="Normal 7 4 2 5 7" xfId="16170"/>
    <cellStyle name="Normal 7 4 2 6" xfId="2697"/>
    <cellStyle name="Normal 7 4 2 6 2" xfId="12016"/>
    <cellStyle name="Normal 7 4 2 6 2 2" xfId="22060"/>
    <cellStyle name="Normal 7 4 2 6 3" xfId="8649"/>
    <cellStyle name="Normal 7 4 2 6 4" xfId="17053"/>
    <cellStyle name="Normal 7 4 2 7" xfId="4248"/>
    <cellStyle name="Normal 7 4 2 7 2" xfId="13088"/>
    <cellStyle name="Normal 7 4 2 7 2 2" xfId="23339"/>
    <cellStyle name="Normal 7 4 2 7 3" xfId="9509"/>
    <cellStyle name="Normal 7 4 2 7 4" xfId="18332"/>
    <cellStyle name="Normal 7 4 2 8" xfId="1520"/>
    <cellStyle name="Normal 7 4 2 8 2" xfId="10899"/>
    <cellStyle name="Normal 7 4 2 8 3" xfId="20903"/>
    <cellStyle name="Normal 7 4 2 9" xfId="5706"/>
    <cellStyle name="Normal 7 4 2 9 2" xfId="14533"/>
    <cellStyle name="Normal 7 4 2 9 3" xfId="24784"/>
    <cellStyle name="Normal 7 4 2_Degree data" xfId="4078"/>
    <cellStyle name="Normal 7 4 3" xfId="266"/>
    <cellStyle name="Normal 7 4 3 10" xfId="7107"/>
    <cellStyle name="Normal 7 4 3 10 2" xfId="19721"/>
    <cellStyle name="Normal 7 4 3 11" xfId="15853"/>
    <cellStyle name="Normal 7 4 3 2" xfId="589"/>
    <cellStyle name="Normal 7 4 3 2 2" xfId="974"/>
    <cellStyle name="Normal 7 4 3 2 2 2" xfId="3451"/>
    <cellStyle name="Normal 7 4 3 2 2 2 2" xfId="12595"/>
    <cellStyle name="Normal 7 4 3 2 2 2 2 2" xfId="22814"/>
    <cellStyle name="Normal 7 4 3 2 2 2 3" xfId="9017"/>
    <cellStyle name="Normal 7 4 3 2 2 2 4" xfId="17807"/>
    <cellStyle name="Normal 7 4 3 2 2 3" xfId="4781"/>
    <cellStyle name="Normal 7 4 3 2 2 3 2" xfId="13620"/>
    <cellStyle name="Normal 7 4 3 2 2 3 2 2" xfId="23871"/>
    <cellStyle name="Normal 7 4 3 2 2 3 3" xfId="10041"/>
    <cellStyle name="Normal 7 4 3 2 2 3 4" xfId="18864"/>
    <cellStyle name="Normal 7 4 3 2 2 4" xfId="2560"/>
    <cellStyle name="Normal 7 4 3 2 2 4 2" xfId="11927"/>
    <cellStyle name="Normal 7 4 3 2 2 4 3" xfId="21931"/>
    <cellStyle name="Normal 7 4 3 2 2 5" xfId="6238"/>
    <cellStyle name="Normal 7 4 3 2 2 5 2" xfId="15065"/>
    <cellStyle name="Normal 7 4 3 2 2 5 3" xfId="25316"/>
    <cellStyle name="Normal 7 4 3 2 2 6" xfId="7684"/>
    <cellStyle name="Normal 7 4 3 2 2 6 2" xfId="20413"/>
    <cellStyle name="Normal 7 4 3 2 2 7" xfId="16924"/>
    <cellStyle name="Normal 7 4 3 2 3" xfId="1361"/>
    <cellStyle name="Normal 7 4 3 2 3 2" xfId="3791"/>
    <cellStyle name="Normal 7 4 3 2 3 2 2" xfId="12929"/>
    <cellStyle name="Normal 7 4 3 2 3 2 2 2" xfId="23148"/>
    <cellStyle name="Normal 7 4 3 2 3 2 3" xfId="9350"/>
    <cellStyle name="Normal 7 4 3 2 3 2 4" xfId="18141"/>
    <cellStyle name="Normal 7 4 3 2 3 3" xfId="5129"/>
    <cellStyle name="Normal 7 4 3 2 3 3 2" xfId="13968"/>
    <cellStyle name="Normal 7 4 3 2 3 3 2 2" xfId="24219"/>
    <cellStyle name="Normal 7 4 3 2 3 3 3" xfId="10389"/>
    <cellStyle name="Normal 7 4 3 2 3 3 4" xfId="19212"/>
    <cellStyle name="Normal 7 4 3 2 3 4" xfId="2185"/>
    <cellStyle name="Normal 7 4 3 2 3 4 2" xfId="11552"/>
    <cellStyle name="Normal 7 4 3 2 3 4 3" xfId="21556"/>
    <cellStyle name="Normal 7 4 3 2 3 5" xfId="6586"/>
    <cellStyle name="Normal 7 4 3 2 3 5 2" xfId="15413"/>
    <cellStyle name="Normal 7 4 3 2 3 5 3" xfId="25664"/>
    <cellStyle name="Normal 7 4 3 2 3 6" xfId="8032"/>
    <cellStyle name="Normal 7 4 3 2 3 6 2" xfId="20747"/>
    <cellStyle name="Normal 7 4 3 2 3 7" xfId="16549"/>
    <cellStyle name="Normal 7 4 3 2 4" xfId="3076"/>
    <cellStyle name="Normal 7 4 3 2 4 2" xfId="5454"/>
    <cellStyle name="Normal 7 4 3 2 4 2 2" xfId="14293"/>
    <cellStyle name="Normal 7 4 3 2 4 2 2 2" xfId="24544"/>
    <cellStyle name="Normal 7 4 3 2 4 2 3" xfId="10714"/>
    <cellStyle name="Normal 7 4 3 2 4 2 4" xfId="19537"/>
    <cellStyle name="Normal 7 4 3 2 4 3" xfId="6911"/>
    <cellStyle name="Normal 7 4 3 2 4 3 2" xfId="15738"/>
    <cellStyle name="Normal 7 4 3 2 4 3 3" xfId="25989"/>
    <cellStyle name="Normal 7 4 3 2 4 4" xfId="8357"/>
    <cellStyle name="Normal 7 4 3 2 4 4 2" xfId="22439"/>
    <cellStyle name="Normal 7 4 3 2 4 5" xfId="17432"/>
    <cellStyle name="Normal 7 4 3 2 5" xfId="4410"/>
    <cellStyle name="Normal 7 4 3 2 5 2" xfId="13250"/>
    <cellStyle name="Normal 7 4 3 2 5 2 2" xfId="23501"/>
    <cellStyle name="Normal 7 4 3 2 5 3" xfId="9671"/>
    <cellStyle name="Normal 7 4 3 2 5 4" xfId="18494"/>
    <cellStyle name="Normal 7 4 3 2 6" xfId="1682"/>
    <cellStyle name="Normal 7 4 3 2 6 2" xfId="11061"/>
    <cellStyle name="Normal 7 4 3 2 6 3" xfId="21065"/>
    <cellStyle name="Normal 7 4 3 2 7" xfId="5868"/>
    <cellStyle name="Normal 7 4 3 2 7 2" xfId="14695"/>
    <cellStyle name="Normal 7 4 3 2 7 3" xfId="24946"/>
    <cellStyle name="Normal 7 4 3 2 8" xfId="7312"/>
    <cellStyle name="Normal 7 4 3 2 8 2" xfId="20038"/>
    <cellStyle name="Normal 7 4 3 2 9" xfId="16058"/>
    <cellStyle name="Normal 7 4 3 2_Degree data" xfId="4081"/>
    <cellStyle name="Normal 7 4 3 3" xfId="384"/>
    <cellStyle name="Normal 7 4 3 3 2" xfId="2871"/>
    <cellStyle name="Normal 7 4 3 3 2 2" xfId="12161"/>
    <cellStyle name="Normal 7 4 3 3 2 2 2" xfId="22234"/>
    <cellStyle name="Normal 7 4 3 3 2 3" xfId="8535"/>
    <cellStyle name="Normal 7 4 3 3 2 4" xfId="17227"/>
    <cellStyle name="Normal 7 4 3 3 3" xfId="4780"/>
    <cellStyle name="Normal 7 4 3 3 3 2" xfId="13619"/>
    <cellStyle name="Normal 7 4 3 3 3 2 2" xfId="23870"/>
    <cellStyle name="Normal 7 4 3 3 3 3" xfId="10040"/>
    <cellStyle name="Normal 7 4 3 3 3 4" xfId="18863"/>
    <cellStyle name="Normal 7 4 3 3 4" xfId="1980"/>
    <cellStyle name="Normal 7 4 3 3 4 2" xfId="11347"/>
    <cellStyle name="Normal 7 4 3 3 4 3" xfId="21351"/>
    <cellStyle name="Normal 7 4 3 3 5" xfId="6237"/>
    <cellStyle name="Normal 7 4 3 3 5 2" xfId="15064"/>
    <cellStyle name="Normal 7 4 3 3 5 3" xfId="25315"/>
    <cellStyle name="Normal 7 4 3 3 6" xfId="7683"/>
    <cellStyle name="Normal 7 4 3 3 6 2" xfId="19833"/>
    <cellStyle name="Normal 7 4 3 3 7" xfId="16344"/>
    <cellStyle name="Normal 7 4 3 4" xfId="973"/>
    <cellStyle name="Normal 7 4 3 4 2" xfId="3450"/>
    <cellStyle name="Normal 7 4 3 4 2 2" xfId="12594"/>
    <cellStyle name="Normal 7 4 3 4 2 2 2" xfId="22813"/>
    <cellStyle name="Normal 7 4 3 4 2 3" xfId="9016"/>
    <cellStyle name="Normal 7 4 3 4 2 4" xfId="17806"/>
    <cellStyle name="Normal 7 4 3 4 3" xfId="5128"/>
    <cellStyle name="Normal 7 4 3 4 3 2" xfId="13967"/>
    <cellStyle name="Normal 7 4 3 4 3 2 2" xfId="24218"/>
    <cellStyle name="Normal 7 4 3 4 3 3" xfId="10388"/>
    <cellStyle name="Normal 7 4 3 4 3 4" xfId="19211"/>
    <cellStyle name="Normal 7 4 3 4 4" xfId="2559"/>
    <cellStyle name="Normal 7 4 3 4 4 2" xfId="11926"/>
    <cellStyle name="Normal 7 4 3 4 4 3" xfId="21930"/>
    <cellStyle name="Normal 7 4 3 4 5" xfId="6585"/>
    <cellStyle name="Normal 7 4 3 4 5 2" xfId="15412"/>
    <cellStyle name="Normal 7 4 3 4 5 3" xfId="25663"/>
    <cellStyle name="Normal 7 4 3 4 6" xfId="8031"/>
    <cellStyle name="Normal 7 4 3 4 6 2" xfId="20412"/>
    <cellStyle name="Normal 7 4 3 4 7" xfId="16923"/>
    <cellStyle name="Normal 7 4 3 5" xfId="1156"/>
    <cellStyle name="Normal 7 4 3 5 2" xfId="3586"/>
    <cellStyle name="Normal 7 4 3 5 2 2" xfId="12724"/>
    <cellStyle name="Normal 7 4 3 5 2 2 2" xfId="22943"/>
    <cellStyle name="Normal 7 4 3 5 2 3" xfId="9145"/>
    <cellStyle name="Normal 7 4 3 5 2 4" xfId="17936"/>
    <cellStyle name="Normal 7 4 3 5 3" xfId="5249"/>
    <cellStyle name="Normal 7 4 3 5 3 2" xfId="14088"/>
    <cellStyle name="Normal 7 4 3 5 3 2 2" xfId="24339"/>
    <cellStyle name="Normal 7 4 3 5 3 3" xfId="10509"/>
    <cellStyle name="Normal 7 4 3 5 3 4" xfId="19332"/>
    <cellStyle name="Normal 7 4 3 5 4" xfId="1865"/>
    <cellStyle name="Normal 7 4 3 5 4 2" xfId="11235"/>
    <cellStyle name="Normal 7 4 3 5 4 3" xfId="21239"/>
    <cellStyle name="Normal 7 4 3 5 5" xfId="6706"/>
    <cellStyle name="Normal 7 4 3 5 5 2" xfId="15533"/>
    <cellStyle name="Normal 7 4 3 5 5 3" xfId="25784"/>
    <cellStyle name="Normal 7 4 3 5 6" xfId="8152"/>
    <cellStyle name="Normal 7 4 3 5 6 2" xfId="20542"/>
    <cellStyle name="Normal 7 4 3 5 7" xfId="16232"/>
    <cellStyle name="Normal 7 4 3 6" xfId="2759"/>
    <cellStyle name="Normal 7 4 3 6 2" xfId="12078"/>
    <cellStyle name="Normal 7 4 3 6 2 2" xfId="22122"/>
    <cellStyle name="Normal 7 4 3 6 3" xfId="8555"/>
    <cellStyle name="Normal 7 4 3 6 4" xfId="17115"/>
    <cellStyle name="Normal 7 4 3 7" xfId="4205"/>
    <cellStyle name="Normal 7 4 3 7 2" xfId="13045"/>
    <cellStyle name="Normal 7 4 3 7 2 2" xfId="23296"/>
    <cellStyle name="Normal 7 4 3 7 3" xfId="9466"/>
    <cellStyle name="Normal 7 4 3 7 4" xfId="18289"/>
    <cellStyle name="Normal 7 4 3 8" xfId="1477"/>
    <cellStyle name="Normal 7 4 3 8 2" xfId="10856"/>
    <cellStyle name="Normal 7 4 3 8 3" xfId="20860"/>
    <cellStyle name="Normal 7 4 3 9" xfId="5663"/>
    <cellStyle name="Normal 7 4 3 9 2" xfId="14490"/>
    <cellStyle name="Normal 7 4 3 9 3" xfId="24741"/>
    <cellStyle name="Normal 7 4 3_Degree data" xfId="4080"/>
    <cellStyle name="Normal 7 4 4" xfId="484"/>
    <cellStyle name="Normal 7 4 4 2" xfId="975"/>
    <cellStyle name="Normal 7 4 4 2 2" xfId="3452"/>
    <cellStyle name="Normal 7 4 4 2 2 2" xfId="12596"/>
    <cellStyle name="Normal 7 4 4 2 2 2 2" xfId="22815"/>
    <cellStyle name="Normal 7 4 4 2 2 3" xfId="9018"/>
    <cellStyle name="Normal 7 4 4 2 2 4" xfId="17808"/>
    <cellStyle name="Normal 7 4 4 2 3" xfId="4782"/>
    <cellStyle name="Normal 7 4 4 2 3 2" xfId="13621"/>
    <cellStyle name="Normal 7 4 4 2 3 2 2" xfId="23872"/>
    <cellStyle name="Normal 7 4 4 2 3 3" xfId="10042"/>
    <cellStyle name="Normal 7 4 4 2 3 4" xfId="18865"/>
    <cellStyle name="Normal 7 4 4 2 4" xfId="2561"/>
    <cellStyle name="Normal 7 4 4 2 4 2" xfId="11928"/>
    <cellStyle name="Normal 7 4 4 2 4 3" xfId="21932"/>
    <cellStyle name="Normal 7 4 4 2 5" xfId="6239"/>
    <cellStyle name="Normal 7 4 4 2 5 2" xfId="15066"/>
    <cellStyle name="Normal 7 4 4 2 5 3" xfId="25317"/>
    <cellStyle name="Normal 7 4 4 2 6" xfId="7685"/>
    <cellStyle name="Normal 7 4 4 2 6 2" xfId="20414"/>
    <cellStyle name="Normal 7 4 4 2 7" xfId="16925"/>
    <cellStyle name="Normal 7 4 4 3" xfId="1256"/>
    <cellStyle name="Normal 7 4 4 3 2" xfId="3686"/>
    <cellStyle name="Normal 7 4 4 3 2 2" xfId="12824"/>
    <cellStyle name="Normal 7 4 4 3 2 2 2" xfId="23043"/>
    <cellStyle name="Normal 7 4 4 3 2 3" xfId="9245"/>
    <cellStyle name="Normal 7 4 4 3 2 4" xfId="18036"/>
    <cellStyle name="Normal 7 4 4 3 3" xfId="5130"/>
    <cellStyle name="Normal 7 4 4 3 3 2" xfId="13969"/>
    <cellStyle name="Normal 7 4 4 3 3 2 2" xfId="24220"/>
    <cellStyle name="Normal 7 4 4 3 3 3" xfId="10390"/>
    <cellStyle name="Normal 7 4 4 3 3 4" xfId="19213"/>
    <cellStyle name="Normal 7 4 4 3 4" xfId="2080"/>
    <cellStyle name="Normal 7 4 4 3 4 2" xfId="11447"/>
    <cellStyle name="Normal 7 4 4 3 4 3" xfId="21451"/>
    <cellStyle name="Normal 7 4 4 3 5" xfId="6587"/>
    <cellStyle name="Normal 7 4 4 3 5 2" xfId="15414"/>
    <cellStyle name="Normal 7 4 4 3 5 3" xfId="25665"/>
    <cellStyle name="Normal 7 4 4 3 6" xfId="8033"/>
    <cellStyle name="Normal 7 4 4 3 6 2" xfId="20642"/>
    <cellStyle name="Normal 7 4 4 3 7" xfId="16444"/>
    <cellStyle name="Normal 7 4 4 4" xfId="2971"/>
    <cellStyle name="Normal 7 4 4 4 2" xfId="5349"/>
    <cellStyle name="Normal 7 4 4 4 2 2" xfId="14188"/>
    <cellStyle name="Normal 7 4 4 4 2 2 2" xfId="24439"/>
    <cellStyle name="Normal 7 4 4 4 2 3" xfId="10609"/>
    <cellStyle name="Normal 7 4 4 4 2 4" xfId="19432"/>
    <cellStyle name="Normal 7 4 4 4 3" xfId="6806"/>
    <cellStyle name="Normal 7 4 4 4 3 2" xfId="15633"/>
    <cellStyle name="Normal 7 4 4 4 3 3" xfId="25884"/>
    <cellStyle name="Normal 7 4 4 4 4" xfId="8252"/>
    <cellStyle name="Normal 7 4 4 4 4 2" xfId="22334"/>
    <cellStyle name="Normal 7 4 4 4 5" xfId="17327"/>
    <cellStyle name="Normal 7 4 4 5" xfId="4305"/>
    <cellStyle name="Normal 7 4 4 5 2" xfId="13145"/>
    <cellStyle name="Normal 7 4 4 5 2 2" xfId="23396"/>
    <cellStyle name="Normal 7 4 4 5 3" xfId="9566"/>
    <cellStyle name="Normal 7 4 4 5 4" xfId="18389"/>
    <cellStyle name="Normal 7 4 4 6" xfId="1577"/>
    <cellStyle name="Normal 7 4 4 6 2" xfId="10956"/>
    <cellStyle name="Normal 7 4 4 6 3" xfId="20960"/>
    <cellStyle name="Normal 7 4 4 7" xfId="5763"/>
    <cellStyle name="Normal 7 4 4 7 2" xfId="14590"/>
    <cellStyle name="Normal 7 4 4 7 3" xfId="24841"/>
    <cellStyle name="Normal 7 4 4 8" xfId="7207"/>
    <cellStyle name="Normal 7 4 4 8 2" xfId="19933"/>
    <cellStyle name="Normal 7 4 4 9" xfId="15953"/>
    <cellStyle name="Normal 7 4 4_Degree data" xfId="4082"/>
    <cellStyle name="Normal 7 4 5" xfId="325"/>
    <cellStyle name="Normal 7 4 5 2" xfId="2812"/>
    <cellStyle name="Normal 7 4 5 2 2" xfId="12118"/>
    <cellStyle name="Normal 7 4 5 2 2 2" xfId="22175"/>
    <cellStyle name="Normal 7 4 5 2 3" xfId="8435"/>
    <cellStyle name="Normal 7 4 5 2 4" xfId="17168"/>
    <cellStyle name="Normal 7 4 5 3" xfId="4777"/>
    <cellStyle name="Normal 7 4 5 3 2" xfId="13616"/>
    <cellStyle name="Normal 7 4 5 3 2 2" xfId="23867"/>
    <cellStyle name="Normal 7 4 5 3 3" xfId="10037"/>
    <cellStyle name="Normal 7 4 5 3 4" xfId="18860"/>
    <cellStyle name="Normal 7 4 5 4" xfId="1921"/>
    <cellStyle name="Normal 7 4 5 4 2" xfId="11288"/>
    <cellStyle name="Normal 7 4 5 4 3" xfId="21292"/>
    <cellStyle name="Normal 7 4 5 5" xfId="6234"/>
    <cellStyle name="Normal 7 4 5 5 2" xfId="15061"/>
    <cellStyle name="Normal 7 4 5 5 3" xfId="25312"/>
    <cellStyle name="Normal 7 4 5 6" xfId="7680"/>
    <cellStyle name="Normal 7 4 5 6 2" xfId="19774"/>
    <cellStyle name="Normal 7 4 5 7" xfId="16285"/>
    <cellStyle name="Normal 7 4 6" xfId="970"/>
    <cellStyle name="Normal 7 4 6 2" xfId="3447"/>
    <cellStyle name="Normal 7 4 6 2 2" xfId="12591"/>
    <cellStyle name="Normal 7 4 6 2 2 2" xfId="22810"/>
    <cellStyle name="Normal 7 4 6 2 3" xfId="9013"/>
    <cellStyle name="Normal 7 4 6 2 4" xfId="17803"/>
    <cellStyle name="Normal 7 4 6 3" xfId="5125"/>
    <cellStyle name="Normal 7 4 6 3 2" xfId="13964"/>
    <cellStyle name="Normal 7 4 6 3 2 2" xfId="24215"/>
    <cellStyle name="Normal 7 4 6 3 3" xfId="10385"/>
    <cellStyle name="Normal 7 4 6 3 4" xfId="19208"/>
    <cellStyle name="Normal 7 4 6 4" xfId="2556"/>
    <cellStyle name="Normal 7 4 6 4 2" xfId="11923"/>
    <cellStyle name="Normal 7 4 6 4 3" xfId="21927"/>
    <cellStyle name="Normal 7 4 6 5" xfId="6582"/>
    <cellStyle name="Normal 7 4 6 5 2" xfId="15409"/>
    <cellStyle name="Normal 7 4 6 5 3" xfId="25660"/>
    <cellStyle name="Normal 7 4 6 6" xfId="8028"/>
    <cellStyle name="Normal 7 4 6 6 2" xfId="20409"/>
    <cellStyle name="Normal 7 4 6 7" xfId="16920"/>
    <cellStyle name="Normal 7 4 7" xfId="1097"/>
    <cellStyle name="Normal 7 4 7 2" xfId="3527"/>
    <cellStyle name="Normal 7 4 7 2 2" xfId="12665"/>
    <cellStyle name="Normal 7 4 7 2 2 2" xfId="22884"/>
    <cellStyle name="Normal 7 4 7 2 3" xfId="9087"/>
    <cellStyle name="Normal 7 4 7 2 4" xfId="17877"/>
    <cellStyle name="Normal 7 4 7 3" xfId="5190"/>
    <cellStyle name="Normal 7 4 7 3 2" xfId="14029"/>
    <cellStyle name="Normal 7 4 7 3 2 2" xfId="24280"/>
    <cellStyle name="Normal 7 4 7 3 3" xfId="10450"/>
    <cellStyle name="Normal 7 4 7 3 4" xfId="19273"/>
    <cellStyle name="Normal 7 4 7 4" xfId="1756"/>
    <cellStyle name="Normal 7 4 7 4 2" xfId="11129"/>
    <cellStyle name="Normal 7 4 7 4 3" xfId="21133"/>
    <cellStyle name="Normal 7 4 7 5" xfId="6647"/>
    <cellStyle name="Normal 7 4 7 5 2" xfId="15474"/>
    <cellStyle name="Normal 7 4 7 5 3" xfId="25725"/>
    <cellStyle name="Normal 7 4 7 6" xfId="8093"/>
    <cellStyle name="Normal 7 4 7 6 2" xfId="20483"/>
    <cellStyle name="Normal 7 4 7 7" xfId="16126"/>
    <cellStyle name="Normal 7 4 8" xfId="2654"/>
    <cellStyle name="Normal 7 4 8 2" xfId="5604"/>
    <cellStyle name="Normal 7 4 8 2 2" xfId="14431"/>
    <cellStyle name="Normal 7 4 8 2 3" xfId="24682"/>
    <cellStyle name="Normal 7 4 8 3" xfId="7048"/>
    <cellStyle name="Normal 7 4 8 3 2" xfId="22017"/>
    <cellStyle name="Normal 7 4 8 4" xfId="17010"/>
    <cellStyle name="Normal 7 4 9" xfId="4144"/>
    <cellStyle name="Normal 7 4 9 2" xfId="12984"/>
    <cellStyle name="Normal 7 4 9 2 2" xfId="23235"/>
    <cellStyle name="Normal 7 4 9 3" xfId="9405"/>
    <cellStyle name="Normal 7 4 9 4" xfId="18228"/>
    <cellStyle name="Normal 7 4_Degree data" xfId="4077"/>
    <cellStyle name="Normal 7 5" xfId="182"/>
    <cellStyle name="Normal 7 5 10" xfId="7133"/>
    <cellStyle name="Normal 7 5 10 2" xfId="19642"/>
    <cellStyle name="Normal 7 5 11" xfId="15879"/>
    <cellStyle name="Normal 7 5 2" xfId="510"/>
    <cellStyle name="Normal 7 5 2 2" xfId="977"/>
    <cellStyle name="Normal 7 5 2 2 2" xfId="3454"/>
    <cellStyle name="Normal 7 5 2 2 2 2" xfId="12598"/>
    <cellStyle name="Normal 7 5 2 2 2 2 2" xfId="22817"/>
    <cellStyle name="Normal 7 5 2 2 2 3" xfId="9020"/>
    <cellStyle name="Normal 7 5 2 2 2 4" xfId="17810"/>
    <cellStyle name="Normal 7 5 2 2 3" xfId="4784"/>
    <cellStyle name="Normal 7 5 2 2 3 2" xfId="13623"/>
    <cellStyle name="Normal 7 5 2 2 3 2 2" xfId="23874"/>
    <cellStyle name="Normal 7 5 2 2 3 3" xfId="10044"/>
    <cellStyle name="Normal 7 5 2 2 3 4" xfId="18867"/>
    <cellStyle name="Normal 7 5 2 2 4" xfId="2563"/>
    <cellStyle name="Normal 7 5 2 2 4 2" xfId="11930"/>
    <cellStyle name="Normal 7 5 2 2 4 3" xfId="21934"/>
    <cellStyle name="Normal 7 5 2 2 5" xfId="6241"/>
    <cellStyle name="Normal 7 5 2 2 5 2" xfId="15068"/>
    <cellStyle name="Normal 7 5 2 2 5 3" xfId="25319"/>
    <cellStyle name="Normal 7 5 2 2 6" xfId="7687"/>
    <cellStyle name="Normal 7 5 2 2 6 2" xfId="20416"/>
    <cellStyle name="Normal 7 5 2 2 7" xfId="16927"/>
    <cellStyle name="Normal 7 5 2 3" xfId="1282"/>
    <cellStyle name="Normal 7 5 2 3 2" xfId="3712"/>
    <cellStyle name="Normal 7 5 2 3 2 2" xfId="12850"/>
    <cellStyle name="Normal 7 5 2 3 2 2 2" xfId="23069"/>
    <cellStyle name="Normal 7 5 2 3 2 3" xfId="9271"/>
    <cellStyle name="Normal 7 5 2 3 2 4" xfId="18062"/>
    <cellStyle name="Normal 7 5 2 3 3" xfId="5132"/>
    <cellStyle name="Normal 7 5 2 3 3 2" xfId="13971"/>
    <cellStyle name="Normal 7 5 2 3 3 2 2" xfId="24222"/>
    <cellStyle name="Normal 7 5 2 3 3 3" xfId="10392"/>
    <cellStyle name="Normal 7 5 2 3 3 4" xfId="19215"/>
    <cellStyle name="Normal 7 5 2 3 4" xfId="2106"/>
    <cellStyle name="Normal 7 5 2 3 4 2" xfId="11473"/>
    <cellStyle name="Normal 7 5 2 3 4 3" xfId="21477"/>
    <cellStyle name="Normal 7 5 2 3 5" xfId="6589"/>
    <cellStyle name="Normal 7 5 2 3 5 2" xfId="15416"/>
    <cellStyle name="Normal 7 5 2 3 5 3" xfId="25667"/>
    <cellStyle name="Normal 7 5 2 3 6" xfId="8035"/>
    <cellStyle name="Normal 7 5 2 3 6 2" xfId="20668"/>
    <cellStyle name="Normal 7 5 2 3 7" xfId="16470"/>
    <cellStyle name="Normal 7 5 2 4" xfId="2997"/>
    <cellStyle name="Normal 7 5 2 4 2" xfId="5375"/>
    <cellStyle name="Normal 7 5 2 4 2 2" xfId="14214"/>
    <cellStyle name="Normal 7 5 2 4 2 2 2" xfId="24465"/>
    <cellStyle name="Normal 7 5 2 4 2 3" xfId="10635"/>
    <cellStyle name="Normal 7 5 2 4 2 4" xfId="19458"/>
    <cellStyle name="Normal 7 5 2 4 3" xfId="6832"/>
    <cellStyle name="Normal 7 5 2 4 3 2" xfId="15659"/>
    <cellStyle name="Normal 7 5 2 4 3 3" xfId="25910"/>
    <cellStyle name="Normal 7 5 2 4 4" xfId="8278"/>
    <cellStyle name="Normal 7 5 2 4 4 2" xfId="22360"/>
    <cellStyle name="Normal 7 5 2 4 5" xfId="17353"/>
    <cellStyle name="Normal 7 5 2 5" xfId="4331"/>
    <cellStyle name="Normal 7 5 2 5 2" xfId="13171"/>
    <cellStyle name="Normal 7 5 2 5 2 2" xfId="23422"/>
    <cellStyle name="Normal 7 5 2 5 3" xfId="9592"/>
    <cellStyle name="Normal 7 5 2 5 4" xfId="18415"/>
    <cellStyle name="Normal 7 5 2 6" xfId="1603"/>
    <cellStyle name="Normal 7 5 2 6 2" xfId="10982"/>
    <cellStyle name="Normal 7 5 2 6 3" xfId="20986"/>
    <cellStyle name="Normal 7 5 2 7" xfId="5789"/>
    <cellStyle name="Normal 7 5 2 7 2" xfId="14616"/>
    <cellStyle name="Normal 7 5 2 7 3" xfId="24867"/>
    <cellStyle name="Normal 7 5 2 8" xfId="7233"/>
    <cellStyle name="Normal 7 5 2 8 2" xfId="19959"/>
    <cellStyle name="Normal 7 5 2 9" xfId="15979"/>
    <cellStyle name="Normal 7 5 2_Degree data" xfId="4084"/>
    <cellStyle name="Normal 7 5 3" xfId="410"/>
    <cellStyle name="Normal 7 5 3 2" xfId="2897"/>
    <cellStyle name="Normal 7 5 3 2 2" xfId="12187"/>
    <cellStyle name="Normal 7 5 3 2 2 2" xfId="22260"/>
    <cellStyle name="Normal 7 5 3 2 3" xfId="8592"/>
    <cellStyle name="Normal 7 5 3 2 4" xfId="17253"/>
    <cellStyle name="Normal 7 5 3 3" xfId="4783"/>
    <cellStyle name="Normal 7 5 3 3 2" xfId="13622"/>
    <cellStyle name="Normal 7 5 3 3 2 2" xfId="23873"/>
    <cellStyle name="Normal 7 5 3 3 3" xfId="10043"/>
    <cellStyle name="Normal 7 5 3 3 4" xfId="18866"/>
    <cellStyle name="Normal 7 5 3 4" xfId="2006"/>
    <cellStyle name="Normal 7 5 3 4 2" xfId="11373"/>
    <cellStyle name="Normal 7 5 3 4 3" xfId="21377"/>
    <cellStyle name="Normal 7 5 3 5" xfId="6240"/>
    <cellStyle name="Normal 7 5 3 5 2" xfId="15067"/>
    <cellStyle name="Normal 7 5 3 5 3" xfId="25318"/>
    <cellStyle name="Normal 7 5 3 6" xfId="7686"/>
    <cellStyle name="Normal 7 5 3 6 2" xfId="19859"/>
    <cellStyle name="Normal 7 5 3 7" xfId="16370"/>
    <cellStyle name="Normal 7 5 4" xfId="976"/>
    <cellStyle name="Normal 7 5 4 2" xfId="3453"/>
    <cellStyle name="Normal 7 5 4 2 2" xfId="12597"/>
    <cellStyle name="Normal 7 5 4 2 2 2" xfId="22816"/>
    <cellStyle name="Normal 7 5 4 2 3" xfId="9019"/>
    <cellStyle name="Normal 7 5 4 2 4" xfId="17809"/>
    <cellStyle name="Normal 7 5 4 3" xfId="5131"/>
    <cellStyle name="Normal 7 5 4 3 2" xfId="13970"/>
    <cellStyle name="Normal 7 5 4 3 2 2" xfId="24221"/>
    <cellStyle name="Normal 7 5 4 3 3" xfId="10391"/>
    <cellStyle name="Normal 7 5 4 3 4" xfId="19214"/>
    <cellStyle name="Normal 7 5 4 4" xfId="2562"/>
    <cellStyle name="Normal 7 5 4 4 2" xfId="11929"/>
    <cellStyle name="Normal 7 5 4 4 3" xfId="21933"/>
    <cellStyle name="Normal 7 5 4 5" xfId="6588"/>
    <cellStyle name="Normal 7 5 4 5 2" xfId="15415"/>
    <cellStyle name="Normal 7 5 4 5 3" xfId="25666"/>
    <cellStyle name="Normal 7 5 4 6" xfId="8034"/>
    <cellStyle name="Normal 7 5 4 6 2" xfId="20415"/>
    <cellStyle name="Normal 7 5 4 7" xfId="16926"/>
    <cellStyle name="Normal 7 5 5" xfId="1182"/>
    <cellStyle name="Normal 7 5 5 2" xfId="3612"/>
    <cellStyle name="Normal 7 5 5 2 2" xfId="12750"/>
    <cellStyle name="Normal 7 5 5 2 2 2" xfId="22969"/>
    <cellStyle name="Normal 7 5 5 2 3" xfId="9171"/>
    <cellStyle name="Normal 7 5 5 2 4" xfId="17962"/>
    <cellStyle name="Normal 7 5 5 3" xfId="5275"/>
    <cellStyle name="Normal 7 5 5 3 2" xfId="14114"/>
    <cellStyle name="Normal 7 5 5 3 2 2" xfId="24365"/>
    <cellStyle name="Normal 7 5 5 3 3" xfId="10535"/>
    <cellStyle name="Normal 7 5 5 3 4" xfId="19358"/>
    <cellStyle name="Normal 7 5 5 4" xfId="1785"/>
    <cellStyle name="Normal 7 5 5 4 2" xfId="11156"/>
    <cellStyle name="Normal 7 5 5 4 3" xfId="21160"/>
    <cellStyle name="Normal 7 5 5 5" xfId="6732"/>
    <cellStyle name="Normal 7 5 5 5 2" xfId="15559"/>
    <cellStyle name="Normal 7 5 5 5 3" xfId="25810"/>
    <cellStyle name="Normal 7 5 5 6" xfId="8178"/>
    <cellStyle name="Normal 7 5 5 6 2" xfId="20568"/>
    <cellStyle name="Normal 7 5 5 7" xfId="16153"/>
    <cellStyle name="Normal 7 5 6" xfId="2680"/>
    <cellStyle name="Normal 7 5 6 2" xfId="11999"/>
    <cellStyle name="Normal 7 5 6 2 2" xfId="22043"/>
    <cellStyle name="Normal 7 5 6 3" xfId="8434"/>
    <cellStyle name="Normal 7 5 6 4" xfId="17036"/>
    <cellStyle name="Normal 7 5 7" xfId="4231"/>
    <cellStyle name="Normal 7 5 7 2" xfId="13071"/>
    <cellStyle name="Normal 7 5 7 2 2" xfId="23322"/>
    <cellStyle name="Normal 7 5 7 3" xfId="9492"/>
    <cellStyle name="Normal 7 5 7 4" xfId="18315"/>
    <cellStyle name="Normal 7 5 8" xfId="1503"/>
    <cellStyle name="Normal 7 5 8 2" xfId="10882"/>
    <cellStyle name="Normal 7 5 8 3" xfId="20886"/>
    <cellStyle name="Normal 7 5 9" xfId="5689"/>
    <cellStyle name="Normal 7 5 9 2" xfId="14516"/>
    <cellStyle name="Normal 7 5 9 3" xfId="24767"/>
    <cellStyle name="Normal 7 5_Degree data" xfId="4083"/>
    <cellStyle name="Normal 7 6" xfId="235"/>
    <cellStyle name="Normal 7 6 10" xfId="7076"/>
    <cellStyle name="Normal 7 6 10 2" xfId="19690"/>
    <cellStyle name="Normal 7 6 11" xfId="15822"/>
    <cellStyle name="Normal 7 6 2" xfId="558"/>
    <cellStyle name="Normal 7 6 2 2" xfId="979"/>
    <cellStyle name="Normal 7 6 2 2 2" xfId="3456"/>
    <cellStyle name="Normal 7 6 2 2 2 2" xfId="12600"/>
    <cellStyle name="Normal 7 6 2 2 2 2 2" xfId="22819"/>
    <cellStyle name="Normal 7 6 2 2 2 3" xfId="9022"/>
    <cellStyle name="Normal 7 6 2 2 2 4" xfId="17812"/>
    <cellStyle name="Normal 7 6 2 2 3" xfId="4786"/>
    <cellStyle name="Normal 7 6 2 2 3 2" xfId="13625"/>
    <cellStyle name="Normal 7 6 2 2 3 2 2" xfId="23876"/>
    <cellStyle name="Normal 7 6 2 2 3 3" xfId="10046"/>
    <cellStyle name="Normal 7 6 2 2 3 4" xfId="18869"/>
    <cellStyle name="Normal 7 6 2 2 4" xfId="2565"/>
    <cellStyle name="Normal 7 6 2 2 4 2" xfId="11932"/>
    <cellStyle name="Normal 7 6 2 2 4 3" xfId="21936"/>
    <cellStyle name="Normal 7 6 2 2 5" xfId="6243"/>
    <cellStyle name="Normal 7 6 2 2 5 2" xfId="15070"/>
    <cellStyle name="Normal 7 6 2 2 5 3" xfId="25321"/>
    <cellStyle name="Normal 7 6 2 2 6" xfId="7689"/>
    <cellStyle name="Normal 7 6 2 2 6 2" xfId="20418"/>
    <cellStyle name="Normal 7 6 2 2 7" xfId="16929"/>
    <cellStyle name="Normal 7 6 2 3" xfId="1330"/>
    <cellStyle name="Normal 7 6 2 3 2" xfId="3760"/>
    <cellStyle name="Normal 7 6 2 3 2 2" xfId="12898"/>
    <cellStyle name="Normal 7 6 2 3 2 2 2" xfId="23117"/>
    <cellStyle name="Normal 7 6 2 3 2 3" xfId="9319"/>
    <cellStyle name="Normal 7 6 2 3 2 4" xfId="18110"/>
    <cellStyle name="Normal 7 6 2 3 3" xfId="5134"/>
    <cellStyle name="Normal 7 6 2 3 3 2" xfId="13973"/>
    <cellStyle name="Normal 7 6 2 3 3 2 2" xfId="24224"/>
    <cellStyle name="Normal 7 6 2 3 3 3" xfId="10394"/>
    <cellStyle name="Normal 7 6 2 3 3 4" xfId="19217"/>
    <cellStyle name="Normal 7 6 2 3 4" xfId="2154"/>
    <cellStyle name="Normal 7 6 2 3 4 2" xfId="11521"/>
    <cellStyle name="Normal 7 6 2 3 4 3" xfId="21525"/>
    <cellStyle name="Normal 7 6 2 3 5" xfId="6591"/>
    <cellStyle name="Normal 7 6 2 3 5 2" xfId="15418"/>
    <cellStyle name="Normal 7 6 2 3 5 3" xfId="25669"/>
    <cellStyle name="Normal 7 6 2 3 6" xfId="8037"/>
    <cellStyle name="Normal 7 6 2 3 6 2" xfId="20716"/>
    <cellStyle name="Normal 7 6 2 3 7" xfId="16518"/>
    <cellStyle name="Normal 7 6 2 4" xfId="3045"/>
    <cellStyle name="Normal 7 6 2 4 2" xfId="5423"/>
    <cellStyle name="Normal 7 6 2 4 2 2" xfId="14262"/>
    <cellStyle name="Normal 7 6 2 4 2 2 2" xfId="24513"/>
    <cellStyle name="Normal 7 6 2 4 2 3" xfId="10683"/>
    <cellStyle name="Normal 7 6 2 4 2 4" xfId="19506"/>
    <cellStyle name="Normal 7 6 2 4 3" xfId="6880"/>
    <cellStyle name="Normal 7 6 2 4 3 2" xfId="15707"/>
    <cellStyle name="Normal 7 6 2 4 3 3" xfId="25958"/>
    <cellStyle name="Normal 7 6 2 4 4" xfId="8326"/>
    <cellStyle name="Normal 7 6 2 4 4 2" xfId="22408"/>
    <cellStyle name="Normal 7 6 2 4 5" xfId="17401"/>
    <cellStyle name="Normal 7 6 2 5" xfId="4379"/>
    <cellStyle name="Normal 7 6 2 5 2" xfId="13219"/>
    <cellStyle name="Normal 7 6 2 5 2 2" xfId="23470"/>
    <cellStyle name="Normal 7 6 2 5 3" xfId="9640"/>
    <cellStyle name="Normal 7 6 2 5 4" xfId="18463"/>
    <cellStyle name="Normal 7 6 2 6" xfId="1651"/>
    <cellStyle name="Normal 7 6 2 6 2" xfId="11030"/>
    <cellStyle name="Normal 7 6 2 6 3" xfId="21034"/>
    <cellStyle name="Normal 7 6 2 7" xfId="5837"/>
    <cellStyle name="Normal 7 6 2 7 2" xfId="14664"/>
    <cellStyle name="Normal 7 6 2 7 3" xfId="24915"/>
    <cellStyle name="Normal 7 6 2 8" xfId="7281"/>
    <cellStyle name="Normal 7 6 2 8 2" xfId="20007"/>
    <cellStyle name="Normal 7 6 2 9" xfId="16027"/>
    <cellStyle name="Normal 7 6 2_Degree data" xfId="4086"/>
    <cellStyle name="Normal 7 6 3" xfId="353"/>
    <cellStyle name="Normal 7 6 3 2" xfId="2840"/>
    <cellStyle name="Normal 7 6 3 2 2" xfId="12130"/>
    <cellStyle name="Normal 7 6 3 2 2 2" xfId="22203"/>
    <cellStyle name="Normal 7 6 3 2 3" xfId="8439"/>
    <cellStyle name="Normal 7 6 3 2 4" xfId="17196"/>
    <cellStyle name="Normal 7 6 3 3" xfId="4785"/>
    <cellStyle name="Normal 7 6 3 3 2" xfId="13624"/>
    <cellStyle name="Normal 7 6 3 3 2 2" xfId="23875"/>
    <cellStyle name="Normal 7 6 3 3 3" xfId="10045"/>
    <cellStyle name="Normal 7 6 3 3 4" xfId="18868"/>
    <cellStyle name="Normal 7 6 3 4" xfId="1949"/>
    <cellStyle name="Normal 7 6 3 4 2" xfId="11316"/>
    <cellStyle name="Normal 7 6 3 4 3" xfId="21320"/>
    <cellStyle name="Normal 7 6 3 5" xfId="6242"/>
    <cellStyle name="Normal 7 6 3 5 2" xfId="15069"/>
    <cellStyle name="Normal 7 6 3 5 3" xfId="25320"/>
    <cellStyle name="Normal 7 6 3 6" xfId="7688"/>
    <cellStyle name="Normal 7 6 3 6 2" xfId="19802"/>
    <cellStyle name="Normal 7 6 3 7" xfId="16313"/>
    <cellStyle name="Normal 7 6 4" xfId="978"/>
    <cellStyle name="Normal 7 6 4 2" xfId="3455"/>
    <cellStyle name="Normal 7 6 4 2 2" xfId="12599"/>
    <cellStyle name="Normal 7 6 4 2 2 2" xfId="22818"/>
    <cellStyle name="Normal 7 6 4 2 3" xfId="9021"/>
    <cellStyle name="Normal 7 6 4 2 4" xfId="17811"/>
    <cellStyle name="Normal 7 6 4 3" xfId="5133"/>
    <cellStyle name="Normal 7 6 4 3 2" xfId="13972"/>
    <cellStyle name="Normal 7 6 4 3 2 2" xfId="24223"/>
    <cellStyle name="Normal 7 6 4 3 3" xfId="10393"/>
    <cellStyle name="Normal 7 6 4 3 4" xfId="19216"/>
    <cellStyle name="Normal 7 6 4 4" xfId="2564"/>
    <cellStyle name="Normal 7 6 4 4 2" xfId="11931"/>
    <cellStyle name="Normal 7 6 4 4 3" xfId="21935"/>
    <cellStyle name="Normal 7 6 4 5" xfId="6590"/>
    <cellStyle name="Normal 7 6 4 5 2" xfId="15417"/>
    <cellStyle name="Normal 7 6 4 5 3" xfId="25668"/>
    <cellStyle name="Normal 7 6 4 6" xfId="8036"/>
    <cellStyle name="Normal 7 6 4 6 2" xfId="20417"/>
    <cellStyle name="Normal 7 6 4 7" xfId="16928"/>
    <cellStyle name="Normal 7 6 5" xfId="1125"/>
    <cellStyle name="Normal 7 6 5 2" xfId="3555"/>
    <cellStyle name="Normal 7 6 5 2 2" xfId="12693"/>
    <cellStyle name="Normal 7 6 5 2 2 2" xfId="22912"/>
    <cellStyle name="Normal 7 6 5 2 3" xfId="9114"/>
    <cellStyle name="Normal 7 6 5 2 4" xfId="17905"/>
    <cellStyle name="Normal 7 6 5 3" xfId="5218"/>
    <cellStyle name="Normal 7 6 5 3 2" xfId="14057"/>
    <cellStyle name="Normal 7 6 5 3 2 2" xfId="24308"/>
    <cellStyle name="Normal 7 6 5 3 3" xfId="10478"/>
    <cellStyle name="Normal 7 6 5 3 4" xfId="19301"/>
    <cellStyle name="Normal 7 6 5 4" xfId="1834"/>
    <cellStyle name="Normal 7 6 5 4 2" xfId="11204"/>
    <cellStyle name="Normal 7 6 5 4 3" xfId="21208"/>
    <cellStyle name="Normal 7 6 5 5" xfId="6675"/>
    <cellStyle name="Normal 7 6 5 5 2" xfId="15502"/>
    <cellStyle name="Normal 7 6 5 5 3" xfId="25753"/>
    <cellStyle name="Normal 7 6 5 6" xfId="8121"/>
    <cellStyle name="Normal 7 6 5 6 2" xfId="20511"/>
    <cellStyle name="Normal 7 6 5 7" xfId="16201"/>
    <cellStyle name="Normal 7 6 6" xfId="2728"/>
    <cellStyle name="Normal 7 6 6 2" xfId="12047"/>
    <cellStyle name="Normal 7 6 6 2 2" xfId="22091"/>
    <cellStyle name="Normal 7 6 6 3" xfId="8605"/>
    <cellStyle name="Normal 7 6 6 4" xfId="17084"/>
    <cellStyle name="Normal 7 6 7" xfId="4174"/>
    <cellStyle name="Normal 7 6 7 2" xfId="13014"/>
    <cellStyle name="Normal 7 6 7 2 2" xfId="23265"/>
    <cellStyle name="Normal 7 6 7 3" xfId="9435"/>
    <cellStyle name="Normal 7 6 7 4" xfId="18258"/>
    <cellStyle name="Normal 7 6 8" xfId="1446"/>
    <cellStyle name="Normal 7 6 8 2" xfId="10825"/>
    <cellStyle name="Normal 7 6 8 3" xfId="20829"/>
    <cellStyle name="Normal 7 6 9" xfId="5632"/>
    <cellStyle name="Normal 7 6 9 2" xfId="14459"/>
    <cellStyle name="Normal 7 6 9 3" xfId="24710"/>
    <cellStyle name="Normal 7 6_Degree data" xfId="4085"/>
    <cellStyle name="Normal 7 7" xfId="292"/>
    <cellStyle name="Normal 7 7 10" xfId="16083"/>
    <cellStyle name="Normal 7 7 2" xfId="614"/>
    <cellStyle name="Normal 7 7 2 2" xfId="3101"/>
    <cellStyle name="Normal 7 7 2 2 2" xfId="12246"/>
    <cellStyle name="Normal 7 7 2 2 2 2" xfId="22464"/>
    <cellStyle name="Normal 7 7 2 2 3" xfId="8668"/>
    <cellStyle name="Normal 7 7 2 2 4" xfId="17457"/>
    <cellStyle name="Normal 7 7 2 3" xfId="4787"/>
    <cellStyle name="Normal 7 7 2 3 2" xfId="13626"/>
    <cellStyle name="Normal 7 7 2 3 2 2" xfId="23877"/>
    <cellStyle name="Normal 7 7 2 3 3" xfId="10047"/>
    <cellStyle name="Normal 7 7 2 3 4" xfId="18870"/>
    <cellStyle name="Normal 7 7 2 4" xfId="2210"/>
    <cellStyle name="Normal 7 7 2 4 2" xfId="11577"/>
    <cellStyle name="Normal 7 7 2 4 3" xfId="21581"/>
    <cellStyle name="Normal 7 7 2 5" xfId="6244"/>
    <cellStyle name="Normal 7 7 2 5 2" xfId="15071"/>
    <cellStyle name="Normal 7 7 2 5 3" xfId="25322"/>
    <cellStyle name="Normal 7 7 2 6" xfId="7690"/>
    <cellStyle name="Normal 7 7 2 6 2" xfId="20063"/>
    <cellStyle name="Normal 7 7 2 7" xfId="16574"/>
    <cellStyle name="Normal 7 7 3" xfId="980"/>
    <cellStyle name="Normal 7 7 3 2" xfId="3457"/>
    <cellStyle name="Normal 7 7 3 2 2" xfId="12601"/>
    <cellStyle name="Normal 7 7 3 2 2 2" xfId="22820"/>
    <cellStyle name="Normal 7 7 3 2 3" xfId="9023"/>
    <cellStyle name="Normal 7 7 3 2 4" xfId="17813"/>
    <cellStyle name="Normal 7 7 3 3" xfId="5135"/>
    <cellStyle name="Normal 7 7 3 3 2" xfId="13974"/>
    <cellStyle name="Normal 7 7 3 3 2 2" xfId="24225"/>
    <cellStyle name="Normal 7 7 3 3 3" xfId="10395"/>
    <cellStyle name="Normal 7 7 3 3 4" xfId="19218"/>
    <cellStyle name="Normal 7 7 3 4" xfId="2566"/>
    <cellStyle name="Normal 7 7 3 4 2" xfId="11933"/>
    <cellStyle name="Normal 7 7 3 4 3" xfId="21937"/>
    <cellStyle name="Normal 7 7 3 5" xfId="6592"/>
    <cellStyle name="Normal 7 7 3 5 2" xfId="15419"/>
    <cellStyle name="Normal 7 7 3 5 3" xfId="25670"/>
    <cellStyle name="Normal 7 7 3 6" xfId="8038"/>
    <cellStyle name="Normal 7 7 3 6 2" xfId="20419"/>
    <cellStyle name="Normal 7 7 3 7" xfId="16930"/>
    <cellStyle name="Normal 7 7 4" xfId="1386"/>
    <cellStyle name="Normal 7 7 4 2" xfId="3816"/>
    <cellStyle name="Normal 7 7 4 2 2" xfId="12954"/>
    <cellStyle name="Normal 7 7 4 2 2 2" xfId="23173"/>
    <cellStyle name="Normal 7 7 4 2 3" xfId="9375"/>
    <cellStyle name="Normal 7 7 4 2 4" xfId="18166"/>
    <cellStyle name="Normal 7 7 4 3" xfId="5479"/>
    <cellStyle name="Normal 7 7 4 3 2" xfId="14318"/>
    <cellStyle name="Normal 7 7 4 3 2 2" xfId="24569"/>
    <cellStyle name="Normal 7 7 4 3 3" xfId="10739"/>
    <cellStyle name="Normal 7 7 4 3 4" xfId="19562"/>
    <cellStyle name="Normal 7 7 4 4" xfId="1890"/>
    <cellStyle name="Normal 7 7 4 4 2" xfId="11260"/>
    <cellStyle name="Normal 7 7 4 4 3" xfId="21264"/>
    <cellStyle name="Normal 7 7 4 5" xfId="6936"/>
    <cellStyle name="Normal 7 7 4 5 2" xfId="15763"/>
    <cellStyle name="Normal 7 7 4 5 3" xfId="26014"/>
    <cellStyle name="Normal 7 7 4 6" xfId="8382"/>
    <cellStyle name="Normal 7 7 4 6 2" xfId="20772"/>
    <cellStyle name="Normal 7 7 4 7" xfId="16257"/>
    <cellStyle name="Normal 7 7 5" xfId="2784"/>
    <cellStyle name="Normal 7 7 5 2" xfId="12103"/>
    <cellStyle name="Normal 7 7 5 2 2" xfId="22147"/>
    <cellStyle name="Normal 7 7 5 3" xfId="8485"/>
    <cellStyle name="Normal 7 7 5 4" xfId="17140"/>
    <cellStyle name="Normal 7 7 6" xfId="4435"/>
    <cellStyle name="Normal 7 7 6 2" xfId="13275"/>
    <cellStyle name="Normal 7 7 6 2 2" xfId="23526"/>
    <cellStyle name="Normal 7 7 6 3" xfId="9696"/>
    <cellStyle name="Normal 7 7 6 4" xfId="18519"/>
    <cellStyle name="Normal 7 7 7" xfId="1707"/>
    <cellStyle name="Normal 7 7 7 2" xfId="11086"/>
    <cellStyle name="Normal 7 7 7 3" xfId="21090"/>
    <cellStyle name="Normal 7 7 8" xfId="5893"/>
    <cellStyle name="Normal 7 7 8 2" xfId="14720"/>
    <cellStyle name="Normal 7 7 8 3" xfId="24971"/>
    <cellStyle name="Normal 7 7 9" xfId="7337"/>
    <cellStyle name="Normal 7 7 9 2" xfId="19746"/>
    <cellStyle name="Normal 7 7_Degree data" xfId="4087"/>
    <cellStyle name="Normal 7 8" xfId="453"/>
    <cellStyle name="Normal 7 8 2" xfId="981"/>
    <cellStyle name="Normal 7 8 2 2" xfId="3458"/>
    <cellStyle name="Normal 7 8 2 2 2" xfId="12602"/>
    <cellStyle name="Normal 7 8 2 2 2 2" xfId="22821"/>
    <cellStyle name="Normal 7 8 2 2 3" xfId="9024"/>
    <cellStyle name="Normal 7 8 2 2 4" xfId="17814"/>
    <cellStyle name="Normal 7 8 2 3" xfId="4788"/>
    <cellStyle name="Normal 7 8 2 3 2" xfId="13627"/>
    <cellStyle name="Normal 7 8 2 3 2 2" xfId="23878"/>
    <cellStyle name="Normal 7 8 2 3 3" xfId="10048"/>
    <cellStyle name="Normal 7 8 2 3 4" xfId="18871"/>
    <cellStyle name="Normal 7 8 2 4" xfId="2567"/>
    <cellStyle name="Normal 7 8 2 4 2" xfId="11934"/>
    <cellStyle name="Normal 7 8 2 4 3" xfId="21938"/>
    <cellStyle name="Normal 7 8 2 5" xfId="6245"/>
    <cellStyle name="Normal 7 8 2 5 2" xfId="15072"/>
    <cellStyle name="Normal 7 8 2 5 3" xfId="25323"/>
    <cellStyle name="Normal 7 8 2 6" xfId="7691"/>
    <cellStyle name="Normal 7 8 2 6 2" xfId="20420"/>
    <cellStyle name="Normal 7 8 2 7" xfId="16931"/>
    <cellStyle name="Normal 7 8 3" xfId="1225"/>
    <cellStyle name="Normal 7 8 3 2" xfId="3655"/>
    <cellStyle name="Normal 7 8 3 2 2" xfId="12793"/>
    <cellStyle name="Normal 7 8 3 2 2 2" xfId="23012"/>
    <cellStyle name="Normal 7 8 3 2 3" xfId="9214"/>
    <cellStyle name="Normal 7 8 3 2 4" xfId="18005"/>
    <cellStyle name="Normal 7 8 3 3" xfId="5136"/>
    <cellStyle name="Normal 7 8 3 3 2" xfId="13975"/>
    <cellStyle name="Normal 7 8 3 3 2 2" xfId="24226"/>
    <cellStyle name="Normal 7 8 3 3 3" xfId="10396"/>
    <cellStyle name="Normal 7 8 3 3 4" xfId="19219"/>
    <cellStyle name="Normal 7 8 3 4" xfId="2049"/>
    <cellStyle name="Normal 7 8 3 4 2" xfId="11416"/>
    <cellStyle name="Normal 7 8 3 4 3" xfId="21420"/>
    <cellStyle name="Normal 7 8 3 5" xfId="6593"/>
    <cellStyle name="Normal 7 8 3 5 2" xfId="15420"/>
    <cellStyle name="Normal 7 8 3 5 3" xfId="25671"/>
    <cellStyle name="Normal 7 8 3 6" xfId="8039"/>
    <cellStyle name="Normal 7 8 3 6 2" xfId="20611"/>
    <cellStyle name="Normal 7 8 3 7" xfId="16413"/>
    <cellStyle name="Normal 7 8 4" xfId="2940"/>
    <cellStyle name="Normal 7 8 4 2" xfId="5318"/>
    <cellStyle name="Normal 7 8 4 2 2" xfId="14157"/>
    <cellStyle name="Normal 7 8 4 2 2 2" xfId="24408"/>
    <cellStyle name="Normal 7 8 4 2 3" xfId="10578"/>
    <cellStyle name="Normal 7 8 4 2 4" xfId="19401"/>
    <cellStyle name="Normal 7 8 4 3" xfId="6775"/>
    <cellStyle name="Normal 7 8 4 3 2" xfId="15602"/>
    <cellStyle name="Normal 7 8 4 3 3" xfId="25853"/>
    <cellStyle name="Normal 7 8 4 4" xfId="8221"/>
    <cellStyle name="Normal 7 8 4 4 2" xfId="22303"/>
    <cellStyle name="Normal 7 8 4 5" xfId="17296"/>
    <cellStyle name="Normal 7 8 5" xfId="4274"/>
    <cellStyle name="Normal 7 8 5 2" xfId="13114"/>
    <cellStyle name="Normal 7 8 5 2 2" xfId="23365"/>
    <cellStyle name="Normal 7 8 5 3" xfId="9535"/>
    <cellStyle name="Normal 7 8 5 4" xfId="18358"/>
    <cellStyle name="Normal 7 8 6" xfId="1546"/>
    <cellStyle name="Normal 7 8 6 2" xfId="10925"/>
    <cellStyle name="Normal 7 8 6 3" xfId="20929"/>
    <cellStyle name="Normal 7 8 7" xfId="5732"/>
    <cellStyle name="Normal 7 8 7 2" xfId="14559"/>
    <cellStyle name="Normal 7 8 7 3" xfId="24810"/>
    <cellStyle name="Normal 7 8 8" xfId="7176"/>
    <cellStyle name="Normal 7 8 8 2" xfId="19902"/>
    <cellStyle name="Normal 7 8 9" xfId="15922"/>
    <cellStyle name="Normal 7 8_Degree data" xfId="4088"/>
    <cellStyle name="Normal 7 9" xfId="314"/>
    <cellStyle name="Normal 7 9 2" xfId="982"/>
    <cellStyle name="Normal 7 9 2 2" xfId="3459"/>
    <cellStyle name="Normal 7 9 2 2 2" xfId="12603"/>
    <cellStyle name="Normal 7 9 2 2 2 2" xfId="22822"/>
    <cellStyle name="Normal 7 9 2 2 3" xfId="9025"/>
    <cellStyle name="Normal 7 9 2 2 4" xfId="17815"/>
    <cellStyle name="Normal 7 9 2 3" xfId="4789"/>
    <cellStyle name="Normal 7 9 2 3 2" xfId="13628"/>
    <cellStyle name="Normal 7 9 2 3 2 2" xfId="23879"/>
    <cellStyle name="Normal 7 9 2 3 3" xfId="10049"/>
    <cellStyle name="Normal 7 9 2 3 4" xfId="18872"/>
    <cellStyle name="Normal 7 9 2 4" xfId="2568"/>
    <cellStyle name="Normal 7 9 2 4 2" xfId="11935"/>
    <cellStyle name="Normal 7 9 2 4 3" xfId="21939"/>
    <cellStyle name="Normal 7 9 2 5" xfId="6246"/>
    <cellStyle name="Normal 7 9 2 5 2" xfId="15073"/>
    <cellStyle name="Normal 7 9 2 5 3" xfId="25324"/>
    <cellStyle name="Normal 7 9 2 6" xfId="7692"/>
    <cellStyle name="Normal 7 9 2 6 2" xfId="20421"/>
    <cellStyle name="Normal 7 9 2 7" xfId="16932"/>
    <cellStyle name="Normal 7 9 3" xfId="1086"/>
    <cellStyle name="Normal 7 9 3 2" xfId="3516"/>
    <cellStyle name="Normal 7 9 3 2 2" xfId="12654"/>
    <cellStyle name="Normal 7 9 3 2 2 2" xfId="22873"/>
    <cellStyle name="Normal 7 9 3 2 3" xfId="9076"/>
    <cellStyle name="Normal 7 9 3 2 4" xfId="17866"/>
    <cellStyle name="Normal 7 9 3 3" xfId="5137"/>
    <cellStyle name="Normal 7 9 3 3 2" xfId="13976"/>
    <cellStyle name="Normal 7 9 3 3 2 2" xfId="24227"/>
    <cellStyle name="Normal 7 9 3 3 3" xfId="10397"/>
    <cellStyle name="Normal 7 9 3 3 4" xfId="19220"/>
    <cellStyle name="Normal 7 9 3 4" xfId="2610"/>
    <cellStyle name="Normal 7 9 3 4 2" xfId="11976"/>
    <cellStyle name="Normal 7 9 3 4 3" xfId="21980"/>
    <cellStyle name="Normal 7 9 3 5" xfId="6594"/>
    <cellStyle name="Normal 7 9 3 5 2" xfId="15421"/>
    <cellStyle name="Normal 7 9 3 5 3" xfId="25672"/>
    <cellStyle name="Normal 7 9 3 6" xfId="8040"/>
    <cellStyle name="Normal 7 9 3 6 2" xfId="20472"/>
    <cellStyle name="Normal 7 9 3 7" xfId="16973"/>
    <cellStyle name="Normal 7 9 4" xfId="2801"/>
    <cellStyle name="Normal 7 9 4 2" xfId="5179"/>
    <cellStyle name="Normal 7 9 4 2 2" xfId="14018"/>
    <cellStyle name="Normal 7 9 4 2 2 2" xfId="24269"/>
    <cellStyle name="Normal 7 9 4 2 3" xfId="10439"/>
    <cellStyle name="Normal 7 9 4 2 4" xfId="19262"/>
    <cellStyle name="Normal 7 9 4 3" xfId="6636"/>
    <cellStyle name="Normal 7 9 4 3 2" xfId="15463"/>
    <cellStyle name="Normal 7 9 4 3 3" xfId="25714"/>
    <cellStyle name="Normal 7 9 4 4" xfId="8082"/>
    <cellStyle name="Normal 7 9 4 4 2" xfId="22164"/>
    <cellStyle name="Normal 7 9 4 5" xfId="17157"/>
    <cellStyle name="Normal 7 9 5" xfId="4133"/>
    <cellStyle name="Normal 7 9 5 2" xfId="12973"/>
    <cellStyle name="Normal 7 9 5 2 2" xfId="23224"/>
    <cellStyle name="Normal 7 9 5 3" xfId="9394"/>
    <cellStyle name="Normal 7 9 5 4" xfId="18217"/>
    <cellStyle name="Normal 7 9 6" xfId="1910"/>
    <cellStyle name="Normal 7 9 6 2" xfId="11277"/>
    <cellStyle name="Normal 7 9 6 3" xfId="21281"/>
    <cellStyle name="Normal 7 9 7" xfId="5593"/>
    <cellStyle name="Normal 7 9 7 2" xfId="14420"/>
    <cellStyle name="Normal 7 9 7 3" xfId="24671"/>
    <cellStyle name="Normal 7 9 8" xfId="7037"/>
    <cellStyle name="Normal 7 9 8 2" xfId="19763"/>
    <cellStyle name="Normal 7 9 9" xfId="16274"/>
    <cellStyle name="Normal 7 9_Degree data" xfId="4089"/>
    <cellStyle name="Normal 7_Degree data" xfId="4056"/>
    <cellStyle name="Normal 70" xfId="302"/>
    <cellStyle name="Normal 70 2" xfId="983"/>
    <cellStyle name="Normal 70 2 2" xfId="3460"/>
    <cellStyle name="Normal 70 2 2 2" xfId="12604"/>
    <cellStyle name="Normal 70 2 2 2 2" xfId="22823"/>
    <cellStyle name="Normal 70 2 2 3" xfId="9026"/>
    <cellStyle name="Normal 70 2 2 4" xfId="17816"/>
    <cellStyle name="Normal 70 2 3" xfId="5495"/>
    <cellStyle name="Normal 70 2 3 2" xfId="14333"/>
    <cellStyle name="Normal 70 2 3 2 2" xfId="24584"/>
    <cellStyle name="Normal 70 2 3 3" xfId="10754"/>
    <cellStyle name="Normal 70 2 3 4" xfId="19577"/>
    <cellStyle name="Normal 70 2 4" xfId="2569"/>
    <cellStyle name="Normal 70 2 4 2" xfId="11936"/>
    <cellStyle name="Normal 70 2 4 3" xfId="21940"/>
    <cellStyle name="Normal 70 2 5" xfId="10766"/>
    <cellStyle name="Normal 70 2 5 2" xfId="20422"/>
    <cellStyle name="Normal 70 2 6" xfId="8576"/>
    <cellStyle name="Normal 70 2 7" xfId="16933"/>
    <cellStyle name="Normal 70 3" xfId="1898"/>
    <cellStyle name="Normal 71" xfId="59"/>
    <cellStyle name="Normal 72" xfId="60"/>
    <cellStyle name="Normal 73" xfId="303"/>
    <cellStyle name="Normal 73 2" xfId="984"/>
    <cellStyle name="Normal 73 2 2" xfId="3461"/>
    <cellStyle name="Normal 73 2 2 2" xfId="12605"/>
    <cellStyle name="Normal 73 2 2 2 2" xfId="22824"/>
    <cellStyle name="Normal 73 2 2 3" xfId="9027"/>
    <cellStyle name="Normal 73 2 2 4" xfId="17817"/>
    <cellStyle name="Normal 73 2 3" xfId="5493"/>
    <cellStyle name="Normal 73 2 3 2" xfId="14331"/>
    <cellStyle name="Normal 73 2 3 2 2" xfId="24582"/>
    <cellStyle name="Normal 73 2 3 3" xfId="10752"/>
    <cellStyle name="Normal 73 2 3 4" xfId="19575"/>
    <cellStyle name="Normal 73 2 4" xfId="2570"/>
    <cellStyle name="Normal 73 2 4 2" xfId="11937"/>
    <cellStyle name="Normal 73 2 4 3" xfId="21941"/>
    <cellStyle name="Normal 73 2 5" xfId="10767"/>
    <cellStyle name="Normal 73 2 5 2" xfId="20423"/>
    <cellStyle name="Normal 73 2 6" xfId="8515"/>
    <cellStyle name="Normal 73 2 7" xfId="16934"/>
    <cellStyle name="Normal 73 3" xfId="1899"/>
    <cellStyle name="Normal 74" xfId="985"/>
    <cellStyle name="Normal 74 2" xfId="3462"/>
    <cellStyle name="Normal 74 2 2" xfId="12606"/>
    <cellStyle name="Normal 74 2 2 2" xfId="22825"/>
    <cellStyle name="Normal 74 2 3" xfId="9028"/>
    <cellStyle name="Normal 74 2 4" xfId="17818"/>
    <cellStyle name="Normal 74 3" xfId="5491"/>
    <cellStyle name="Normal 74 3 2" xfId="14330"/>
    <cellStyle name="Normal 74 3 2 2" xfId="24581"/>
    <cellStyle name="Normal 74 3 3" xfId="10751"/>
    <cellStyle name="Normal 74 3 4" xfId="19574"/>
    <cellStyle name="Normal 74 4" xfId="2571"/>
    <cellStyle name="Normal 74 4 2" xfId="11938"/>
    <cellStyle name="Normal 74 4 3" xfId="21942"/>
    <cellStyle name="Normal 74 5" xfId="10768"/>
    <cellStyle name="Normal 74 5 2" xfId="20424"/>
    <cellStyle name="Normal 74 6" xfId="8450"/>
    <cellStyle name="Normal 74 7" xfId="16935"/>
    <cellStyle name="Normal 75" xfId="986"/>
    <cellStyle name="Normal 75 2" xfId="3463"/>
    <cellStyle name="Normal 75 2 2" xfId="12607"/>
    <cellStyle name="Normal 75 2 2 2" xfId="22826"/>
    <cellStyle name="Normal 75 2 3" xfId="9029"/>
    <cellStyle name="Normal 75 2 4" xfId="17819"/>
    <cellStyle name="Normal 75 3" xfId="5488"/>
    <cellStyle name="Normal 75 3 2" xfId="14327"/>
    <cellStyle name="Normal 75 3 2 2" xfId="24578"/>
    <cellStyle name="Normal 75 3 3" xfId="10748"/>
    <cellStyle name="Normal 75 3 4" xfId="19571"/>
    <cellStyle name="Normal 75 4" xfId="2572"/>
    <cellStyle name="Normal 75 4 2" xfId="11939"/>
    <cellStyle name="Normal 75 4 3" xfId="21943"/>
    <cellStyle name="Normal 75 5" xfId="10769"/>
    <cellStyle name="Normal 75 5 2" xfId="20425"/>
    <cellStyle name="Normal 75 6" xfId="8411"/>
    <cellStyle name="Normal 75 7" xfId="16936"/>
    <cellStyle name="Normal 76" xfId="987"/>
    <cellStyle name="Normal 76 2" xfId="3464"/>
    <cellStyle name="Normal 76 2 2" xfId="12608"/>
    <cellStyle name="Normal 76 2 2 2" xfId="22827"/>
    <cellStyle name="Normal 76 2 3" xfId="9030"/>
    <cellStyle name="Normal 76 2 4" xfId="17820"/>
    <cellStyle name="Normal 76 3" xfId="5487"/>
    <cellStyle name="Normal 76 3 2" xfId="14326"/>
    <cellStyle name="Normal 76 3 2 2" xfId="24577"/>
    <cellStyle name="Normal 76 3 3" xfId="10747"/>
    <cellStyle name="Normal 76 3 4" xfId="19570"/>
    <cellStyle name="Normal 76 4" xfId="2573"/>
    <cellStyle name="Normal 76 4 2" xfId="11940"/>
    <cellStyle name="Normal 76 4 3" xfId="21944"/>
    <cellStyle name="Normal 76 5" xfId="10770"/>
    <cellStyle name="Normal 76 5 2" xfId="20426"/>
    <cellStyle name="Normal 76 6" xfId="8606"/>
    <cellStyle name="Normal 76 7" xfId="16937"/>
    <cellStyle name="Normal 77" xfId="622"/>
    <cellStyle name="Normal 77 2" xfId="3109"/>
    <cellStyle name="Normal 77 2 2" xfId="12254"/>
    <cellStyle name="Normal 77 2 2 2" xfId="22472"/>
    <cellStyle name="Normal 77 2 3" xfId="8676"/>
    <cellStyle name="Normal 77 2 4" xfId="17465"/>
    <cellStyle name="Normal 77 3" xfId="5496"/>
    <cellStyle name="Normal 77 3 2" xfId="14334"/>
    <cellStyle name="Normal 77 3 2 2" xfId="24585"/>
    <cellStyle name="Normal 77 3 3" xfId="10755"/>
    <cellStyle name="Normal 77 3 4" xfId="19578"/>
    <cellStyle name="Normal 77 4" xfId="2218"/>
    <cellStyle name="Normal 77 4 2" xfId="11585"/>
    <cellStyle name="Normal 77 4 3" xfId="21589"/>
    <cellStyle name="Normal 77 5" xfId="10762"/>
    <cellStyle name="Normal 77 5 2" xfId="20071"/>
    <cellStyle name="Normal 77 6" xfId="8577"/>
    <cellStyle name="Normal 77 7" xfId="16582"/>
    <cellStyle name="Normal 78" xfId="988"/>
    <cellStyle name="Normal 78 2" xfId="3465"/>
    <cellStyle name="Normal 78 2 2" xfId="12609"/>
    <cellStyle name="Normal 78 2 2 2" xfId="22828"/>
    <cellStyle name="Normal 78 2 3" xfId="9031"/>
    <cellStyle name="Normal 78 2 4" xfId="17821"/>
    <cellStyle name="Normal 78 3" xfId="4169"/>
    <cellStyle name="Normal 78 3 2" xfId="13009"/>
    <cellStyle name="Normal 78 3 2 2" xfId="23260"/>
    <cellStyle name="Normal 78 3 3" xfId="9430"/>
    <cellStyle name="Normal 78 3 4" xfId="18253"/>
    <cellStyle name="Normal 78 4" xfId="2574"/>
    <cellStyle name="Normal 78 4 2" xfId="11941"/>
    <cellStyle name="Normal 78 4 3" xfId="21945"/>
    <cellStyle name="Normal 78 5" xfId="10771"/>
    <cellStyle name="Normal 78 5 2" xfId="20427"/>
    <cellStyle name="Normal 78 6" xfId="8619"/>
    <cellStyle name="Normal 78 7" xfId="16938"/>
    <cellStyle name="Normal 79" xfId="623"/>
    <cellStyle name="Normal 79 2" xfId="3110"/>
    <cellStyle name="Normal 79 2 2" xfId="12255"/>
    <cellStyle name="Normal 79 2 2 2" xfId="22473"/>
    <cellStyle name="Normal 79 2 3" xfId="8677"/>
    <cellStyle name="Normal 79 2 4" xfId="17466"/>
    <cellStyle name="Normal 79 3" xfId="5494"/>
    <cellStyle name="Normal 79 3 2" xfId="14332"/>
    <cellStyle name="Normal 79 3 2 2" xfId="24583"/>
    <cellStyle name="Normal 79 3 3" xfId="10753"/>
    <cellStyle name="Normal 79 3 4" xfId="19576"/>
    <cellStyle name="Normal 79 4" xfId="2219"/>
    <cellStyle name="Normal 79 4 2" xfId="11586"/>
    <cellStyle name="Normal 79 4 3" xfId="21590"/>
    <cellStyle name="Normal 79 5" xfId="10763"/>
    <cellStyle name="Normal 79 5 2" xfId="20072"/>
    <cellStyle name="Normal 79 6" xfId="8516"/>
    <cellStyle name="Normal 79 7" xfId="16583"/>
    <cellStyle name="Normal 8" xfId="19"/>
    <cellStyle name="Normal 8 2" xfId="39"/>
    <cellStyle name="Normal 8 3" xfId="159"/>
    <cellStyle name="Normal 80" xfId="624"/>
    <cellStyle name="Normal 80 2" xfId="3111"/>
    <cellStyle name="Normal 80 2 2" xfId="12256"/>
    <cellStyle name="Normal 80 2 2 2" xfId="22474"/>
    <cellStyle name="Normal 80 2 3" xfId="8678"/>
    <cellStyle name="Normal 80 2 4" xfId="17467"/>
    <cellStyle name="Normal 80 3" xfId="5490"/>
    <cellStyle name="Normal 80 3 2" xfId="14329"/>
    <cellStyle name="Normal 80 3 2 2" xfId="24580"/>
    <cellStyle name="Normal 80 3 3" xfId="10750"/>
    <cellStyle name="Normal 80 3 4" xfId="19573"/>
    <cellStyle name="Normal 80 4" xfId="2220"/>
    <cellStyle name="Normal 80 4 2" xfId="11587"/>
    <cellStyle name="Normal 80 4 3" xfId="21591"/>
    <cellStyle name="Normal 80 5" xfId="10764"/>
    <cellStyle name="Normal 80 5 2" xfId="20073"/>
    <cellStyle name="Normal 80 6" xfId="8582"/>
    <cellStyle name="Normal 80 7" xfId="16584"/>
    <cellStyle name="Normal 80 9" xfId="26026"/>
    <cellStyle name="Normal 81" xfId="989"/>
    <cellStyle name="Normal 81 2" xfId="3466"/>
    <cellStyle name="Normal 81 2 2" xfId="12610"/>
    <cellStyle name="Normal 81 2 2 2" xfId="22829"/>
    <cellStyle name="Normal 81 2 3" xfId="9032"/>
    <cellStyle name="Normal 81 2 4" xfId="17822"/>
    <cellStyle name="Normal 81 3" xfId="4097"/>
    <cellStyle name="Normal 81 3 2" xfId="12962"/>
    <cellStyle name="Normal 81 3 2 2" xfId="23188"/>
    <cellStyle name="Normal 81 3 3" xfId="9383"/>
    <cellStyle name="Normal 81 3 4" xfId="18181"/>
    <cellStyle name="Normal 81 4" xfId="2575"/>
    <cellStyle name="Normal 81 4 2" xfId="11942"/>
    <cellStyle name="Normal 81 4 3" xfId="21946"/>
    <cellStyle name="Normal 81 5" xfId="10772"/>
    <cellStyle name="Normal 81 5 2" xfId="20428"/>
    <cellStyle name="Normal 81 6" xfId="8575"/>
    <cellStyle name="Normal 81 7" xfId="16939"/>
    <cellStyle name="Normal 82" xfId="990"/>
    <cellStyle name="Normal 82 2" xfId="3467"/>
    <cellStyle name="Normal 82 2 2" xfId="12611"/>
    <cellStyle name="Normal 82 2 2 2" xfId="22830"/>
    <cellStyle name="Normal 82 2 3" xfId="9033"/>
    <cellStyle name="Normal 82 2 4" xfId="17823"/>
    <cellStyle name="Normal 82 3" xfId="5497"/>
    <cellStyle name="Normal 82 3 2" xfId="14335"/>
    <cellStyle name="Normal 82 3 2 2" xfId="24586"/>
    <cellStyle name="Normal 82 3 3" xfId="10756"/>
    <cellStyle name="Normal 82 3 4" xfId="19579"/>
    <cellStyle name="Normal 82 4" xfId="2576"/>
    <cellStyle name="Normal 82 4 2" xfId="11943"/>
    <cellStyle name="Normal 82 4 3" xfId="21947"/>
    <cellStyle name="Normal 82 5" xfId="10773"/>
    <cellStyle name="Normal 82 5 2" xfId="20429"/>
    <cellStyle name="Normal 82 6" xfId="8514"/>
    <cellStyle name="Normal 82 7" xfId="16940"/>
    <cellStyle name="Normal 83" xfId="61"/>
    <cellStyle name="Normal 84" xfId="62"/>
    <cellStyle name="Normal 85" xfId="625"/>
    <cellStyle name="Normal 85 2" xfId="3112"/>
    <cellStyle name="Normal 85 2 2" xfId="12257"/>
    <cellStyle name="Normal 85 2 2 2" xfId="22475"/>
    <cellStyle name="Normal 85 2 3" xfId="8679"/>
    <cellStyle name="Normal 85 2 4" xfId="17468"/>
    <cellStyle name="Normal 85 3" xfId="5489"/>
    <cellStyle name="Normal 85 3 2" xfId="14328"/>
    <cellStyle name="Normal 85 3 2 2" xfId="24579"/>
    <cellStyle name="Normal 85 3 3" xfId="10749"/>
    <cellStyle name="Normal 85 3 4" xfId="19572"/>
    <cellStyle name="Normal 85 4" xfId="2221"/>
    <cellStyle name="Normal 85 4 2" xfId="11588"/>
    <cellStyle name="Normal 85 4 3" xfId="21592"/>
    <cellStyle name="Normal 85 5" xfId="10765"/>
    <cellStyle name="Normal 85 5 2" xfId="20074"/>
    <cellStyle name="Normal 85 6" xfId="8643"/>
    <cellStyle name="Normal 85 7" xfId="16585"/>
    <cellStyle name="Normal 86" xfId="63"/>
    <cellStyle name="Normal 87" xfId="621"/>
    <cellStyle name="Normal 87 2" xfId="3108"/>
    <cellStyle name="Normal 87 2 2" xfId="12253"/>
    <cellStyle name="Normal 87 2 2 2" xfId="22471"/>
    <cellStyle name="Normal 87 2 3" xfId="8675"/>
    <cellStyle name="Normal 87 2 4" xfId="17464"/>
    <cellStyle name="Normal 87 3" xfId="5498"/>
    <cellStyle name="Normal 87 3 2" xfId="14336"/>
    <cellStyle name="Normal 87 3 2 2" xfId="24587"/>
    <cellStyle name="Normal 87 3 3" xfId="10757"/>
    <cellStyle name="Normal 87 3 4" xfId="19580"/>
    <cellStyle name="Normal 87 4" xfId="2217"/>
    <cellStyle name="Normal 87 4 2" xfId="11584"/>
    <cellStyle name="Normal 87 4 3" xfId="21588"/>
    <cellStyle name="Normal 87 5" xfId="10761"/>
    <cellStyle name="Normal 87 5 2" xfId="20070"/>
    <cellStyle name="Normal 87 6" xfId="8602"/>
    <cellStyle name="Normal 87 7" xfId="16581"/>
    <cellStyle name="Normal 88" xfId="1045"/>
    <cellStyle name="Normal 89" xfId="4091"/>
    <cellStyle name="Normal 9" xfId="20"/>
    <cellStyle name="Normal 9 2" xfId="298"/>
    <cellStyle name="Normal 9 2 10" xfId="16087"/>
    <cellStyle name="Normal 9 2 2" xfId="618"/>
    <cellStyle name="Normal 9 2 2 2" xfId="3105"/>
    <cellStyle name="Normal 9 2 2 2 2" xfId="12250"/>
    <cellStyle name="Normal 9 2 2 2 2 2" xfId="22468"/>
    <cellStyle name="Normal 9 2 2 2 3" xfId="8672"/>
    <cellStyle name="Normal 9 2 2 2 4" xfId="17461"/>
    <cellStyle name="Normal 9 2 2 3" xfId="4790"/>
    <cellStyle name="Normal 9 2 2 3 2" xfId="13629"/>
    <cellStyle name="Normal 9 2 2 3 2 2" xfId="23880"/>
    <cellStyle name="Normal 9 2 2 3 3" xfId="10050"/>
    <cellStyle name="Normal 9 2 2 3 4" xfId="18873"/>
    <cellStyle name="Normal 9 2 2 4" xfId="2214"/>
    <cellStyle name="Normal 9 2 2 4 2" xfId="11581"/>
    <cellStyle name="Normal 9 2 2 4 3" xfId="21585"/>
    <cellStyle name="Normal 9 2 2 5" xfId="6247"/>
    <cellStyle name="Normal 9 2 2 5 2" xfId="15074"/>
    <cellStyle name="Normal 9 2 2 5 3" xfId="25325"/>
    <cellStyle name="Normal 9 2 2 6" xfId="7693"/>
    <cellStyle name="Normal 9 2 2 6 2" xfId="20067"/>
    <cellStyle name="Normal 9 2 2 7" xfId="16578"/>
    <cellStyle name="Normal 9 2 3" xfId="991"/>
    <cellStyle name="Normal 9 2 3 2" xfId="3468"/>
    <cellStyle name="Normal 9 2 3 2 2" xfId="12612"/>
    <cellStyle name="Normal 9 2 3 2 2 2" xfId="22831"/>
    <cellStyle name="Normal 9 2 3 2 3" xfId="9034"/>
    <cellStyle name="Normal 9 2 3 2 4" xfId="17824"/>
    <cellStyle name="Normal 9 2 3 3" xfId="5138"/>
    <cellStyle name="Normal 9 2 3 3 2" xfId="13977"/>
    <cellStyle name="Normal 9 2 3 3 2 2" xfId="24228"/>
    <cellStyle name="Normal 9 2 3 3 3" xfId="10398"/>
    <cellStyle name="Normal 9 2 3 3 4" xfId="19221"/>
    <cellStyle name="Normal 9 2 3 4" xfId="2577"/>
    <cellStyle name="Normal 9 2 3 4 2" xfId="11944"/>
    <cellStyle name="Normal 9 2 3 4 3" xfId="21948"/>
    <cellStyle name="Normal 9 2 3 5" xfId="6595"/>
    <cellStyle name="Normal 9 2 3 5 2" xfId="15422"/>
    <cellStyle name="Normal 9 2 3 5 3" xfId="25673"/>
    <cellStyle name="Normal 9 2 3 6" xfId="8041"/>
    <cellStyle name="Normal 9 2 3 6 2" xfId="20430"/>
    <cellStyle name="Normal 9 2 3 7" xfId="16941"/>
    <cellStyle name="Normal 9 2 4" xfId="1390"/>
    <cellStyle name="Normal 9 2 4 2" xfId="3820"/>
    <cellStyle name="Normal 9 2 4 2 2" xfId="12958"/>
    <cellStyle name="Normal 9 2 4 2 2 2" xfId="23177"/>
    <cellStyle name="Normal 9 2 4 2 3" xfId="9379"/>
    <cellStyle name="Normal 9 2 4 2 4" xfId="18170"/>
    <cellStyle name="Normal 9 2 4 3" xfId="5483"/>
    <cellStyle name="Normal 9 2 4 3 2" xfId="14322"/>
    <cellStyle name="Normal 9 2 4 3 2 2" xfId="24573"/>
    <cellStyle name="Normal 9 2 4 3 3" xfId="10743"/>
    <cellStyle name="Normal 9 2 4 3 4" xfId="19566"/>
    <cellStyle name="Normal 9 2 4 4" xfId="1895"/>
    <cellStyle name="Normal 9 2 4 4 2" xfId="11264"/>
    <cellStyle name="Normal 9 2 4 4 3" xfId="21268"/>
    <cellStyle name="Normal 9 2 4 5" xfId="6940"/>
    <cellStyle name="Normal 9 2 4 5 2" xfId="15767"/>
    <cellStyle name="Normal 9 2 4 5 3" xfId="26018"/>
    <cellStyle name="Normal 9 2 4 6" xfId="8386"/>
    <cellStyle name="Normal 9 2 4 6 2" xfId="20776"/>
    <cellStyle name="Normal 9 2 4 7" xfId="16261"/>
    <cellStyle name="Normal 9 2 5" xfId="2788"/>
    <cellStyle name="Normal 9 2 5 2" xfId="12107"/>
    <cellStyle name="Normal 9 2 5 2 2" xfId="22151"/>
    <cellStyle name="Normal 9 2 5 3" xfId="8432"/>
    <cellStyle name="Normal 9 2 5 4" xfId="17144"/>
    <cellStyle name="Normal 9 2 6" xfId="4439"/>
    <cellStyle name="Normal 9 2 6 2" xfId="13279"/>
    <cellStyle name="Normal 9 2 6 2 2" xfId="23530"/>
    <cellStyle name="Normal 9 2 6 3" xfId="9700"/>
    <cellStyle name="Normal 9 2 6 4" xfId="18523"/>
    <cellStyle name="Normal 9 2 7" xfId="1711"/>
    <cellStyle name="Normal 9 2 7 2" xfId="11090"/>
    <cellStyle name="Normal 9 2 7 3" xfId="21094"/>
    <cellStyle name="Normal 9 2 8" xfId="5897"/>
    <cellStyle name="Normal 9 2 8 2" xfId="14724"/>
    <cellStyle name="Normal 9 2 8 3" xfId="24975"/>
    <cellStyle name="Normal 9 2 9" xfId="7341"/>
    <cellStyle name="Normal 9 2 9 2" xfId="19750"/>
    <cellStyle name="Normal 9 2_Degree data" xfId="4090"/>
    <cellStyle name="Normal 90" xfId="4755"/>
    <cellStyle name="Normal 91" xfId="5492"/>
    <cellStyle name="Normal 92" xfId="1394"/>
    <cellStyle name="Normal 93" xfId="2579"/>
    <cellStyle name="Normal 94" xfId="5500"/>
    <cellStyle name="Normal 95" xfId="5499"/>
    <cellStyle name="Normal 96" xfId="5504"/>
    <cellStyle name="Normal 97" xfId="5505"/>
    <cellStyle name="Normal 98" xfId="64"/>
    <cellStyle name="Normal 99" xfId="5507"/>
    <cellStyle name="Normal_03SCH&amp;FTE05" xfId="26024"/>
    <cellStyle name="Normal_03TTA09mastersurvey" xfId="26"/>
    <cellStyle name="Normal_04SCH-FTE09mastersurvey" xfId="4"/>
    <cellStyle name="Normal_Degree02 Form 2" xfId="24"/>
    <cellStyle name="Normal_Degree02 Form 3" xfId="1401"/>
    <cellStyle name="Normal_Degrees02 Form" xfId="26023"/>
    <cellStyle name="Normal_Degrees02 Form 2" xfId="30"/>
    <cellStyle name="Normal_Degrees02 Form 3" xfId="26025"/>
    <cellStyle name="Normal_SCH&amp;FTE02 Form" xfId="5"/>
    <cellStyle name="Normal_SCH&amp;FTE03 Form" xfId="6"/>
    <cellStyle name="Normal_StProg01B" xfId="5552"/>
    <cellStyle name="Normal_StProg01B 2" xfId="27"/>
    <cellStyle name="Normal_StProg02 Form" xfId="26022"/>
    <cellStyle name="Normal_Tuition02 Form" xfId="5551"/>
    <cellStyle name="Note 2" xfId="992"/>
    <cellStyle name="Note 2 2" xfId="1032"/>
    <cellStyle name="Note 2 3" xfId="1039"/>
    <cellStyle name="Note 2 4" xfId="3469"/>
    <cellStyle name="Note 2 4 2" xfId="12613"/>
    <cellStyle name="Note 2 4 2 2" xfId="22832"/>
    <cellStyle name="Note 2 4 3" xfId="9035"/>
    <cellStyle name="Note 2 4 4" xfId="17825"/>
    <cellStyle name="Note 2 5" xfId="4168"/>
    <cellStyle name="Note 2 5 2" xfId="13008"/>
    <cellStyle name="Note 2 5 2 2" xfId="23259"/>
    <cellStyle name="Note 2 5 3" xfId="9429"/>
    <cellStyle name="Note 2 5 4" xfId="18252"/>
    <cellStyle name="Note 2 6" xfId="2578"/>
    <cellStyle name="Note 2 6 2" xfId="11945"/>
    <cellStyle name="Note 2 6 3" xfId="21949"/>
    <cellStyle name="Note 2 7" xfId="10774"/>
    <cellStyle name="Note 2 7 2" xfId="20431"/>
    <cellStyle name="Note 2 8" xfId="8637"/>
    <cellStyle name="Note 2 9" xfId="16942"/>
    <cellStyle name="Note 3" xfId="1031"/>
    <cellStyle name="Note 4" xfId="1040"/>
    <cellStyle name="Output 2" xfId="1033"/>
    <cellStyle name="Output 3" xfId="1043"/>
    <cellStyle name="Percent" xfId="7" builtinId="5"/>
    <cellStyle name="Percent 2" xfId="32"/>
    <cellStyle name="Percent 2 2" xfId="68"/>
    <cellStyle name="Percent 2 2 2" xfId="129"/>
    <cellStyle name="Percent 2 2 3" xfId="228"/>
    <cellStyle name="Percent 2 3" xfId="1035"/>
    <cellStyle name="Percent 3" xfId="33"/>
    <cellStyle name="Percent 4" xfId="37"/>
    <cellStyle name="Percent 5" xfId="117"/>
    <cellStyle name="Percent 6" xfId="1034"/>
    <cellStyle name="questionable" xfId="8"/>
    <cellStyle name="questionable 2" xfId="105"/>
    <cellStyle name="review" xfId="9"/>
    <cellStyle name="Title 2" xfId="1036"/>
    <cellStyle name="Total 2" xfId="1037"/>
    <cellStyle name="Total 3" xfId="1044"/>
    <cellStyle name="Warning Text 2" xfId="1038"/>
  </cellStyles>
  <dxfs count="77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lor rgb="FFFF0000"/>
      </font>
    </dxf>
    <dxf>
      <font>
        <b/>
        <i val="0"/>
        <color rgb="FFFF000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solid">
          <bgColor theme="0" tint="-0.24997711111789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4" formatCode="0.00%"/>
    </dxf>
    <dxf>
      <numFmt numFmtId="14" formatCode="0.00%"/>
    </dxf>
    <dxf>
      <numFmt numFmtId="14" formatCode="0.00%"/>
    </dxf>
    <dxf>
      <numFmt numFmtId="14" formatCode="0.00%"/>
    </dxf>
    <dxf>
      <font>
        <b/>
      </font>
    </dxf>
    <dxf>
      <font>
        <b/>
      </font>
    </dxf>
    <dxf>
      <font>
        <b/>
      </font>
    </dxf>
    <dxf>
      <font>
        <b/>
      </font>
    </dxf>
    <dxf>
      <font>
        <b/>
      </font>
    </dxf>
    <dxf>
      <font>
        <b/>
      </font>
    </dxf>
    <dxf>
      <font>
        <b/>
      </font>
    </dxf>
    <dxf>
      <font>
        <b/>
      </font>
      <numFmt numFmtId="168" formatCode="0.0%"/>
    </dxf>
    <dxf>
      <font>
        <b/>
      </font>
      <numFmt numFmtId="168" formatCode="0.0%"/>
    </dxf>
    <dxf>
      <font>
        <b/>
      </font>
    </dxf>
    <dxf>
      <numFmt numFmtId="168" formatCode="0.0%"/>
    </dxf>
    <dxf>
      <font>
        <b/>
        <sz val="10"/>
      </font>
      <numFmt numFmtId="168" formatCode="0.0%"/>
    </dxf>
    <dxf>
      <font>
        <b/>
        <sz val="10"/>
      </font>
      <numFmt numFmtId="168" formatCode="0.0%"/>
    </dxf>
    <dxf>
      <font>
        <sz val="10"/>
      </font>
    </dxf>
    <dxf>
      <font>
        <sz val="10"/>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5" formatCode="_(* #,##0.00_);_(* \(#,##0.00\);_(* &quot;-&quot;??_);_(@_)"/>
    </dxf>
    <dxf>
      <numFmt numFmtId="35" formatCode="_(* #,##0.00_);_(* \(#,##0.00\);_(* &quot;-&quot;??_);_(@_)"/>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solid">
          <bgColor rgb="FFFFFF00"/>
        </patternFill>
      </fill>
    </dxf>
    <dxf>
      <fill>
        <patternFill patternType="solid">
          <bgColor theme="0" tint="-0.249977111117893"/>
        </patternFill>
      </fill>
    </dxf>
    <dxf>
      <fill>
        <patternFill patternType="solid">
          <bgColor theme="0" tint="-0.249977111117893"/>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border>
        <bottom style="thin">
          <color indexed="64"/>
        </bottom>
      </border>
    </dxf>
    <dxf>
      <fill>
        <patternFill patternType="solid">
          <fgColor indexed="64"/>
          <bgColor theme="0" tint="-0.249977111117893"/>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solid">
          <fgColor indexed="64"/>
          <bgColor theme="5" tint="0.79998168889431442"/>
        </patternFill>
      </fill>
    </dxf>
    <dxf>
      <fill>
        <patternFill patternType="solid">
          <fgColor indexed="64"/>
          <bgColor theme="5"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alignment horizontal="right" readingOrder="0"/>
    </dxf>
    <dxf>
      <border>
        <bottom style="thin">
          <color indexed="64"/>
        </bottom>
      </border>
    </dxf>
    <dxf>
      <border>
        <bottom style="thin">
          <color indexed="64"/>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49"/>
          <bgColor indexed="64"/>
        </patternFill>
      </fill>
    </dxf>
    <dxf>
      <border>
        <top style="thin">
          <color indexed="8"/>
        </top>
      </border>
    </dxf>
    <dxf>
      <border>
        <left style="thin">
          <color indexed="64"/>
        </left>
      </border>
    </dxf>
    <dxf>
      <border>
        <left/>
      </border>
    </dxf>
    <dxf>
      <border>
        <left style="thin">
          <color indexed="64"/>
        </left>
      </border>
    </dxf>
    <dxf>
      <fill>
        <patternFill patternType="none"/>
      </fill>
    </dxf>
    <dxf>
      <fill>
        <patternFill patternType="solid">
          <bgColor indexed="43"/>
        </patternFill>
      </fill>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alignment horizontal="general" readingOrder="0"/>
    </dxf>
    <dxf>
      <alignment horizontal="general" readingOrder="0"/>
    </dxf>
    <dxf>
      <alignment horizontal="general" readingOrder="0"/>
    </dxf>
    <dxf>
      <border>
        <bottom style="thin">
          <color indexed="64"/>
        </bottom>
      </border>
    </dxf>
    <dxf>
      <border>
        <bottom style="thin">
          <color indexed="64"/>
        </bottom>
      </border>
    </dxf>
    <dxf>
      <font>
        <sz val="10"/>
      </font>
    </dxf>
    <dxf>
      <alignment horizontal="right" readingOrder="0"/>
    </dxf>
    <dxf>
      <alignment horizontal="right" readingOrder="0"/>
    </dxf>
    <dxf>
      <alignment horizontal="right" readingOrder="0"/>
    </dxf>
    <dxf>
      <alignment horizontal="right" readingOrder="0"/>
    </dxf>
    <dxf>
      <alignment horizontal="right" readingOrder="0"/>
    </dxf>
    <dxf>
      <border>
        <right style="thin">
          <color indexed="8"/>
        </right>
      </border>
    </dxf>
    <dxf>
      <border>
        <right style="thin">
          <color indexed="8"/>
        </right>
      </border>
    </dxf>
    <dxf>
      <border>
        <right style="thin">
          <color indexed="8"/>
        </right>
      </border>
    </dxf>
    <dxf>
      <alignment horizontal="general" readingOrder="0"/>
    </dxf>
    <dxf>
      <alignment horizontal="right" readingOrder="0"/>
    </dxf>
    <dxf>
      <alignment horizontal="center" readingOrder="0"/>
    </dxf>
    <dxf>
      <alignment horizontal="left" readingOrder="0"/>
    </dxf>
    <dxf>
      <alignment horizontal="general" readingOrder="0"/>
    </dxf>
    <dxf>
      <alignment horizontal="right" readingOrder="0"/>
    </dxf>
    <dxf>
      <alignment horizontal="general" readingOrder="0"/>
    </dxf>
    <dxf>
      <alignment horizontal="right" readingOrder="0"/>
    </dxf>
    <dxf>
      <alignment horizontal="left" readingOrder="0"/>
    </dxf>
    <dxf>
      <alignment horizontal="right" readingOrder="0"/>
    </dxf>
    <dxf>
      <font>
        <b/>
      </font>
    </dxf>
    <dxf>
      <font>
        <b/>
      </font>
    </dxf>
    <dxf>
      <font>
        <b/>
      </font>
    </dxf>
    <dxf>
      <alignment horizontal="general" readingOrder="0"/>
    </dxf>
    <dxf>
      <alignment horizontal="right" readingOrder="0"/>
    </dxf>
    <dxf>
      <numFmt numFmtId="166" formatCode="#,##0.0"/>
    </dxf>
    <dxf>
      <font>
        <b/>
      </font>
    </dxf>
    <dxf>
      <fill>
        <patternFill patternType="solid">
          <bgColor indexed="22"/>
        </patternFill>
      </fill>
    </dxf>
    <dxf>
      <font>
        <b/>
      </font>
    </dxf>
    <dxf>
      <font>
        <b/>
      </font>
    </dxf>
    <dxf>
      <font>
        <b/>
      </font>
    </dxf>
    <dxf>
      <alignment horizontal="right" readingOrder="0"/>
    </dxf>
    <dxf>
      <alignment horizontal="right" readingOrder="0"/>
    </dxf>
    <dxf>
      <alignment horizontal="right" readingOrder="0"/>
    </dxf>
    <dxf>
      <numFmt numFmtId="165" formatCode="_(* #,##0_);_(* \(#,##0\);_(* &quot;-&quot;??_);_(@_)"/>
    </dxf>
    <dxf>
      <numFmt numFmtId="173" formatCode="_(* #,##0.0_);_(* \(#,##0.0\);_(* &quot;-&quot;??_);_(@_)"/>
    </dxf>
    <dxf>
      <numFmt numFmtId="35" formatCode="_(* #,##0.00_);_(* \(#,##0.00\);_(* &quot;-&quot;??_);_(@_)"/>
    </dxf>
    <dxf>
      <font>
        <name val="Arial"/>
        <scheme val="none"/>
      </font>
    </dxf>
  </dxfs>
  <tableStyles count="0" defaultTableStyle="TableStyleMedium9" defaultPivotStyle="PivotStyleLight16"/>
  <colors>
    <mruColors>
      <color rgb="FF0000FF"/>
      <color rgb="FF00FF00"/>
      <color rgb="FFCCFFCC"/>
      <color rgb="FF00FFFF"/>
      <color rgb="FFFFFFCC"/>
      <color rgb="FFB2A1C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2041.359229050926" createdVersion="4" refreshedVersion="4" minRefreshableVersion="3" recordCount="680">
  <cacheSource type="worksheet">
    <worksheetSource ref="A6:BA686" sheet="SCH Data"/>
  </cacheSource>
  <cacheFields count="64">
    <cacheField name="State" numFmtId="49">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MixedTypes="1" containsNumber="1" containsInteger="1" minValue="1" maxValue="99" count="19">
        <n v="1"/>
        <n v="2"/>
        <n v="3"/>
        <n v="4"/>
        <n v="5"/>
        <n v="6"/>
        <n v="8"/>
        <n v="9"/>
        <n v="10"/>
        <n v="12"/>
        <n v="13"/>
        <n v="7"/>
        <n v="11"/>
        <n v="99"/>
        <s v="08b"/>
        <s v="09b"/>
        <s v="10b"/>
        <n v="14" u="1"/>
        <n v="15" u="1"/>
      </sharedItems>
      <fieldGroup par="60"/>
    </cacheField>
    <cacheField name="Old-Term Code" numFmtId="165">
      <sharedItems containsBlank="1"/>
    </cacheField>
    <cacheField name="New-Term Code" numFmtId="165">
      <sharedItems containsBlank="1"/>
    </cacheField>
    <cacheField name="old-Winter Undg SCH" numFmtId="0">
      <sharedItems containsString="0" containsBlank="1" containsNumber="1" minValue="51" maxValue="568362"/>
    </cacheField>
    <cacheField name="new-Winter Undg SCH" numFmtId="0">
      <sharedItems containsString="0" containsBlank="1" containsNumber="1" minValue="0" maxValue="554155"/>
    </cacheField>
    <cacheField name="old-Spring Undg SCH" numFmtId="0">
      <sharedItems containsString="0" containsBlank="1" containsNumber="1" minValue="36" maxValue="650249"/>
    </cacheField>
    <cacheField name="new-Spring Undg SCH" numFmtId="0">
      <sharedItems containsString="0" containsBlank="1" containsNumber="1" minValue="18" maxValue="625446"/>
    </cacheField>
    <cacheField name="old-Summer Undg SCH" numFmtId="0">
      <sharedItems containsString="0" containsBlank="1" containsNumber="1" minValue="0" maxValue="295176"/>
    </cacheField>
    <cacheField name="new-Summer Undg SCH" numFmtId="0">
      <sharedItems containsString="0" containsBlank="1" containsNumber="1" minValue="0" maxValue="274274"/>
    </cacheField>
    <cacheField name="old-Fall Undg SCH" numFmtId="0">
      <sharedItems containsString="0" containsBlank="1" containsNumber="1" minValue="1548" maxValue="650690"/>
    </cacheField>
    <cacheField name="new-Fall Undg SCH" numFmtId="0">
      <sharedItems containsString="0" containsBlank="1" containsNumber="1" minValue="1470" maxValue="644836"/>
    </cacheField>
    <cacheField name="Old-Total Undg SCH" numFmtId="3">
      <sharedItems containsSemiMixedTypes="0" containsString="0" containsNumber="1" minValue="0" maxValue="1596115"/>
    </cacheField>
    <cacheField name="Old-Total Undg SCH FTE" numFmtId="3">
      <sharedItems containsSemiMixedTypes="0" containsString="0" containsNumber="1" minValue="0" maxValue="53203.833333333336"/>
    </cacheField>
    <cacheField name="New-Total Undg SCH" numFmtId="3">
      <sharedItems containsSemiMixedTypes="0" containsString="0" containsNumber="1" minValue="0" maxValue="1544556"/>
    </cacheField>
    <cacheField name="New-Total Undg SCH FTE" numFmtId="3">
      <sharedItems containsSemiMixedTypes="0" containsString="0" containsNumber="1" minValue="0" maxValue="51485.2"/>
    </cacheField>
    <cacheField name="Old-Total HS SCH" numFmtId="0">
      <sharedItems containsString="0" containsBlank="1" containsNumber="1" minValue="0" maxValue="124002"/>
    </cacheField>
    <cacheField name="New-Total HS SCH" numFmtId="0">
      <sharedItems containsString="0" containsBlank="1" containsNumber="1" minValue="0" maxValue="147425"/>
    </cacheField>
    <cacheField name="Old-Total Undg SCH2" numFmtId="3">
      <sharedItems containsSemiMixedTypes="0" containsString="0" containsNumber="1" minValue="0" maxValue="1596115"/>
    </cacheField>
    <cacheField name="New-Total Undg SCH2" numFmtId="3">
      <sharedItems containsSemiMixedTypes="0" containsString="0" containsNumber="1" minValue="0" maxValue="1544556"/>
    </cacheField>
    <cacheField name="old-Winter Undg CH" numFmtId="0">
      <sharedItems containsString="0" containsBlank="1" containsNumber="1" containsInteger="1" minValue="0" maxValue="728897"/>
    </cacheField>
    <cacheField name="new-Winter Undg CH" numFmtId="0">
      <sharedItems containsString="0" containsBlank="1" containsNumber="1" containsInteger="1" minValue="0" maxValue="756491"/>
    </cacheField>
    <cacheField name="old-Spring Undg CH" numFmtId="0">
      <sharedItems containsString="0" containsBlank="1" containsNumber="1" containsInteger="1" minValue="0" maxValue="1233420"/>
    </cacheField>
    <cacheField name="new-Spring Undg CH" numFmtId="0">
      <sharedItems containsString="0" containsBlank="1" containsNumber="1" containsInteger="1" minValue="0" maxValue="1154965"/>
    </cacheField>
    <cacheField name="old-Summer Undg CH" numFmtId="0">
      <sharedItems containsString="0" containsBlank="1" containsNumber="1" containsInteger="1" minValue="0" maxValue="921686"/>
    </cacheField>
    <cacheField name="new-Summer Undg CH" numFmtId="0">
      <sharedItems containsString="0" containsBlank="1" containsNumber="1" containsInteger="1" minValue="0" maxValue="969985"/>
    </cacheField>
    <cacheField name="old-Fall Undg CH" numFmtId="0">
      <sharedItems containsString="0" containsBlank="1" containsNumber="1" containsInteger="1" minValue="0" maxValue="1452946"/>
    </cacheField>
    <cacheField name="new-Fall Undg CH" numFmtId="0">
      <sharedItems containsString="0" containsBlank="1" containsNumber="1" minValue="0" maxValue="1421155.25"/>
    </cacheField>
    <cacheField name="Old-Total Undg CH" numFmtId="3">
      <sharedItems containsSemiMixedTypes="0" containsString="0" containsNumber="1" containsInteger="1" minValue="0" maxValue="3263410"/>
    </cacheField>
    <cacheField name="Old-Total Undg CH FTE" numFmtId="3">
      <sharedItems containsSemiMixedTypes="0" containsString="0" containsNumber="1" minValue="0" maxValue="3626.0111111111109"/>
    </cacheField>
    <cacheField name="New-Total Undg CH" numFmtId="3">
      <sharedItems containsSemiMixedTypes="0" containsString="0" containsNumber="1" minValue="0" maxValue="3246220"/>
    </cacheField>
    <cacheField name="New-Total Undg CH FTE" numFmtId="3">
      <sharedItems containsSemiMixedTypes="0" containsString="0" containsNumber="1" minValue="0" maxValue="3606.911111111111"/>
    </cacheField>
    <cacheField name="Old-Total HS CH" numFmtId="3">
      <sharedItems containsString="0" containsBlank="1" containsNumber="1" containsInteger="1" minValue="0" maxValue="92565"/>
    </cacheField>
    <cacheField name="New-Total HS CH" numFmtId="0">
      <sharedItems containsString="0" containsBlank="1" containsNumber="1" containsInteger="1" minValue="0" maxValue="77791"/>
    </cacheField>
    <cacheField name="Old-Total Undg CH2" numFmtId="3">
      <sharedItems containsSemiMixedTypes="0" containsString="0" containsNumber="1" containsInteger="1" minValue="0" maxValue="3263410"/>
    </cacheField>
    <cacheField name="New-Total Undg CH2" numFmtId="3">
      <sharedItems containsSemiMixedTypes="0" containsString="0" containsNumber="1" containsInteger="1" minValue="0" maxValue="3246220"/>
    </cacheField>
    <cacheField name="old-Winter Grad SCH" numFmtId="3">
      <sharedItems containsString="0" containsBlank="1" containsNumber="1" containsInteger="1" minValue="0" maxValue="7654"/>
    </cacheField>
    <cacheField name="new-Winter Grad SCH" numFmtId="0">
      <sharedItems containsString="0" containsBlank="1" containsNumber="1" containsInteger="1" minValue="0" maxValue="7575"/>
    </cacheField>
    <cacheField name="old-Spring Grad SCH" numFmtId="3">
      <sharedItems containsString="0" containsBlank="1" containsNumber="1" minValue="0" maxValue="140200"/>
    </cacheField>
    <cacheField name="new-Spring Grad SCH" numFmtId="0">
      <sharedItems containsString="0" containsBlank="1" containsNumber="1" minValue="0" maxValue="139696"/>
    </cacheField>
    <cacheField name="old-Summer Grad SCH" numFmtId="3">
      <sharedItems containsString="0" containsBlank="1" containsNumber="1" minValue="0" maxValue="59745"/>
    </cacheField>
    <cacheField name="new-Summer Grad SCH" numFmtId="0">
      <sharedItems containsString="0" containsBlank="1" containsNumber="1" minValue="0" maxValue="59235"/>
    </cacheField>
    <cacheField name="old-Fall Grad SCH" numFmtId="3">
      <sharedItems containsString="0" containsBlank="1" containsNumber="1" minValue="0" maxValue="148986"/>
    </cacheField>
    <cacheField name="new-Fall Grad SCH" numFmtId="0">
      <sharedItems containsString="0" containsBlank="1" containsNumber="1" minValue="0" maxValue="145132"/>
    </cacheField>
    <cacheField name="Old-Total Grad SCH" numFmtId="3">
      <sharedItems containsSemiMixedTypes="0" containsString="0" containsNumber="1" minValue="0" maxValue="348931"/>
    </cacheField>
    <cacheField name="Old-Total Grad FTE" numFmtId="3">
      <sharedItems containsSemiMixedTypes="0" containsString="0" containsNumber="1" minValue="0" maxValue="14538.791666666666"/>
    </cacheField>
    <cacheField name="New-Total Grad SCH" numFmtId="3">
      <sharedItems containsSemiMixedTypes="0" containsString="0" containsNumber="1" minValue="0" maxValue="344063"/>
    </cacheField>
    <cacheField name="New-Total Grad FTE" numFmtId="3">
      <sharedItems containsSemiMixedTypes="0" containsString="0" containsNumber="1" minValue="0" maxValue="14335.958333333334"/>
    </cacheField>
    <cacheField name="Old Grand Total FTE" numFmtId="3">
      <sharedItems containsSemiMixedTypes="0" containsString="0" containsNumber="1" minValue="0" maxValue="56829.844444444447"/>
    </cacheField>
    <cacheField name="New Grand Total FTE" numFmtId="3">
      <sharedItems containsSemiMixedTypes="0" containsString="0" containsNumber="1" minValue="0" maxValue="55092.111111111109"/>
    </cacheField>
    <cacheField name="% Change Undg SCH FTE" numFmtId="0" formula="IF('Old-Total Undg SCH FTE'&gt;0,((('New-Total Undg SCH FTE'-'Old-Total Undg SCH FTE')/'Old-Total Undg SCH FTE')))" databaseField="0"/>
    <cacheField name="% Change Grad FTE" numFmtId="0" formula="IF('Old-Total Grad FTE'&gt;0, ((('New-Total Grad FTE'-'Old-Total Grad FTE')/'Old-Total Grad FTE')))" databaseField="0"/>
    <cacheField name="% Change Undg CH FTE" numFmtId="0" formula="IF('Old-Total Undg CH FTE'&gt;0,((('New-Total Undg CH FTE'-'Old-Total Undg CH FTE')/'Old-Total Undg CH FTE')))" databaseField="0"/>
    <cacheField name="New-Total HSH" numFmtId="0" formula="'New-Total HS SCH'+'New-Total HS CH'" databaseField="0"/>
    <cacheField name="New-Total UGH" numFmtId="0" formula="'New-Total Undg SCH'+'New-Total Undg CH'" databaseField="0"/>
    <cacheField name="New-HS % of Total" numFmtId="0" formula="IF(#NAME?&gt;0,(#NAME?/#NAME?))" databaseField="0"/>
    <cacheField name="Old-HS % of Total" numFmtId="0" formula="IF('Old-Total HSH'&gt;0,('Old-Total HSH'/'Old-Total UGH'),)" databaseField="0"/>
    <cacheField name="Category2" numFmtId="0" databaseField="0">
      <fieldGroup base="4">
        <discretePr count="19">
          <x v="2"/>
          <x v="2"/>
          <x v="2"/>
          <x v="2"/>
          <x v="2"/>
          <x v="2"/>
          <x v="3"/>
          <x v="3"/>
          <x v="3"/>
          <x v="4"/>
          <x v="4"/>
          <x v="3"/>
          <x v="1"/>
          <x v="5"/>
          <x v="6"/>
          <x v="7"/>
          <x v="8"/>
          <x v="4"/>
          <x v="0"/>
        </discretePr>
        <groupItems count="9">
          <n v="15"/>
          <n v="11"/>
          <s v="Group1"/>
          <s v="Group2"/>
          <s v="Group3"/>
          <n v="99"/>
          <s v="08b"/>
          <s v="09b"/>
          <s v="10b"/>
        </groupItems>
      </fieldGroup>
    </cacheField>
    <cacheField name="% Change Total FTE" numFmtId="0" formula="IF('Old Grand Total FTE'&gt;0, ((('New Grand Total FTE'-'Old Grand Total FTE')/'Old Grand Total FTE')))" databaseField="0"/>
    <cacheField name="Old-Total UGH" numFmtId="0" formula="'Old-Total Undg SCH'+'Old-Total Undg CH'" databaseField="0"/>
    <cacheField name="Old-Total HSH" numFmtId="0" formula="'Old-Total HS SCH'+'Old-Total HS CH'"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isa Cowan" refreshedDate="42041.359287615742" createdVersion="4" refreshedVersion="4" minRefreshableVersion="3" recordCount="680">
  <cacheSource type="worksheet">
    <worksheetSource ref="A6:AM686" sheet="SCH Data"/>
  </cacheSource>
  <cacheFields count="47">
    <cacheField name="State" numFmtId="49">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MixedTypes="1" containsNumber="1" containsInteger="1" minValue="1" maxValue="99" count="19">
        <n v="1"/>
        <n v="2"/>
        <n v="3"/>
        <n v="4"/>
        <n v="5"/>
        <n v="6"/>
        <n v="8"/>
        <n v="9"/>
        <n v="10"/>
        <n v="12"/>
        <n v="13"/>
        <n v="7"/>
        <n v="11"/>
        <n v="99"/>
        <s v="08b"/>
        <s v="09b"/>
        <s v="10b"/>
        <n v="14" u="1"/>
        <n v="15" u="1"/>
      </sharedItems>
      <fieldGroup par="43"/>
    </cacheField>
    <cacheField name="Old-Term Code" numFmtId="165">
      <sharedItems containsBlank="1"/>
    </cacheField>
    <cacheField name="New-Term Code" numFmtId="165">
      <sharedItems containsBlank="1"/>
    </cacheField>
    <cacheField name="old-Winter Undg SCH" numFmtId="0">
      <sharedItems containsString="0" containsBlank="1" containsNumber="1" minValue="51" maxValue="568362"/>
    </cacheField>
    <cacheField name="new-Winter Undg SCH" numFmtId="0">
      <sharedItems containsString="0" containsBlank="1" containsNumber="1" minValue="0" maxValue="554155"/>
    </cacheField>
    <cacheField name="old-Spring Undg SCH" numFmtId="0">
      <sharedItems containsString="0" containsBlank="1" containsNumber="1" minValue="36" maxValue="650249"/>
    </cacheField>
    <cacheField name="new-Spring Undg SCH" numFmtId="0">
      <sharedItems containsString="0" containsBlank="1" containsNumber="1" minValue="18" maxValue="625446"/>
    </cacheField>
    <cacheField name="old-Summer Undg SCH" numFmtId="0">
      <sharedItems containsString="0" containsBlank="1" containsNumber="1" minValue="0" maxValue="295176"/>
    </cacheField>
    <cacheField name="new-Summer Undg SCH" numFmtId="0">
      <sharedItems containsString="0" containsBlank="1" containsNumber="1" minValue="0" maxValue="274274"/>
    </cacheField>
    <cacheField name="old-Fall Undg SCH" numFmtId="0">
      <sharedItems containsString="0" containsBlank="1" containsNumber="1" minValue="1548" maxValue="650690"/>
    </cacheField>
    <cacheField name="new-Fall Undg SCH" numFmtId="0">
      <sharedItems containsString="0" containsBlank="1" containsNumber="1" minValue="1470" maxValue="644836"/>
    </cacheField>
    <cacheField name="Old-Total Undg SCH" numFmtId="3">
      <sharedItems containsSemiMixedTypes="0" containsString="0" containsNumber="1" minValue="0" maxValue="1596115"/>
    </cacheField>
    <cacheField name="Old-Total Undg SCH FTE" numFmtId="3">
      <sharedItems containsSemiMixedTypes="0" containsString="0" containsNumber="1" minValue="0" maxValue="53203.833333333336"/>
    </cacheField>
    <cacheField name="New-Total Undg SCH" numFmtId="3">
      <sharedItems containsSemiMixedTypes="0" containsString="0" containsNumber="1" minValue="0" maxValue="1544556"/>
    </cacheField>
    <cacheField name="New-Total Undg SCH FTE" numFmtId="3">
      <sharedItems containsSemiMixedTypes="0" containsString="0" containsNumber="1" minValue="0" maxValue="51485.2"/>
    </cacheField>
    <cacheField name="Old-Total HS SCH" numFmtId="0">
      <sharedItems containsString="0" containsBlank="1" containsNumber="1" minValue="0" maxValue="124002"/>
    </cacheField>
    <cacheField name="New-Total HS SCH" numFmtId="0">
      <sharedItems containsString="0" containsBlank="1" containsNumber="1" minValue="0" maxValue="147425"/>
    </cacheField>
    <cacheField name="Old-Total Undg SCH2" numFmtId="3">
      <sharedItems containsSemiMixedTypes="0" containsString="0" containsNumber="1" minValue="0" maxValue="1596115"/>
    </cacheField>
    <cacheField name="New-Total Undg SCH2" numFmtId="3">
      <sharedItems containsSemiMixedTypes="0" containsString="0" containsNumber="1" minValue="0" maxValue="1544556"/>
    </cacheField>
    <cacheField name="old-Winter Undg CH" numFmtId="0">
      <sharedItems containsString="0" containsBlank="1" containsNumber="1" containsInteger="1" minValue="0" maxValue="728897"/>
    </cacheField>
    <cacheField name="new-Winter Undg CH" numFmtId="0">
      <sharedItems containsString="0" containsBlank="1" containsNumber="1" containsInteger="1" minValue="0" maxValue="756491"/>
    </cacheField>
    <cacheField name="old-Spring Undg CH" numFmtId="0">
      <sharedItems containsString="0" containsBlank="1" containsNumber="1" containsInteger="1" minValue="0" maxValue="1233420"/>
    </cacheField>
    <cacheField name="new-Spring Undg CH" numFmtId="0">
      <sharedItems containsString="0" containsBlank="1" containsNumber="1" containsInteger="1" minValue="0" maxValue="1154965"/>
    </cacheField>
    <cacheField name="old-Summer Undg CH" numFmtId="0">
      <sharedItems containsString="0" containsBlank="1" containsNumber="1" containsInteger="1" minValue="0" maxValue="921686"/>
    </cacheField>
    <cacheField name="new-Summer Undg CH" numFmtId="0">
      <sharedItems containsString="0" containsBlank="1" containsNumber="1" containsInteger="1" minValue="0" maxValue="969985"/>
    </cacheField>
    <cacheField name="old-Fall Undg CH" numFmtId="0">
      <sharedItems containsString="0" containsBlank="1" containsNumber="1" containsInteger="1" minValue="0" maxValue="1452946"/>
    </cacheField>
    <cacheField name="new-Fall Undg CH" numFmtId="0">
      <sharedItems containsString="0" containsBlank="1" containsNumber="1" minValue="0" maxValue="1421155.25"/>
    </cacheField>
    <cacheField name="Old-Total Undg CH" numFmtId="3">
      <sharedItems containsSemiMixedTypes="0" containsString="0" containsNumber="1" containsInteger="1" minValue="0" maxValue="3263410"/>
    </cacheField>
    <cacheField name="Old-Total Undg CH FTE" numFmtId="3">
      <sharedItems containsSemiMixedTypes="0" containsString="0" containsNumber="1" minValue="0" maxValue="3626.0111111111109"/>
    </cacheField>
    <cacheField name="New-Total Undg CH" numFmtId="3">
      <sharedItems containsSemiMixedTypes="0" containsString="0" containsNumber="1" minValue="0" maxValue="3246220"/>
    </cacheField>
    <cacheField name="New-Total Undg CH FTE" numFmtId="3">
      <sharedItems containsSemiMixedTypes="0" containsString="0" containsNumber="1" minValue="0" maxValue="3606.911111111111"/>
    </cacheField>
    <cacheField name="Old-Total HS CH" numFmtId="3">
      <sharedItems containsString="0" containsBlank="1" containsNumber="1" containsInteger="1" minValue="0" maxValue="92565"/>
    </cacheField>
    <cacheField name="New-Total HS CH" numFmtId="0">
      <sharedItems containsString="0" containsBlank="1" containsNumber="1" containsInteger="1" minValue="0" maxValue="77791"/>
    </cacheField>
    <cacheField name="Old-Total Undg CH2" numFmtId="3">
      <sharedItems containsSemiMixedTypes="0" containsString="0" containsNumber="1" containsInteger="1" minValue="0" maxValue="3263410"/>
    </cacheField>
    <cacheField name="New-Total Undg CH2" numFmtId="3">
      <sharedItems containsSemiMixedTypes="0" containsString="0" containsNumber="1" containsInteger="1" minValue="0" maxValue="3246220"/>
    </cacheField>
    <cacheField name="New-Total HSH" numFmtId="0" formula="'New-Total HS SCH'+'New-Total HS CH'" databaseField="0"/>
    <cacheField name="New-Total UGH" numFmtId="0" formula="'New-Total Undg SCH2'+'New-Total Undg CH2'" databaseField="0"/>
    <cacheField name="New-HS % of Total" numFmtId="0" formula="IF('New-Total UGH'&gt;0,('New-Total HSH'/'New-Total UGH'))" databaseField="0"/>
    <cacheField name="Old-HS % of Total" numFmtId="0" formula="IF('Old-Total UGH'&gt;0,('Old-Total HSH'/'Old-Total UGH'),)" databaseField="0"/>
    <cacheField name="Category2" numFmtId="0" databaseField="0">
      <fieldGroup base="4">
        <discretePr count="19">
          <x v="2"/>
          <x v="2"/>
          <x v="2"/>
          <x v="2"/>
          <x v="2"/>
          <x v="2"/>
          <x v="3"/>
          <x v="3"/>
          <x v="3"/>
          <x v="4"/>
          <x v="4"/>
          <x v="3"/>
          <x v="1"/>
          <x v="5"/>
          <x v="6"/>
          <x v="7"/>
          <x v="8"/>
          <x v="4"/>
          <x v="0"/>
        </discretePr>
        <groupItems count="9">
          <n v="15"/>
          <n v="11"/>
          <s v="Group1"/>
          <s v="Group2"/>
          <s v="Group3"/>
          <n v="99"/>
          <s v="08b"/>
          <s v="09b"/>
          <s v="10b"/>
        </groupItems>
      </fieldGroup>
    </cacheField>
    <cacheField name="Old-Total UGH" numFmtId="0" formula="'Old-Total Undg SCH2'+'Old-Total Undg CH2'" databaseField="0"/>
    <cacheField name="Old-Total HSH" numFmtId="0" formula="'Old-Total HS SCH'+'Old-Total HS CH'" databaseField="0"/>
    <cacheField name="HS % Change" numFmtId="0" formula="'New-HS % of Total'-'Old-HS % of Tot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0">
  <r>
    <x v="0"/>
    <s v="Auburn University"/>
    <m/>
    <n v="100858"/>
    <x v="0"/>
    <s v="sem"/>
    <m/>
    <m/>
    <m/>
    <n v="259985"/>
    <n v="259107"/>
    <n v="52912"/>
    <n v="50758"/>
    <n v="281418"/>
    <n v="275688"/>
    <n v="594315"/>
    <n v="19810.5"/>
    <n v="585553"/>
    <n v="19518.433333333334"/>
    <n v="25"/>
    <n v="99"/>
    <n v="594315"/>
    <n v="585553"/>
    <m/>
    <m/>
    <m/>
    <m/>
    <m/>
    <m/>
    <m/>
    <m/>
    <n v="0"/>
    <n v="0"/>
    <n v="0"/>
    <n v="0"/>
    <m/>
    <m/>
    <n v="0"/>
    <n v="0"/>
    <m/>
    <m/>
    <n v="37569"/>
    <n v="37185"/>
    <n v="18898"/>
    <n v="18909"/>
    <n v="38590"/>
    <n v="38867"/>
    <n v="95057"/>
    <n v="3960.7083333333335"/>
    <n v="94961"/>
    <n v="3956.7083333333335"/>
    <n v="23771.208333333332"/>
    <n v="23475.141666666666"/>
  </r>
  <r>
    <x v="0"/>
    <s v="University of Alabama "/>
    <m/>
    <n v="100751"/>
    <x v="0"/>
    <s v="sem"/>
    <m/>
    <m/>
    <m/>
    <n v="335465"/>
    <n v="358247"/>
    <n v="65235"/>
    <n v="66115"/>
    <n v="378743"/>
    <n v="396463"/>
    <n v="779443"/>
    <n v="25981.433333333334"/>
    <n v="820825"/>
    <n v="27360.833333333332"/>
    <n v="2270"/>
    <n v="3444"/>
    <n v="779443"/>
    <n v="820825"/>
    <m/>
    <m/>
    <m/>
    <m/>
    <m/>
    <m/>
    <m/>
    <m/>
    <n v="0"/>
    <n v="0"/>
    <n v="0"/>
    <n v="0"/>
    <m/>
    <m/>
    <n v="0"/>
    <n v="0"/>
    <m/>
    <m/>
    <n v="44097"/>
    <n v="42231"/>
    <n v="11779"/>
    <n v="11449"/>
    <n v="42685"/>
    <n v="41818"/>
    <n v="98561"/>
    <n v="4106.708333333333"/>
    <n v="95498"/>
    <n v="3979.0833333333335"/>
    <n v="30088.141666666666"/>
    <n v="31339.916666666664"/>
  </r>
  <r>
    <x v="0"/>
    <s v="University of Alabama at Birmingham"/>
    <m/>
    <n v="100663"/>
    <x v="1"/>
    <s v="sem"/>
    <m/>
    <m/>
    <m/>
    <n v="114176"/>
    <n v="114787"/>
    <n v="27236"/>
    <n v="26289"/>
    <n v="125808"/>
    <n v="126614"/>
    <n v="267220"/>
    <n v="8907.3333333333339"/>
    <n v="267690"/>
    <n v="8923"/>
    <n v="53"/>
    <n v="56"/>
    <n v="267220"/>
    <n v="267690"/>
    <m/>
    <m/>
    <m/>
    <m/>
    <m/>
    <m/>
    <m/>
    <m/>
    <n v="0"/>
    <n v="0"/>
    <n v="0"/>
    <n v="0"/>
    <m/>
    <m/>
    <n v="0"/>
    <n v="0"/>
    <m/>
    <m/>
    <n v="17419"/>
    <n v="16955"/>
    <n v="10686"/>
    <n v="10916"/>
    <n v="17307"/>
    <n v="17062"/>
    <n v="45412"/>
    <n v="1892.1666666666667"/>
    <n v="44933"/>
    <n v="1872.2083333333333"/>
    <n v="10799.5"/>
    <n v="10795.208333333334"/>
  </r>
  <r>
    <x v="0"/>
    <s v="University of Alabama in Huntsville"/>
    <s v="Met the criteria for Four-Year 3 in 2013-14"/>
    <n v="100706"/>
    <x v="1"/>
    <s v="sem"/>
    <m/>
    <m/>
    <m/>
    <n v="67235"/>
    <n v="64626"/>
    <n v="16673"/>
    <n v="14464"/>
    <n v="70916"/>
    <n v="68285"/>
    <n v="154824"/>
    <n v="5160.8"/>
    <n v="147375"/>
    <n v="4912.5"/>
    <n v="429"/>
    <n v="360"/>
    <n v="154824"/>
    <n v="147375"/>
    <m/>
    <m/>
    <m/>
    <m/>
    <m/>
    <m/>
    <m/>
    <m/>
    <n v="0"/>
    <n v="0"/>
    <n v="0"/>
    <n v="0"/>
    <m/>
    <m/>
    <n v="0"/>
    <n v="0"/>
    <m/>
    <m/>
    <n v="9641"/>
    <n v="9579"/>
    <n v="4718"/>
    <n v="4372"/>
    <n v="10609"/>
    <n v="10617"/>
    <n v="24968"/>
    <n v="1040.3333333333333"/>
    <n v="24568"/>
    <n v="1023.6666666666666"/>
    <n v="6201.1333333333332"/>
    <n v="5936.166666666667"/>
  </r>
  <r>
    <x v="0"/>
    <s v="Alabama Agricultural &amp; Mechanical University"/>
    <m/>
    <n v="100654"/>
    <x v="2"/>
    <s v="sem"/>
    <m/>
    <m/>
    <m/>
    <n v="51589"/>
    <n v="51713"/>
    <n v="5098"/>
    <n v="3730"/>
    <n v="56726"/>
    <n v="57079"/>
    <n v="113413"/>
    <n v="3780.4333333333334"/>
    <n v="112522"/>
    <n v="3750.7333333333331"/>
    <n v="0"/>
    <n v="0"/>
    <n v="113413"/>
    <n v="112522"/>
    <m/>
    <m/>
    <m/>
    <m/>
    <m/>
    <m/>
    <m/>
    <m/>
    <n v="0"/>
    <n v="0"/>
    <n v="0"/>
    <n v="0"/>
    <m/>
    <m/>
    <n v="0"/>
    <n v="0"/>
    <m/>
    <m/>
    <n v="5570"/>
    <n v="6129"/>
    <n v="2533"/>
    <n v="2740"/>
    <n v="6049"/>
    <n v="7688"/>
    <n v="14152"/>
    <n v="589.66666666666663"/>
    <n v="16557"/>
    <n v="689.875"/>
    <n v="4370.1000000000004"/>
    <n v="4440.6083333333336"/>
  </r>
  <r>
    <x v="0"/>
    <s v="Jacksonville State University "/>
    <m/>
    <n v="101480"/>
    <x v="2"/>
    <s v="sem"/>
    <m/>
    <m/>
    <m/>
    <n v="90905"/>
    <n v="87589"/>
    <n v="24046"/>
    <n v="21686"/>
    <n v="96360"/>
    <n v="92477"/>
    <n v="211311"/>
    <n v="7043.7"/>
    <n v="201752"/>
    <n v="6725.0666666666666"/>
    <n v="1582"/>
    <n v="1509"/>
    <n v="211311"/>
    <n v="201752"/>
    <m/>
    <m/>
    <m/>
    <m/>
    <m/>
    <m/>
    <m/>
    <m/>
    <n v="0"/>
    <n v="0"/>
    <n v="0"/>
    <n v="0"/>
    <m/>
    <m/>
    <n v="0"/>
    <n v="0"/>
    <m/>
    <m/>
    <n v="6595"/>
    <n v="6140"/>
    <n v="4374"/>
    <n v="4171"/>
    <n v="6726"/>
    <n v="6303"/>
    <n v="17695"/>
    <n v="737.29166666666663"/>
    <n v="16614"/>
    <n v="692.25"/>
    <n v="7780.9916666666668"/>
    <n v="7417.3166666666666"/>
  </r>
  <r>
    <x v="0"/>
    <s v="Troy University"/>
    <m/>
    <n v="102368"/>
    <x v="2"/>
    <s v="sem"/>
    <m/>
    <m/>
    <m/>
    <n v="132577"/>
    <n v="123722"/>
    <n v="29852"/>
    <n v="26401"/>
    <n v="133008"/>
    <n v="129018"/>
    <n v="295437"/>
    <n v="9847.9"/>
    <n v="279141"/>
    <n v="9304.7000000000007"/>
    <n v="509"/>
    <n v="916"/>
    <n v="295437"/>
    <n v="279141"/>
    <m/>
    <m/>
    <m/>
    <m/>
    <m/>
    <m/>
    <m/>
    <m/>
    <n v="0"/>
    <n v="0"/>
    <n v="0"/>
    <n v="0"/>
    <m/>
    <m/>
    <n v="0"/>
    <n v="0"/>
    <m/>
    <m/>
    <n v="16623"/>
    <n v="16274"/>
    <n v="6676"/>
    <n v="6701"/>
    <n v="16194"/>
    <n v="15509"/>
    <n v="39493"/>
    <n v="1645.5416666666667"/>
    <n v="38484"/>
    <n v="1603.5"/>
    <n v="11493.441666666666"/>
    <n v="10908.2"/>
  </r>
  <r>
    <x v="0"/>
    <s v="University of South Alabama"/>
    <m/>
    <n v="102094"/>
    <x v="2"/>
    <s v="sem"/>
    <m/>
    <m/>
    <m/>
    <n v="115368"/>
    <n v="116928"/>
    <n v="24909"/>
    <n v="22266"/>
    <n v="128798"/>
    <n v="128080"/>
    <n v="269075"/>
    <n v="8969.1666666666661"/>
    <n v="267274"/>
    <n v="8909.1333333333332"/>
    <n v="266"/>
    <n v="172"/>
    <n v="269075"/>
    <n v="267274"/>
    <m/>
    <m/>
    <m/>
    <m/>
    <m/>
    <m/>
    <m/>
    <m/>
    <n v="0"/>
    <n v="0"/>
    <n v="0"/>
    <n v="0"/>
    <m/>
    <m/>
    <n v="0"/>
    <n v="0"/>
    <m/>
    <m/>
    <n v="6102"/>
    <n v="5795"/>
    <n v="3231"/>
    <n v="3432"/>
    <n v="5916"/>
    <n v="6385"/>
    <n v="15249"/>
    <n v="635.375"/>
    <n v="15612"/>
    <n v="650.5"/>
    <n v="9604.5416666666661"/>
    <n v="9559.6333333333332"/>
  </r>
  <r>
    <x v="0"/>
    <s v="Alabama State University "/>
    <m/>
    <n v="100724"/>
    <x v="3"/>
    <s v="sem"/>
    <m/>
    <m/>
    <m/>
    <n v="64284"/>
    <n v="69598"/>
    <n v="15082"/>
    <n v="12784"/>
    <n v="74906"/>
    <n v="78705"/>
    <n v="154272"/>
    <n v="5142.3999999999996"/>
    <n v="161087"/>
    <n v="5369.5666666666666"/>
    <n v="0"/>
    <n v="0"/>
    <n v="154272"/>
    <n v="161087"/>
    <m/>
    <m/>
    <m/>
    <m/>
    <m/>
    <m/>
    <m/>
    <m/>
    <n v="0"/>
    <n v="0"/>
    <n v="0"/>
    <n v="0"/>
    <m/>
    <m/>
    <n v="0"/>
    <n v="0"/>
    <m/>
    <m/>
    <n v="5871"/>
    <n v="5538"/>
    <n v="3658"/>
    <n v="3061"/>
    <n v="4534"/>
    <n v="6575"/>
    <n v="14063"/>
    <n v="585.95833333333337"/>
    <n v="15174"/>
    <n v="632.25"/>
    <n v="5728.3583333333327"/>
    <n v="6001.8166666666666"/>
  </r>
  <r>
    <x v="0"/>
    <s v="Auburn University at Montgomery"/>
    <m/>
    <n v="100830"/>
    <x v="3"/>
    <s v="sem"/>
    <m/>
    <m/>
    <m/>
    <n v="44134"/>
    <n v="44045"/>
    <n v="13607"/>
    <n v="12522"/>
    <n v="51295"/>
    <n v="50998"/>
    <n v="109036"/>
    <n v="3634.5333333333333"/>
    <n v="107565"/>
    <n v="3585.5"/>
    <n v="159"/>
    <n v="543"/>
    <n v="109036"/>
    <n v="107565"/>
    <m/>
    <m/>
    <m/>
    <m/>
    <m/>
    <m/>
    <m/>
    <m/>
    <n v="0"/>
    <n v="0"/>
    <n v="0"/>
    <n v="0"/>
    <m/>
    <m/>
    <n v="0"/>
    <n v="0"/>
    <m/>
    <m/>
    <n v="5482"/>
    <n v="5027"/>
    <n v="2655"/>
    <n v="2455"/>
    <n v="4907"/>
    <n v="4824"/>
    <n v="13044"/>
    <n v="543.5"/>
    <n v="12306"/>
    <n v="512.75"/>
    <n v="4178.0333333333328"/>
    <n v="4098.25"/>
  </r>
  <r>
    <x v="0"/>
    <s v="University of North Alabama"/>
    <m/>
    <n v="101879"/>
    <x v="3"/>
    <s v="sem"/>
    <m/>
    <m/>
    <m/>
    <n v="69517"/>
    <n v="69739"/>
    <n v="13695"/>
    <n v="13056"/>
    <n v="75503"/>
    <n v="73482"/>
    <n v="158715"/>
    <n v="5290.5"/>
    <n v="156277"/>
    <n v="5209.2333333333336"/>
    <n v="2843"/>
    <n v="2439"/>
    <n v="158715"/>
    <n v="156277"/>
    <m/>
    <m/>
    <m/>
    <m/>
    <m/>
    <m/>
    <m/>
    <m/>
    <n v="0"/>
    <n v="0"/>
    <n v="0"/>
    <n v="0"/>
    <m/>
    <m/>
    <n v="0"/>
    <n v="0"/>
    <m/>
    <m/>
    <n v="6294"/>
    <n v="5291"/>
    <n v="3167"/>
    <n v="3144"/>
    <n v="5777"/>
    <n v="5311"/>
    <n v="15238"/>
    <n v="634.91666666666663"/>
    <n v="13746"/>
    <n v="572.75"/>
    <n v="5925.416666666667"/>
    <n v="5781.9833333333336"/>
  </r>
  <r>
    <x v="0"/>
    <s v="University of Montevallo"/>
    <m/>
    <n v="101709"/>
    <x v="4"/>
    <s v="sem"/>
    <m/>
    <m/>
    <m/>
    <n v="31661"/>
    <n v="32559"/>
    <n v="5829"/>
    <n v="5820"/>
    <n v="35251"/>
    <n v="35788"/>
    <n v="72741"/>
    <n v="2424.6999999999998"/>
    <n v="74167"/>
    <n v="2472.2333333333331"/>
    <n v="52"/>
    <n v="71"/>
    <n v="72741"/>
    <n v="74167"/>
    <m/>
    <m/>
    <m/>
    <m/>
    <m/>
    <m/>
    <m/>
    <m/>
    <n v="0"/>
    <n v="0"/>
    <n v="0"/>
    <n v="0"/>
    <m/>
    <m/>
    <n v="0"/>
    <n v="0"/>
    <m/>
    <m/>
    <n v="3422"/>
    <n v="3104"/>
    <n v="2367"/>
    <n v="2097"/>
    <n v="3425"/>
    <n v="3082"/>
    <n v="9214"/>
    <n v="383.91666666666669"/>
    <n v="8283"/>
    <n v="345.125"/>
    <n v="2808.6166666666663"/>
    <n v="2817.3583333333331"/>
  </r>
  <r>
    <x v="0"/>
    <s v="University of West Alabama"/>
    <m/>
    <n v="101587"/>
    <x v="4"/>
    <s v="sem"/>
    <m/>
    <m/>
    <m/>
    <n v="23498"/>
    <n v="23569"/>
    <n v="4215"/>
    <n v="3223"/>
    <n v="25288"/>
    <n v="25571"/>
    <n v="53001"/>
    <n v="1766.7"/>
    <n v="52363"/>
    <n v="1745.4333333333334"/>
    <n v="139"/>
    <n v="730"/>
    <n v="53001"/>
    <n v="52363"/>
    <m/>
    <m/>
    <m/>
    <m/>
    <m/>
    <m/>
    <m/>
    <m/>
    <n v="0"/>
    <n v="0"/>
    <n v="0"/>
    <n v="0"/>
    <m/>
    <m/>
    <n v="0"/>
    <n v="0"/>
    <m/>
    <m/>
    <n v="18625"/>
    <n v="15828"/>
    <n v="10100"/>
    <n v="8074"/>
    <n v="15711"/>
    <n v="13911"/>
    <n v="44436"/>
    <n v="1851.5"/>
    <n v="37813"/>
    <n v="1575.5416666666667"/>
    <n v="3618.2"/>
    <n v="3320.9750000000004"/>
  </r>
  <r>
    <x v="0"/>
    <s v="Athens State University"/>
    <m/>
    <n v="100812"/>
    <x v="5"/>
    <s v="sem"/>
    <m/>
    <m/>
    <m/>
    <n v="31712"/>
    <n v="31273"/>
    <n v="19256"/>
    <n v="18380"/>
    <n v="32618"/>
    <n v="30076"/>
    <n v="83586"/>
    <n v="2786.2"/>
    <n v="79729"/>
    <n v="2657.6333333333332"/>
    <n v="0"/>
    <n v="0"/>
    <n v="83586"/>
    <n v="79729"/>
    <m/>
    <m/>
    <m/>
    <m/>
    <m/>
    <m/>
    <m/>
    <m/>
    <n v="0"/>
    <n v="0"/>
    <n v="0"/>
    <n v="0"/>
    <m/>
    <m/>
    <n v="0"/>
    <n v="0"/>
    <m/>
    <m/>
    <m/>
    <m/>
    <m/>
    <m/>
    <m/>
    <m/>
    <n v="0"/>
    <n v="0"/>
    <n v="0"/>
    <n v="0"/>
    <n v="2786.2"/>
    <n v="2657.6333333333332"/>
  </r>
  <r>
    <x v="0"/>
    <s v="Gadsden State Community College"/>
    <s v="Met the criteria for Two-Year 2 in 2013-14."/>
    <n v="101240"/>
    <x v="6"/>
    <s v="sem"/>
    <m/>
    <m/>
    <m/>
    <n v="65629"/>
    <n v="56399"/>
    <n v="25636"/>
    <n v="22934"/>
    <n v="60162"/>
    <n v="59585"/>
    <n v="151427"/>
    <n v="5047.5666666666666"/>
    <n v="138918"/>
    <n v="4630.6000000000004"/>
    <n v="2848"/>
    <n v="2869"/>
    <n v="151427"/>
    <n v="138918"/>
    <m/>
    <m/>
    <m/>
    <m/>
    <m/>
    <m/>
    <m/>
    <m/>
    <n v="0"/>
    <n v="0"/>
    <n v="0"/>
    <n v="0"/>
    <m/>
    <m/>
    <n v="0"/>
    <n v="0"/>
    <m/>
    <m/>
    <m/>
    <m/>
    <m/>
    <m/>
    <m/>
    <m/>
    <n v="0"/>
    <n v="0"/>
    <n v="0"/>
    <n v="0"/>
    <n v="5047.5666666666666"/>
    <n v="4630.6000000000004"/>
  </r>
  <r>
    <x v="0"/>
    <s v="Jefferson State Community College"/>
    <m/>
    <n v="101505"/>
    <x v="6"/>
    <s v="sem"/>
    <m/>
    <m/>
    <m/>
    <n v="74288"/>
    <n v="68911"/>
    <n v="39473"/>
    <n v="37089"/>
    <n v="75268"/>
    <n v="72385"/>
    <n v="189029"/>
    <n v="6300.9666666666662"/>
    <n v="178385"/>
    <n v="5946.166666666667"/>
    <n v="4722"/>
    <n v="5103"/>
    <n v="189029"/>
    <n v="178385"/>
    <m/>
    <m/>
    <m/>
    <m/>
    <m/>
    <m/>
    <m/>
    <m/>
    <n v="0"/>
    <n v="0"/>
    <n v="0"/>
    <n v="0"/>
    <m/>
    <m/>
    <n v="0"/>
    <n v="0"/>
    <m/>
    <m/>
    <m/>
    <m/>
    <m/>
    <m/>
    <m/>
    <m/>
    <n v="0"/>
    <n v="0"/>
    <n v="0"/>
    <n v="0"/>
    <n v="6300.9666666666662"/>
    <n v="5946.166666666667"/>
  </r>
  <r>
    <x v="0"/>
    <s v="John C. Calhoun State Community College "/>
    <m/>
    <n v="101514"/>
    <x v="6"/>
    <s v="sem"/>
    <m/>
    <m/>
    <m/>
    <n v="101146"/>
    <n v="94288"/>
    <n v="43406"/>
    <n v="41006"/>
    <n v="102046"/>
    <n v="101183"/>
    <n v="246598"/>
    <n v="8219.9333333333325"/>
    <n v="236477"/>
    <n v="7882.5666666666666"/>
    <n v="9766"/>
    <n v="7824"/>
    <n v="246598"/>
    <n v="236477"/>
    <m/>
    <m/>
    <m/>
    <m/>
    <m/>
    <m/>
    <m/>
    <m/>
    <n v="0"/>
    <n v="0"/>
    <n v="0"/>
    <n v="0"/>
    <m/>
    <m/>
    <n v="0"/>
    <n v="0"/>
    <m/>
    <m/>
    <m/>
    <m/>
    <m/>
    <m/>
    <m/>
    <m/>
    <n v="0"/>
    <n v="0"/>
    <n v="0"/>
    <n v="0"/>
    <n v="8219.9333333333325"/>
    <n v="7882.5666666666666"/>
  </r>
  <r>
    <x v="0"/>
    <s v="Wallace Community College - Hanceville"/>
    <s v="Met the criteria for Two-Year 2 in 2012-13 and 2013-14."/>
    <n v="101295"/>
    <x v="6"/>
    <s v="sem"/>
    <m/>
    <m/>
    <m/>
    <n v="59866"/>
    <n v="53640"/>
    <n v="27052"/>
    <n v="22236"/>
    <n v="59667"/>
    <n v="57357"/>
    <n v="146585"/>
    <n v="4886.166666666667"/>
    <n v="133233"/>
    <n v="4441.1000000000004"/>
    <n v="5314"/>
    <n v="5228"/>
    <n v="146585"/>
    <n v="133233"/>
    <m/>
    <m/>
    <m/>
    <m/>
    <m/>
    <m/>
    <m/>
    <m/>
    <n v="0"/>
    <n v="0"/>
    <n v="0"/>
    <n v="0"/>
    <m/>
    <m/>
    <n v="0"/>
    <n v="0"/>
    <m/>
    <m/>
    <m/>
    <m/>
    <m/>
    <m/>
    <m/>
    <m/>
    <n v="0"/>
    <n v="0"/>
    <n v="0"/>
    <n v="0"/>
    <n v="4886.166666666667"/>
    <n v="4441.1000000000004"/>
  </r>
  <r>
    <x v="0"/>
    <s v="Bevill State Community College"/>
    <m/>
    <n v="102429"/>
    <x v="7"/>
    <s v="sem"/>
    <m/>
    <m/>
    <m/>
    <n v="37298"/>
    <n v="34741"/>
    <n v="16306"/>
    <n v="15485"/>
    <n v="38890"/>
    <n v="36216"/>
    <n v="92494"/>
    <n v="3083.1333333333332"/>
    <n v="86442"/>
    <n v="2881.4"/>
    <n v="2066"/>
    <n v="2567"/>
    <n v="92494"/>
    <n v="86442"/>
    <m/>
    <m/>
    <m/>
    <m/>
    <m/>
    <m/>
    <m/>
    <m/>
    <n v="0"/>
    <n v="0"/>
    <n v="0"/>
    <n v="0"/>
    <m/>
    <m/>
    <n v="0"/>
    <n v="0"/>
    <m/>
    <m/>
    <m/>
    <m/>
    <m/>
    <m/>
    <m/>
    <m/>
    <n v="0"/>
    <n v="0"/>
    <n v="0"/>
    <n v="0"/>
    <n v="3083.1333333333332"/>
    <n v="2881.4"/>
  </r>
  <r>
    <x v="0"/>
    <s v="Bishop State Community College"/>
    <m/>
    <n v="102030"/>
    <x v="7"/>
    <s v="sem"/>
    <m/>
    <m/>
    <m/>
    <n v="36732"/>
    <n v="34127"/>
    <n v="12916"/>
    <n v="13348"/>
    <n v="37181"/>
    <n v="38396"/>
    <n v="86829"/>
    <n v="2894.3"/>
    <n v="85871"/>
    <n v="2862.3666666666668"/>
    <n v="3231"/>
    <n v="3025"/>
    <n v="86829"/>
    <n v="85871"/>
    <m/>
    <m/>
    <m/>
    <m/>
    <m/>
    <m/>
    <m/>
    <m/>
    <n v="0"/>
    <n v="0"/>
    <n v="0"/>
    <n v="0"/>
    <m/>
    <m/>
    <n v="0"/>
    <n v="0"/>
    <m/>
    <m/>
    <m/>
    <m/>
    <m/>
    <m/>
    <m/>
    <m/>
    <n v="0"/>
    <n v="0"/>
    <n v="0"/>
    <n v="0"/>
    <n v="2894.3"/>
    <n v="2862.3666666666668"/>
  </r>
  <r>
    <x v="0"/>
    <s v="Central Alabama Community College"/>
    <s v="Met the criteria for Two-Year 3 in 2012-13 and 2013-14."/>
    <n v="100760"/>
    <x v="7"/>
    <s v="sem"/>
    <m/>
    <m/>
    <m/>
    <n v="23002"/>
    <n v="17754"/>
    <n v="8636"/>
    <n v="6704"/>
    <n v="20219"/>
    <n v="18011"/>
    <n v="51857"/>
    <n v="1728.5666666666666"/>
    <n v="42469"/>
    <n v="1415.6333333333334"/>
    <n v="455"/>
    <n v="1098"/>
    <n v="51857"/>
    <n v="42469"/>
    <m/>
    <m/>
    <m/>
    <m/>
    <m/>
    <m/>
    <m/>
    <m/>
    <n v="0"/>
    <n v="0"/>
    <n v="0"/>
    <n v="0"/>
    <m/>
    <m/>
    <n v="0"/>
    <n v="0"/>
    <m/>
    <m/>
    <m/>
    <m/>
    <m/>
    <m/>
    <m/>
    <m/>
    <n v="0"/>
    <n v="0"/>
    <n v="0"/>
    <n v="0"/>
    <n v="1728.5666666666666"/>
    <n v="1415.6333333333334"/>
  </r>
  <r>
    <x v="0"/>
    <s v="Enterprise State Community College"/>
    <m/>
    <n v="101143"/>
    <x v="7"/>
    <s v="sem"/>
    <m/>
    <m/>
    <m/>
    <n v="29240"/>
    <n v="25087"/>
    <n v="12862"/>
    <n v="9990"/>
    <n v="27961"/>
    <n v="25182"/>
    <n v="70063"/>
    <n v="2335.4333333333334"/>
    <n v="60259"/>
    <n v="2008.6333333333334"/>
    <n v="3088"/>
    <n v="3803"/>
    <n v="70063"/>
    <n v="60259"/>
    <m/>
    <m/>
    <m/>
    <m/>
    <m/>
    <m/>
    <m/>
    <m/>
    <n v="0"/>
    <n v="0"/>
    <n v="0"/>
    <n v="0"/>
    <m/>
    <m/>
    <n v="0"/>
    <n v="0"/>
    <m/>
    <m/>
    <m/>
    <m/>
    <m/>
    <m/>
    <m/>
    <m/>
    <n v="0"/>
    <n v="0"/>
    <n v="0"/>
    <n v="0"/>
    <n v="2335.4333333333334"/>
    <n v="2008.6333333333334"/>
  </r>
  <r>
    <x v="0"/>
    <s v="George C. Wallace State Community College - Dothan"/>
    <m/>
    <n v="101286"/>
    <x v="7"/>
    <s v="sem"/>
    <m/>
    <m/>
    <m/>
    <n v="43429"/>
    <n v="42480"/>
    <n v="21192"/>
    <n v="20701"/>
    <n v="45168"/>
    <n v="45807"/>
    <n v="109789"/>
    <n v="3659.6333333333332"/>
    <n v="108988"/>
    <n v="3632.9333333333334"/>
    <n v="2666"/>
    <n v="3092"/>
    <n v="109789"/>
    <n v="108988"/>
    <m/>
    <m/>
    <m/>
    <m/>
    <m/>
    <m/>
    <m/>
    <m/>
    <n v="0"/>
    <n v="0"/>
    <n v="0"/>
    <n v="0"/>
    <m/>
    <m/>
    <n v="0"/>
    <n v="0"/>
    <m/>
    <m/>
    <m/>
    <m/>
    <m/>
    <m/>
    <m/>
    <m/>
    <n v="0"/>
    <n v="0"/>
    <n v="0"/>
    <n v="0"/>
    <n v="3659.6333333333332"/>
    <n v="3632.9333333333334"/>
  </r>
  <r>
    <x v="0"/>
    <s v="James H. Faulkner State Community College"/>
    <m/>
    <n v="101161"/>
    <x v="7"/>
    <s v="sem"/>
    <m/>
    <m/>
    <m/>
    <n v="48541"/>
    <n v="45192"/>
    <n v="20014"/>
    <n v="18230"/>
    <n v="47713"/>
    <n v="48163"/>
    <n v="116268"/>
    <n v="3875.6"/>
    <n v="111585"/>
    <n v="3719.5"/>
    <n v="2813"/>
    <n v="2719"/>
    <n v="116268"/>
    <n v="111585"/>
    <m/>
    <m/>
    <m/>
    <m/>
    <m/>
    <m/>
    <m/>
    <m/>
    <n v="0"/>
    <n v="0"/>
    <n v="0"/>
    <n v="0"/>
    <m/>
    <m/>
    <n v="0"/>
    <n v="0"/>
    <m/>
    <m/>
    <m/>
    <m/>
    <m/>
    <m/>
    <m/>
    <m/>
    <n v="0"/>
    <n v="0"/>
    <n v="0"/>
    <n v="0"/>
    <n v="3875.6"/>
    <n v="3719.5"/>
  </r>
  <r>
    <x v="0"/>
    <s v="Lawson State Community College "/>
    <m/>
    <n v="101569"/>
    <x v="7"/>
    <s v="sem"/>
    <m/>
    <m/>
    <m/>
    <n v="39365"/>
    <n v="32698"/>
    <n v="12916"/>
    <n v="12314"/>
    <n v="35848"/>
    <n v="32489"/>
    <n v="88129"/>
    <n v="2937.6333333333332"/>
    <n v="77501"/>
    <n v="2583.3666666666668"/>
    <n v="840"/>
    <n v="680"/>
    <n v="88129"/>
    <n v="77501"/>
    <m/>
    <m/>
    <m/>
    <m/>
    <m/>
    <m/>
    <m/>
    <m/>
    <n v="0"/>
    <n v="0"/>
    <n v="0"/>
    <n v="0"/>
    <m/>
    <m/>
    <n v="0"/>
    <n v="0"/>
    <m/>
    <m/>
    <m/>
    <m/>
    <m/>
    <m/>
    <m/>
    <m/>
    <n v="0"/>
    <n v="0"/>
    <n v="0"/>
    <n v="0"/>
    <n v="2937.6333333333332"/>
    <n v="2583.3666666666668"/>
  </r>
  <r>
    <x v="0"/>
    <s v="Northeast Alabama State Community College "/>
    <m/>
    <n v="101897"/>
    <x v="7"/>
    <s v="sem"/>
    <m/>
    <m/>
    <m/>
    <n v="30649"/>
    <n v="29166"/>
    <n v="13647"/>
    <n v="11793"/>
    <n v="31300"/>
    <n v="27962"/>
    <n v="75596"/>
    <n v="2519.8666666666668"/>
    <n v="68921"/>
    <n v="2297.3666666666668"/>
    <n v="3917"/>
    <n v="4267"/>
    <n v="75596"/>
    <n v="68921"/>
    <m/>
    <m/>
    <m/>
    <m/>
    <m/>
    <m/>
    <m/>
    <m/>
    <n v="0"/>
    <n v="0"/>
    <n v="0"/>
    <n v="0"/>
    <m/>
    <m/>
    <n v="0"/>
    <n v="0"/>
    <m/>
    <m/>
    <m/>
    <m/>
    <m/>
    <m/>
    <m/>
    <m/>
    <n v="0"/>
    <n v="0"/>
    <n v="0"/>
    <n v="0"/>
    <n v="2519.8666666666668"/>
    <n v="2297.3666666666668"/>
  </r>
  <r>
    <x v="0"/>
    <s v="Northwest-Shoals Community College"/>
    <m/>
    <n v="101736"/>
    <x v="7"/>
    <s v="sem"/>
    <m/>
    <m/>
    <m/>
    <n v="34653"/>
    <n v="32325"/>
    <n v="13315"/>
    <n v="12735"/>
    <n v="36130"/>
    <n v="36289"/>
    <n v="84098"/>
    <n v="2803.2666666666669"/>
    <n v="81349"/>
    <n v="2711.6333333333332"/>
    <n v="4002"/>
    <n v="4328"/>
    <n v="84098"/>
    <n v="81349"/>
    <m/>
    <m/>
    <m/>
    <m/>
    <m/>
    <m/>
    <m/>
    <m/>
    <n v="0"/>
    <n v="0"/>
    <n v="0"/>
    <n v="0"/>
    <m/>
    <m/>
    <n v="0"/>
    <n v="0"/>
    <m/>
    <m/>
    <m/>
    <m/>
    <m/>
    <m/>
    <m/>
    <m/>
    <n v="0"/>
    <n v="0"/>
    <n v="0"/>
    <n v="0"/>
    <n v="2803.2666666666669"/>
    <n v="2711.6333333333332"/>
  </r>
  <r>
    <x v="0"/>
    <s v="Shelton State Community College"/>
    <m/>
    <n v="102067"/>
    <x v="7"/>
    <s v="sem"/>
    <m/>
    <m/>
    <m/>
    <n v="48990"/>
    <n v="48172"/>
    <n v="22752"/>
    <n v="22682"/>
    <n v="52247"/>
    <n v="50746"/>
    <n v="123989"/>
    <n v="4132.9666666666662"/>
    <n v="121600"/>
    <n v="4053.3333333333335"/>
    <n v="501"/>
    <n v="437"/>
    <n v="123989"/>
    <n v="121600"/>
    <m/>
    <m/>
    <m/>
    <m/>
    <m/>
    <m/>
    <m/>
    <m/>
    <n v="0"/>
    <n v="0"/>
    <n v="0"/>
    <n v="0"/>
    <m/>
    <m/>
    <n v="0"/>
    <n v="0"/>
    <m/>
    <m/>
    <m/>
    <m/>
    <m/>
    <m/>
    <m/>
    <m/>
    <n v="0"/>
    <n v="0"/>
    <n v="0"/>
    <n v="0"/>
    <n v="4132.9666666666662"/>
    <n v="4053.3333333333335"/>
  </r>
  <r>
    <x v="0"/>
    <s v="Southern Union State Community College"/>
    <m/>
    <n v="251260"/>
    <x v="7"/>
    <s v="sem"/>
    <m/>
    <m/>
    <m/>
    <n v="52038"/>
    <n v="49665"/>
    <n v="21824"/>
    <n v="19863"/>
    <n v="54079"/>
    <n v="51771"/>
    <n v="127941"/>
    <n v="4264.7"/>
    <n v="121299"/>
    <n v="4043.3"/>
    <n v="799"/>
    <n v="814"/>
    <n v="127941"/>
    <n v="121299"/>
    <m/>
    <m/>
    <m/>
    <m/>
    <m/>
    <m/>
    <m/>
    <m/>
    <n v="0"/>
    <n v="0"/>
    <n v="0"/>
    <n v="0"/>
    <m/>
    <m/>
    <n v="0"/>
    <n v="0"/>
    <m/>
    <m/>
    <m/>
    <m/>
    <m/>
    <m/>
    <m/>
    <m/>
    <n v="0"/>
    <n v="0"/>
    <n v="0"/>
    <n v="0"/>
    <n v="4264.7"/>
    <n v="4043.3"/>
  </r>
  <r>
    <x v="0"/>
    <s v="Alabama Southern Community College"/>
    <m/>
    <n v="101949"/>
    <x v="8"/>
    <s v="sem"/>
    <m/>
    <m/>
    <m/>
    <n v="14934"/>
    <n v="14100"/>
    <n v="5146"/>
    <n v="4925"/>
    <n v="14698"/>
    <n v="15433"/>
    <n v="34778"/>
    <n v="1159.2666666666667"/>
    <n v="34458"/>
    <n v="1148.5999999999999"/>
    <n v="1146"/>
    <n v="1155"/>
    <n v="34778"/>
    <n v="34458"/>
    <m/>
    <m/>
    <m/>
    <m/>
    <m/>
    <m/>
    <m/>
    <m/>
    <n v="0"/>
    <n v="0"/>
    <n v="0"/>
    <n v="0"/>
    <m/>
    <m/>
    <n v="0"/>
    <n v="0"/>
    <m/>
    <m/>
    <m/>
    <m/>
    <m/>
    <m/>
    <m/>
    <m/>
    <n v="0"/>
    <n v="0"/>
    <n v="0"/>
    <n v="0"/>
    <n v="1159.2666666666667"/>
    <n v="1148.5999999999999"/>
  </r>
  <r>
    <x v="0"/>
    <s v="Chattahoochee Valley State Community College "/>
    <m/>
    <n v="101028"/>
    <x v="8"/>
    <s v="sem"/>
    <m/>
    <m/>
    <m/>
    <n v="16736"/>
    <n v="18190"/>
    <n v="5926"/>
    <n v="6794"/>
    <n v="17951"/>
    <n v="19222"/>
    <n v="40613"/>
    <n v="1353.7666666666667"/>
    <n v="44206"/>
    <n v="1473.5333333333333"/>
    <n v="980"/>
    <n v="687"/>
    <n v="40613"/>
    <n v="44206"/>
    <m/>
    <m/>
    <m/>
    <m/>
    <m/>
    <m/>
    <m/>
    <m/>
    <n v="0"/>
    <n v="0"/>
    <n v="0"/>
    <n v="0"/>
    <m/>
    <m/>
    <n v="0"/>
    <n v="0"/>
    <m/>
    <m/>
    <m/>
    <m/>
    <m/>
    <m/>
    <m/>
    <m/>
    <n v="0"/>
    <n v="0"/>
    <n v="0"/>
    <n v="0"/>
    <n v="1353.7666666666667"/>
    <n v="1473.5333333333333"/>
  </r>
  <r>
    <x v="0"/>
    <s v="George Corley Wallace State Community College - Selma"/>
    <m/>
    <n v="101301"/>
    <x v="8"/>
    <s v="sem"/>
    <m/>
    <m/>
    <m/>
    <n v="20519"/>
    <n v="17376"/>
    <n v="10681"/>
    <n v="10061"/>
    <n v="19796"/>
    <n v="18865"/>
    <n v="50996"/>
    <n v="1699.8666666666666"/>
    <n v="46302"/>
    <n v="1543.4"/>
    <n v="1437"/>
    <n v="1532"/>
    <n v="50996"/>
    <n v="46302"/>
    <m/>
    <m/>
    <m/>
    <m/>
    <m/>
    <m/>
    <m/>
    <m/>
    <n v="0"/>
    <n v="0"/>
    <n v="0"/>
    <n v="0"/>
    <m/>
    <m/>
    <n v="0"/>
    <n v="0"/>
    <m/>
    <m/>
    <m/>
    <m/>
    <m/>
    <m/>
    <m/>
    <m/>
    <n v="0"/>
    <n v="0"/>
    <n v="0"/>
    <n v="0"/>
    <n v="1699.8666666666666"/>
    <n v="1543.4"/>
  </r>
  <r>
    <x v="0"/>
    <s v="Jefferson Davis Community College"/>
    <m/>
    <n v="101499"/>
    <x v="8"/>
    <s v="sem"/>
    <m/>
    <m/>
    <m/>
    <n v="11575"/>
    <n v="11595"/>
    <n v="4902"/>
    <n v="4766"/>
    <n v="11707"/>
    <n v="11899"/>
    <n v="28184"/>
    <n v="939.4666666666667"/>
    <n v="28260"/>
    <n v="942"/>
    <n v="328"/>
    <n v="483"/>
    <n v="28184"/>
    <n v="28260"/>
    <m/>
    <m/>
    <m/>
    <m/>
    <m/>
    <m/>
    <m/>
    <m/>
    <n v="0"/>
    <n v="0"/>
    <n v="0"/>
    <n v="0"/>
    <m/>
    <m/>
    <n v="0"/>
    <n v="0"/>
    <m/>
    <m/>
    <m/>
    <m/>
    <m/>
    <m/>
    <m/>
    <m/>
    <n v="0"/>
    <n v="0"/>
    <n v="0"/>
    <n v="0"/>
    <n v="939.4666666666667"/>
    <n v="942"/>
  </r>
  <r>
    <x v="0"/>
    <s v="Lurleen B. Wallace Community College "/>
    <m/>
    <n v="101602"/>
    <x v="8"/>
    <s v="sem"/>
    <m/>
    <m/>
    <m/>
    <n v="16461"/>
    <n v="15563"/>
    <n v="7584"/>
    <n v="7066"/>
    <n v="17522"/>
    <n v="16795"/>
    <n v="41567"/>
    <n v="1385.5666666666666"/>
    <n v="39424"/>
    <n v="1314.1333333333334"/>
    <n v="1870"/>
    <n v="1761"/>
    <n v="41567"/>
    <n v="39424"/>
    <m/>
    <m/>
    <m/>
    <m/>
    <m/>
    <m/>
    <m/>
    <m/>
    <n v="0"/>
    <n v="0"/>
    <n v="0"/>
    <n v="0"/>
    <m/>
    <m/>
    <n v="0"/>
    <n v="0"/>
    <m/>
    <m/>
    <m/>
    <m/>
    <m/>
    <m/>
    <m/>
    <m/>
    <n v="0"/>
    <n v="0"/>
    <n v="0"/>
    <n v="0"/>
    <n v="1385.5666666666666"/>
    <n v="1314.1333333333334"/>
  </r>
  <r>
    <x v="0"/>
    <s v="Snead State Community College "/>
    <s v="Met the criteria for Two-Year 2 in 2012-13 and 2013-14."/>
    <n v="102076"/>
    <x v="8"/>
    <s v="sem"/>
    <m/>
    <m/>
    <m/>
    <n v="23965"/>
    <n v="24759"/>
    <n v="8221"/>
    <n v="8018"/>
    <n v="27919"/>
    <n v="27416"/>
    <n v="60105"/>
    <n v="2003.5"/>
    <n v="60193"/>
    <n v="2006.4333333333334"/>
    <n v="1432"/>
    <n v="1634"/>
    <n v="60105"/>
    <n v="60193"/>
    <m/>
    <m/>
    <m/>
    <m/>
    <m/>
    <m/>
    <m/>
    <m/>
    <n v="0"/>
    <n v="0"/>
    <n v="0"/>
    <n v="0"/>
    <m/>
    <m/>
    <n v="0"/>
    <n v="0"/>
    <m/>
    <m/>
    <m/>
    <m/>
    <m/>
    <m/>
    <m/>
    <m/>
    <n v="0"/>
    <n v="0"/>
    <n v="0"/>
    <n v="0"/>
    <n v="2003.5"/>
    <n v="2006.4333333333334"/>
  </r>
  <r>
    <x v="0"/>
    <s v="Trenholm State Technical College "/>
    <m/>
    <n v="102313"/>
    <x v="9"/>
    <s v="sem"/>
    <m/>
    <m/>
    <m/>
    <n v="17016"/>
    <n v="14286"/>
    <n v="8628"/>
    <n v="9157"/>
    <n v="14834"/>
    <n v="13552"/>
    <n v="40478"/>
    <n v="1349.2666666666667"/>
    <n v="36995"/>
    <n v="1233.1666666666667"/>
    <n v="210"/>
    <n v="72"/>
    <n v="40478"/>
    <n v="36995"/>
    <m/>
    <m/>
    <m/>
    <m/>
    <m/>
    <m/>
    <m/>
    <m/>
    <n v="0"/>
    <n v="0"/>
    <n v="0"/>
    <n v="0"/>
    <m/>
    <m/>
    <n v="0"/>
    <n v="0"/>
    <m/>
    <m/>
    <m/>
    <m/>
    <m/>
    <m/>
    <m/>
    <m/>
    <n v="0"/>
    <n v="0"/>
    <n v="0"/>
    <n v="0"/>
    <n v="1349.2666666666667"/>
    <n v="1233.1666666666667"/>
  </r>
  <r>
    <x v="0"/>
    <s v="J.F. Drake State Technical College "/>
    <m/>
    <n v="101462"/>
    <x v="10"/>
    <s v="sem"/>
    <m/>
    <m/>
    <m/>
    <n v="11982"/>
    <n v="10608"/>
    <n v="5837"/>
    <n v="5791"/>
    <n v="11230"/>
    <n v="12456"/>
    <n v="29049"/>
    <n v="968.3"/>
    <n v="28855"/>
    <n v="961.83333333333337"/>
    <n v="2649"/>
    <n v="2593"/>
    <n v="29049"/>
    <n v="28855"/>
    <m/>
    <m/>
    <m/>
    <m/>
    <m/>
    <m/>
    <m/>
    <m/>
    <n v="0"/>
    <n v="0"/>
    <n v="0"/>
    <n v="0"/>
    <m/>
    <m/>
    <n v="0"/>
    <n v="0"/>
    <m/>
    <m/>
    <m/>
    <m/>
    <m/>
    <m/>
    <m/>
    <m/>
    <n v="0"/>
    <n v="0"/>
    <n v="0"/>
    <n v="0"/>
    <n v="968.3"/>
    <n v="961.83333333333337"/>
  </r>
  <r>
    <x v="0"/>
    <s v="J.F. Ingram State Technical College "/>
    <m/>
    <n v="101471"/>
    <x v="10"/>
    <s v="sem"/>
    <m/>
    <m/>
    <m/>
    <n v="6532"/>
    <n v="6441"/>
    <n v="6591"/>
    <n v="5198"/>
    <n v="5330"/>
    <n v="6591"/>
    <n v="18453"/>
    <n v="615.1"/>
    <n v="18230"/>
    <n v="607.66666666666663"/>
    <n v="18"/>
    <n v="0"/>
    <n v="18453"/>
    <n v="18230"/>
    <m/>
    <m/>
    <m/>
    <m/>
    <m/>
    <m/>
    <m/>
    <m/>
    <n v="0"/>
    <n v="0"/>
    <n v="0"/>
    <n v="0"/>
    <m/>
    <m/>
    <n v="0"/>
    <n v="0"/>
    <m/>
    <m/>
    <m/>
    <m/>
    <m/>
    <m/>
    <m/>
    <m/>
    <n v="0"/>
    <n v="0"/>
    <n v="0"/>
    <n v="0"/>
    <n v="615.1"/>
    <n v="607.66666666666663"/>
  </r>
  <r>
    <x v="0"/>
    <s v="Reid State Technical College "/>
    <m/>
    <n v="101994"/>
    <x v="10"/>
    <s v="sem"/>
    <m/>
    <m/>
    <m/>
    <n v="6330"/>
    <n v="4746"/>
    <n v="3648"/>
    <n v="2666"/>
    <n v="5584"/>
    <n v="5169"/>
    <n v="15562"/>
    <n v="518.73333333333335"/>
    <n v="12581"/>
    <n v="419.36666666666667"/>
    <n v="704"/>
    <n v="844"/>
    <n v="15562"/>
    <n v="12581"/>
    <m/>
    <m/>
    <m/>
    <m/>
    <m/>
    <m/>
    <m/>
    <m/>
    <n v="0"/>
    <n v="0"/>
    <n v="0"/>
    <n v="0"/>
    <m/>
    <m/>
    <n v="0"/>
    <n v="0"/>
    <m/>
    <m/>
    <m/>
    <m/>
    <m/>
    <m/>
    <m/>
    <m/>
    <n v="0"/>
    <n v="0"/>
    <n v="0"/>
    <n v="0"/>
    <n v="518.73333333333335"/>
    <n v="419.36666666666667"/>
  </r>
  <r>
    <x v="1"/>
    <s v="University of Arkansas, Fayetteville"/>
    <m/>
    <n v="106397"/>
    <x v="0"/>
    <s v="sem"/>
    <s v="sem"/>
    <m/>
    <n v="0"/>
    <n v="246316"/>
    <n v="264770"/>
    <n v="42076"/>
    <n v="42430"/>
    <n v="281242"/>
    <n v="293440"/>
    <n v="569634"/>
    <n v="18987.8"/>
    <n v="600640"/>
    <n v="20021.333333333332"/>
    <n v="129"/>
    <n v="152"/>
    <n v="569634"/>
    <n v="600640"/>
    <m/>
    <m/>
    <m/>
    <m/>
    <m/>
    <m/>
    <m/>
    <m/>
    <n v="0"/>
    <n v="0"/>
    <n v="0"/>
    <n v="0"/>
    <m/>
    <m/>
    <n v="0"/>
    <n v="0"/>
    <m/>
    <n v="0"/>
    <n v="32580"/>
    <n v="32380"/>
    <n v="11596"/>
    <n v="11422"/>
    <n v="33033"/>
    <n v="33794"/>
    <n v="77209"/>
    <n v="3217.0416666666665"/>
    <n v="77596"/>
    <n v="3233.1666666666665"/>
    <n v="22204.841666666667"/>
    <n v="23254.5"/>
  </r>
  <r>
    <x v="1"/>
    <s v="Arkansas State University"/>
    <m/>
    <n v="106458"/>
    <x v="2"/>
    <s v="sem"/>
    <s v="sem"/>
    <m/>
    <n v="0"/>
    <n v="122334"/>
    <n v="121842"/>
    <n v="23610"/>
    <n v="23400"/>
    <n v="131785"/>
    <n v="130541"/>
    <n v="277729"/>
    <n v="9257.6333333333332"/>
    <n v="275783"/>
    <n v="9192.7666666666664"/>
    <n v="3670"/>
    <n v="4590"/>
    <n v="277729"/>
    <n v="275783"/>
    <m/>
    <m/>
    <m/>
    <m/>
    <m/>
    <m/>
    <m/>
    <m/>
    <n v="0"/>
    <n v="0"/>
    <n v="0"/>
    <n v="0"/>
    <m/>
    <m/>
    <n v="0"/>
    <n v="0"/>
    <m/>
    <n v="0"/>
    <n v="30065"/>
    <n v="27476"/>
    <n v="18372"/>
    <n v="17738"/>
    <n v="30058"/>
    <n v="27377"/>
    <n v="78495"/>
    <n v="3270.625"/>
    <n v="72591"/>
    <n v="3024.625"/>
    <n v="12528.258333333333"/>
    <n v="12217.391666666666"/>
  </r>
  <r>
    <x v="1"/>
    <s v="Arkansas Tech University"/>
    <s v="Reclassified: met the criteria for Four-Year 3 in 2010-11, 2011-12 and 2012-13."/>
    <n v="106467"/>
    <x v="2"/>
    <s v="sem"/>
    <s v="sem"/>
    <m/>
    <n v="0"/>
    <n v="98931"/>
    <n v="98893"/>
    <n v="15630"/>
    <n v="13732"/>
    <n v="108145"/>
    <n v="109990"/>
    <n v="222706"/>
    <n v="7423.5333333333338"/>
    <n v="222615"/>
    <n v="7420.5"/>
    <n v="5994"/>
    <n v="6891"/>
    <n v="222706"/>
    <n v="222615"/>
    <m/>
    <m/>
    <m/>
    <m/>
    <m/>
    <m/>
    <m/>
    <m/>
    <n v="0"/>
    <n v="0"/>
    <n v="0"/>
    <n v="0"/>
    <m/>
    <m/>
    <n v="0"/>
    <n v="0"/>
    <m/>
    <n v="0"/>
    <n v="4819"/>
    <n v="5122"/>
    <n v="4911"/>
    <n v="5134"/>
    <n v="5179"/>
    <n v="5236"/>
    <n v="14909"/>
    <n v="621.20833333333337"/>
    <n v="15492"/>
    <n v="645.5"/>
    <n v="8044.7416666666668"/>
    <n v="8066"/>
  </r>
  <r>
    <x v="1"/>
    <s v="University of Arkansas at Little Rock"/>
    <s v="Met the criteria for Four-Year 2 in 2012-13."/>
    <n v="106245"/>
    <x v="2"/>
    <s v="sem"/>
    <s v="sem"/>
    <m/>
    <n v="0"/>
    <n v="104543"/>
    <n v="102646"/>
    <n v="22237"/>
    <n v="21964"/>
    <n v="110450"/>
    <n v="107750"/>
    <n v="237230"/>
    <n v="7907.666666666667"/>
    <n v="232360"/>
    <n v="7745.333333333333"/>
    <n v="15191"/>
    <n v="15649"/>
    <n v="237230"/>
    <n v="232360"/>
    <m/>
    <m/>
    <m/>
    <m/>
    <m/>
    <m/>
    <m/>
    <m/>
    <n v="0"/>
    <n v="0"/>
    <n v="0"/>
    <n v="0"/>
    <m/>
    <m/>
    <n v="0"/>
    <n v="0"/>
    <m/>
    <n v="0"/>
    <n v="19512"/>
    <n v="19295"/>
    <n v="6389"/>
    <n v="5560"/>
    <n v="20809"/>
    <n v="19890"/>
    <n v="46710"/>
    <n v="1946.25"/>
    <n v="44745"/>
    <n v="1864.375"/>
    <n v="9853.9166666666679"/>
    <n v="9609.7083333333321"/>
  </r>
  <r>
    <x v="1"/>
    <s v="University of Central Arkansas "/>
    <m/>
    <n v="106704"/>
    <x v="2"/>
    <s v="sem"/>
    <s v="sem"/>
    <m/>
    <n v="0"/>
    <n v="114123"/>
    <n v="118421"/>
    <n v="17883"/>
    <n v="17256"/>
    <n v="129238"/>
    <n v="132663"/>
    <n v="261244"/>
    <n v="8708.1333333333332"/>
    <n v="268340"/>
    <n v="8944.6666666666661"/>
    <n v="2287"/>
    <n v="2309"/>
    <n v="261244"/>
    <n v="268340"/>
    <m/>
    <m/>
    <m/>
    <m/>
    <m/>
    <m/>
    <m/>
    <m/>
    <n v="0"/>
    <n v="0"/>
    <n v="0"/>
    <n v="0"/>
    <m/>
    <m/>
    <n v="0"/>
    <n v="0"/>
    <m/>
    <n v="0"/>
    <n v="12195"/>
    <n v="12039"/>
    <n v="7867"/>
    <n v="8398"/>
    <n v="11968"/>
    <n v="13862"/>
    <n v="32030"/>
    <n v="1334.5833333333333"/>
    <n v="34299"/>
    <n v="1429.125"/>
    <n v="10042.716666666667"/>
    <n v="10373.791666666666"/>
  </r>
  <r>
    <x v="1"/>
    <s v="Henderson State University"/>
    <m/>
    <n v="107071"/>
    <x v="3"/>
    <s v="sem"/>
    <s v="sem"/>
    <m/>
    <n v="0"/>
    <n v="43169"/>
    <n v="43223"/>
    <n v="5624"/>
    <n v="5222"/>
    <n v="47196"/>
    <n v="45506"/>
    <n v="95989"/>
    <n v="3199.6333333333332"/>
    <n v="93951"/>
    <n v="3131.7"/>
    <n v="35"/>
    <n v="3"/>
    <n v="95989"/>
    <n v="93951"/>
    <m/>
    <m/>
    <m/>
    <m/>
    <m/>
    <m/>
    <m/>
    <m/>
    <n v="0"/>
    <n v="0"/>
    <n v="0"/>
    <n v="0"/>
    <m/>
    <m/>
    <n v="0"/>
    <n v="0"/>
    <m/>
    <n v="0"/>
    <n v="2586"/>
    <n v="2442"/>
    <n v="3120"/>
    <n v="3471"/>
    <n v="2498"/>
    <n v="2297"/>
    <n v="8204"/>
    <n v="341.83333333333331"/>
    <n v="8210"/>
    <n v="342.08333333333331"/>
    <n v="3541.4666666666667"/>
    <n v="3473.7833333333333"/>
  </r>
  <r>
    <x v="1"/>
    <s v="Southern Arkansas University"/>
    <m/>
    <n v="107983"/>
    <x v="3"/>
    <s v="sem"/>
    <s v="sem"/>
    <m/>
    <n v="0"/>
    <n v="36593"/>
    <n v="35911"/>
    <n v="4813"/>
    <n v="4852"/>
    <n v="39975"/>
    <n v="41166"/>
    <n v="81381"/>
    <n v="2712.7"/>
    <n v="81929"/>
    <n v="2730.9666666666667"/>
    <n v="1008"/>
    <n v="1550"/>
    <n v="81381"/>
    <n v="81929"/>
    <m/>
    <m/>
    <m/>
    <m/>
    <m/>
    <m/>
    <m/>
    <m/>
    <n v="0"/>
    <n v="0"/>
    <n v="0"/>
    <n v="0"/>
    <m/>
    <m/>
    <n v="0"/>
    <n v="0"/>
    <m/>
    <n v="0"/>
    <n v="2750"/>
    <n v="2664"/>
    <n v="2344"/>
    <n v="2364"/>
    <n v="2737"/>
    <n v="2559"/>
    <n v="7831"/>
    <n v="326.29166666666669"/>
    <n v="7587"/>
    <n v="316.125"/>
    <n v="3038.9916666666663"/>
    <n v="3047.0916666666667"/>
  </r>
  <r>
    <x v="1"/>
    <s v="University of Arkansas at Monticello"/>
    <m/>
    <n v="106485"/>
    <x v="4"/>
    <s v="sem"/>
    <s v="sem"/>
    <m/>
    <n v="0"/>
    <n v="31870"/>
    <n v="30508"/>
    <n v="4622"/>
    <n v="4744"/>
    <n v="34112"/>
    <n v="33241"/>
    <n v="70604"/>
    <n v="2353.4666666666667"/>
    <n v="68493"/>
    <n v="2283.1"/>
    <n v="4390"/>
    <n v="4557"/>
    <n v="70604"/>
    <n v="68493"/>
    <m/>
    <m/>
    <m/>
    <m/>
    <m/>
    <m/>
    <m/>
    <m/>
    <n v="0"/>
    <n v="0"/>
    <n v="0"/>
    <n v="0"/>
    <m/>
    <m/>
    <n v="0"/>
    <n v="0"/>
    <m/>
    <n v="0"/>
    <n v="618"/>
    <n v="677"/>
    <n v="828"/>
    <n v="1215"/>
    <n v="696"/>
    <n v="1000"/>
    <n v="2142"/>
    <n v="89.25"/>
    <n v="2892"/>
    <n v="120.5"/>
    <n v="2442.7166666666667"/>
    <n v="2403.6"/>
  </r>
  <r>
    <x v="1"/>
    <s v="University of Arkansas at Fort Smith"/>
    <m/>
    <n v="108092"/>
    <x v="5"/>
    <s v="sem"/>
    <s v="sem"/>
    <m/>
    <n v="0"/>
    <n v="78825"/>
    <n v="81620"/>
    <n v="14723"/>
    <n v="12744"/>
    <n v="84807"/>
    <n v="87885"/>
    <n v="178355"/>
    <n v="5945.166666666667"/>
    <n v="182249"/>
    <n v="6074.9666666666662"/>
    <n v="1530"/>
    <n v="7665"/>
    <n v="178355"/>
    <n v="182249"/>
    <m/>
    <m/>
    <m/>
    <m/>
    <m/>
    <m/>
    <m/>
    <m/>
    <n v="0"/>
    <n v="0"/>
    <n v="0"/>
    <n v="0"/>
    <m/>
    <m/>
    <n v="0"/>
    <n v="0"/>
    <m/>
    <n v="0"/>
    <n v="0"/>
    <n v="0"/>
    <n v="0"/>
    <n v="0"/>
    <n v="0"/>
    <n v="0"/>
    <n v="0"/>
    <n v="0"/>
    <n v="0"/>
    <n v="0"/>
    <n v="5945.166666666667"/>
    <n v="6074.9666666666662"/>
  </r>
  <r>
    <x v="1"/>
    <s v="University of Arkansas at Pine Bluff"/>
    <s v="Met the criteria for Four-Year 5 in 2012-13."/>
    <n v="106412"/>
    <x v="5"/>
    <s v="sem"/>
    <s v="sem"/>
    <m/>
    <n v="0"/>
    <n v="37521"/>
    <n v="32959"/>
    <n v="5110"/>
    <n v="3636"/>
    <n v="37638"/>
    <n v="35159"/>
    <n v="80269"/>
    <n v="2675.6333333333332"/>
    <n v="71754"/>
    <n v="2391.8000000000002"/>
    <n v="0"/>
    <n v="0"/>
    <n v="80269"/>
    <n v="71754"/>
    <m/>
    <m/>
    <m/>
    <m/>
    <m/>
    <m/>
    <m/>
    <m/>
    <n v="0"/>
    <n v="0"/>
    <n v="0"/>
    <n v="0"/>
    <m/>
    <m/>
    <n v="0"/>
    <n v="0"/>
    <m/>
    <n v="0"/>
    <n v="732"/>
    <n v="642"/>
    <n v="277"/>
    <n v="311"/>
    <n v="623"/>
    <n v="628"/>
    <n v="1632"/>
    <n v="68"/>
    <n v="1581"/>
    <n v="65.875"/>
    <n v="2743.6333333333332"/>
    <n v="2457.6750000000002"/>
  </r>
  <r>
    <x v="1"/>
    <s v="Northwest Arkansas Community College "/>
    <m/>
    <n v="367459"/>
    <x v="6"/>
    <s v="sem"/>
    <s v="sem"/>
    <m/>
    <n v="0"/>
    <n v="74726"/>
    <n v="74059"/>
    <n v="16520"/>
    <n v="16612"/>
    <n v="78065"/>
    <n v="75010"/>
    <n v="169311"/>
    <n v="5643.7"/>
    <n v="165681"/>
    <n v="5522.7"/>
    <n v="6400"/>
    <n v="6725"/>
    <n v="169311"/>
    <n v="165681"/>
    <m/>
    <m/>
    <m/>
    <m/>
    <m/>
    <m/>
    <m/>
    <m/>
    <n v="0"/>
    <n v="0"/>
    <n v="0"/>
    <n v="0"/>
    <m/>
    <m/>
    <n v="0"/>
    <n v="0"/>
    <m/>
    <m/>
    <m/>
    <m/>
    <m/>
    <m/>
    <m/>
    <m/>
    <n v="0"/>
    <n v="0"/>
    <n v="0"/>
    <n v="0"/>
    <n v="5643.7"/>
    <n v="5522.7"/>
  </r>
  <r>
    <x v="1"/>
    <s v="Pulaski Technical College"/>
    <m/>
    <n v="107664"/>
    <x v="6"/>
    <s v="sem"/>
    <s v="sem"/>
    <m/>
    <n v="0"/>
    <n v="118448"/>
    <n v="114316"/>
    <n v="21689"/>
    <n v="19331"/>
    <n v="116649"/>
    <n v="103936"/>
    <n v="256786"/>
    <n v="8559.5333333333328"/>
    <n v="237583"/>
    <n v="7919.4333333333334"/>
    <n v="1261"/>
    <n v="2851"/>
    <n v="256786"/>
    <n v="237583"/>
    <m/>
    <m/>
    <m/>
    <m/>
    <m/>
    <m/>
    <m/>
    <m/>
    <n v="0"/>
    <n v="0"/>
    <n v="0"/>
    <n v="0"/>
    <m/>
    <m/>
    <n v="0"/>
    <n v="0"/>
    <m/>
    <m/>
    <m/>
    <m/>
    <m/>
    <m/>
    <m/>
    <m/>
    <n v="0"/>
    <n v="0"/>
    <n v="0"/>
    <n v="0"/>
    <n v="8559.5333333333328"/>
    <n v="7919.4333333333334"/>
  </r>
  <r>
    <x v="1"/>
    <s v="Arkansas State University-Beebe"/>
    <m/>
    <n v="106449"/>
    <x v="7"/>
    <s v="sem"/>
    <s v="sem"/>
    <m/>
    <n v="0"/>
    <n v="45198"/>
    <n v="44228"/>
    <n v="9675"/>
    <n v="8835"/>
    <n v="47448"/>
    <n v="45025"/>
    <n v="102321"/>
    <n v="3410.7"/>
    <n v="98088"/>
    <n v="3269.6"/>
    <n v="5744"/>
    <n v="8209"/>
    <n v="102321"/>
    <n v="98088"/>
    <m/>
    <m/>
    <m/>
    <m/>
    <m/>
    <m/>
    <m/>
    <m/>
    <n v="0"/>
    <n v="0"/>
    <n v="0"/>
    <n v="0"/>
    <m/>
    <m/>
    <n v="0"/>
    <n v="0"/>
    <m/>
    <m/>
    <m/>
    <m/>
    <m/>
    <m/>
    <m/>
    <m/>
    <n v="0"/>
    <n v="0"/>
    <n v="0"/>
    <n v="0"/>
    <n v="3410.7"/>
    <n v="3269.6"/>
  </r>
  <r>
    <x v="1"/>
    <s v="National Park Community College"/>
    <m/>
    <n v="106980"/>
    <x v="7"/>
    <s v="sem"/>
    <s v="sem"/>
    <m/>
    <n v="0"/>
    <n v="36294"/>
    <n v="28997"/>
    <n v="5944"/>
    <n v="4459"/>
    <n v="33758"/>
    <n v="31398"/>
    <n v="75996"/>
    <n v="2533.1999999999998"/>
    <n v="64854"/>
    <n v="2161.8000000000002"/>
    <n v="5339"/>
    <n v="6276"/>
    <n v="75996"/>
    <n v="64854"/>
    <m/>
    <m/>
    <m/>
    <m/>
    <m/>
    <m/>
    <m/>
    <m/>
    <n v="0"/>
    <n v="0"/>
    <n v="0"/>
    <n v="0"/>
    <m/>
    <m/>
    <n v="0"/>
    <n v="0"/>
    <m/>
    <m/>
    <m/>
    <m/>
    <m/>
    <m/>
    <m/>
    <m/>
    <n v="0"/>
    <n v="0"/>
    <n v="0"/>
    <n v="0"/>
    <n v="2533.1999999999998"/>
    <n v="2161.8000000000002"/>
  </r>
  <r>
    <x v="1"/>
    <s v="Arkansas Northeastern College"/>
    <m/>
    <n v="107327"/>
    <x v="8"/>
    <s v="sem"/>
    <s v="sem"/>
    <m/>
    <n v="0"/>
    <n v="16635"/>
    <n v="14784"/>
    <n v="3987"/>
    <n v="2995"/>
    <n v="16099"/>
    <n v="13417"/>
    <n v="36721"/>
    <n v="1224.0333333333333"/>
    <n v="31196"/>
    <n v="1039.8666666666666"/>
    <n v="893"/>
    <n v="1232"/>
    <n v="36721"/>
    <n v="31196"/>
    <m/>
    <m/>
    <m/>
    <m/>
    <m/>
    <m/>
    <m/>
    <m/>
    <n v="0"/>
    <n v="0"/>
    <n v="0"/>
    <n v="0"/>
    <m/>
    <m/>
    <n v="0"/>
    <n v="0"/>
    <m/>
    <m/>
    <m/>
    <m/>
    <m/>
    <m/>
    <m/>
    <m/>
    <n v="0"/>
    <n v="0"/>
    <n v="0"/>
    <n v="0"/>
    <n v="1224.0333333333333"/>
    <n v="1039.8666666666666"/>
  </r>
  <r>
    <x v="1"/>
    <s v="Arkansas State University Mountain Home"/>
    <m/>
    <n v="420538"/>
    <x v="8"/>
    <s v="sem"/>
    <s v="sem"/>
    <m/>
    <n v="0"/>
    <n v="16307"/>
    <n v="16019"/>
    <n v="2857"/>
    <n v="3311"/>
    <n v="16162"/>
    <n v="16566"/>
    <n v="35326"/>
    <n v="1177.5333333333333"/>
    <n v="35896"/>
    <n v="1196.5333333333333"/>
    <n v="554"/>
    <n v="534"/>
    <n v="35326"/>
    <n v="35896"/>
    <m/>
    <m/>
    <m/>
    <m/>
    <m/>
    <m/>
    <m/>
    <m/>
    <n v="0"/>
    <n v="0"/>
    <n v="0"/>
    <n v="0"/>
    <m/>
    <m/>
    <n v="0"/>
    <n v="0"/>
    <m/>
    <m/>
    <m/>
    <m/>
    <m/>
    <m/>
    <m/>
    <m/>
    <n v="0"/>
    <n v="0"/>
    <n v="0"/>
    <n v="0"/>
    <n v="1177.5333333333333"/>
    <n v="1196.5333333333333"/>
  </r>
  <r>
    <x v="1"/>
    <s v="Arkansas State University-Newport"/>
    <m/>
    <n v="440402"/>
    <x v="8"/>
    <s v="sem"/>
    <s v="sem"/>
    <m/>
    <n v="0"/>
    <n v="16455"/>
    <n v="19894"/>
    <n v="7850"/>
    <n v="8511"/>
    <n v="16273"/>
    <n v="19812"/>
    <n v="40578"/>
    <n v="1352.6"/>
    <n v="48217"/>
    <n v="1607.2333333333333"/>
    <n v="2129"/>
    <n v="5903"/>
    <n v="40578"/>
    <n v="48217"/>
    <m/>
    <m/>
    <m/>
    <m/>
    <m/>
    <m/>
    <m/>
    <m/>
    <n v="0"/>
    <n v="0"/>
    <n v="0"/>
    <n v="0"/>
    <m/>
    <m/>
    <n v="0"/>
    <n v="0"/>
    <m/>
    <m/>
    <m/>
    <m/>
    <m/>
    <m/>
    <m/>
    <m/>
    <n v="0"/>
    <n v="0"/>
    <n v="0"/>
    <n v="0"/>
    <n v="1352.6"/>
    <n v="1607.2333333333333"/>
  </r>
  <r>
    <x v="1"/>
    <s v="Black River Technical College"/>
    <m/>
    <n v="106625"/>
    <x v="8"/>
    <s v="sem"/>
    <s v="sem"/>
    <m/>
    <n v="0"/>
    <n v="26678"/>
    <n v="25086"/>
    <n v="5370"/>
    <n v="5590"/>
    <n v="27189"/>
    <n v="25739"/>
    <n v="59237"/>
    <n v="1974.5666666666666"/>
    <n v="56415"/>
    <n v="1880.5"/>
    <n v="2681"/>
    <n v="2856"/>
    <n v="59237"/>
    <n v="56415"/>
    <m/>
    <m/>
    <m/>
    <m/>
    <m/>
    <m/>
    <m/>
    <m/>
    <n v="0"/>
    <n v="0"/>
    <n v="0"/>
    <n v="0"/>
    <m/>
    <m/>
    <n v="0"/>
    <n v="0"/>
    <m/>
    <m/>
    <m/>
    <m/>
    <m/>
    <m/>
    <m/>
    <m/>
    <n v="0"/>
    <n v="0"/>
    <n v="0"/>
    <n v="0"/>
    <n v="1974.5666666666666"/>
    <n v="1880.5"/>
  </r>
  <r>
    <x v="1"/>
    <s v="College of the Ouachitas"/>
    <m/>
    <n v="107521"/>
    <x v="8"/>
    <s v="sem"/>
    <s v="sem"/>
    <m/>
    <n v="0"/>
    <n v="10597"/>
    <n v="12111"/>
    <n v="2342"/>
    <n v="2706"/>
    <n v="11431"/>
    <n v="13793"/>
    <n v="24370"/>
    <n v="812.33333333333337"/>
    <n v="28610"/>
    <n v="953.66666666666663"/>
    <n v="2393"/>
    <n v="6188"/>
    <n v="24370"/>
    <n v="28610"/>
    <m/>
    <m/>
    <m/>
    <m/>
    <m/>
    <m/>
    <m/>
    <m/>
    <n v="0"/>
    <n v="0"/>
    <n v="0"/>
    <n v="0"/>
    <m/>
    <m/>
    <n v="0"/>
    <n v="0"/>
    <m/>
    <m/>
    <m/>
    <m/>
    <m/>
    <m/>
    <m/>
    <m/>
    <n v="0"/>
    <n v="0"/>
    <n v="0"/>
    <n v="0"/>
    <n v="812.33333333333337"/>
    <n v="953.66666666666663"/>
  </r>
  <r>
    <x v="1"/>
    <s v="Cossatot Community College of the University of Arkansas"/>
    <m/>
    <n v="106795"/>
    <x v="8"/>
    <s v="sem"/>
    <s v="sem"/>
    <m/>
    <n v="0"/>
    <n v="12387"/>
    <n v="13097"/>
    <n v="2973"/>
    <n v="2898"/>
    <n v="14313"/>
    <n v="14579"/>
    <n v="29673"/>
    <n v="989.1"/>
    <n v="30574"/>
    <n v="1019.1333333333333"/>
    <n v="3561"/>
    <n v="3522"/>
    <n v="29673"/>
    <n v="30574"/>
    <m/>
    <m/>
    <m/>
    <m/>
    <m/>
    <m/>
    <m/>
    <m/>
    <n v="0"/>
    <n v="0"/>
    <n v="0"/>
    <n v="0"/>
    <m/>
    <m/>
    <n v="0"/>
    <n v="0"/>
    <m/>
    <m/>
    <m/>
    <m/>
    <m/>
    <m/>
    <m/>
    <m/>
    <n v="0"/>
    <n v="0"/>
    <n v="0"/>
    <n v="0"/>
    <n v="989.1"/>
    <n v="1019.1333333333333"/>
  </r>
  <r>
    <x v="1"/>
    <s v="East Arkansas Community College "/>
    <m/>
    <n v="106883"/>
    <x v="8"/>
    <s v="sem"/>
    <s v="sem"/>
    <m/>
    <n v="0"/>
    <n v="11239"/>
    <n v="12157"/>
    <n v="3415"/>
    <n v="3139"/>
    <n v="13468"/>
    <n v="12271"/>
    <n v="28122"/>
    <n v="937.4"/>
    <n v="27567"/>
    <n v="918.9"/>
    <n v="2030"/>
    <n v="2737"/>
    <n v="28122"/>
    <n v="27567"/>
    <m/>
    <m/>
    <m/>
    <m/>
    <m/>
    <m/>
    <m/>
    <m/>
    <n v="0"/>
    <n v="0"/>
    <n v="0"/>
    <n v="0"/>
    <m/>
    <m/>
    <n v="0"/>
    <n v="0"/>
    <m/>
    <m/>
    <m/>
    <m/>
    <m/>
    <m/>
    <m/>
    <m/>
    <n v="0"/>
    <n v="0"/>
    <n v="0"/>
    <n v="0"/>
    <n v="937.4"/>
    <n v="918.9"/>
  </r>
  <r>
    <x v="1"/>
    <s v="Mid-South Community College "/>
    <m/>
    <n v="107318"/>
    <x v="8"/>
    <s v="sem"/>
    <s v="sem"/>
    <m/>
    <n v="0"/>
    <n v="17322"/>
    <n v="15788"/>
    <n v="2726"/>
    <n v="3007"/>
    <n v="17703"/>
    <n v="16909"/>
    <n v="37751"/>
    <n v="1258.3666666666666"/>
    <n v="35704"/>
    <n v="1190.1333333333334"/>
    <n v="4902"/>
    <n v="4871"/>
    <n v="37751"/>
    <n v="35704"/>
    <m/>
    <m/>
    <m/>
    <m/>
    <m/>
    <m/>
    <m/>
    <m/>
    <n v="0"/>
    <n v="0"/>
    <n v="0"/>
    <n v="0"/>
    <m/>
    <m/>
    <n v="0"/>
    <n v="0"/>
    <m/>
    <m/>
    <m/>
    <m/>
    <m/>
    <m/>
    <m/>
    <m/>
    <n v="0"/>
    <n v="0"/>
    <n v="0"/>
    <n v="0"/>
    <n v="1258.3666666666666"/>
    <n v="1190.1333333333334"/>
  </r>
  <r>
    <x v="1"/>
    <s v="North Arkansas College"/>
    <m/>
    <n v="107460"/>
    <x v="8"/>
    <s v="sem"/>
    <s v="sem"/>
    <m/>
    <n v="0"/>
    <n v="24309"/>
    <n v="23361"/>
    <n v="2910"/>
    <n v="2730"/>
    <n v="24390"/>
    <n v="23718"/>
    <n v="51609"/>
    <n v="1720.3"/>
    <n v="49809"/>
    <n v="1660.3"/>
    <n v="791"/>
    <n v="2303"/>
    <n v="51609"/>
    <n v="49809"/>
    <m/>
    <m/>
    <m/>
    <m/>
    <m/>
    <m/>
    <m/>
    <m/>
    <n v="0"/>
    <n v="0"/>
    <n v="0"/>
    <n v="0"/>
    <m/>
    <m/>
    <n v="0"/>
    <n v="0"/>
    <m/>
    <m/>
    <m/>
    <m/>
    <m/>
    <m/>
    <m/>
    <m/>
    <n v="0"/>
    <n v="0"/>
    <n v="0"/>
    <n v="0"/>
    <n v="1720.3"/>
    <n v="1660.3"/>
  </r>
  <r>
    <x v="1"/>
    <s v="Ozarka College "/>
    <m/>
    <n v="107549"/>
    <x v="8"/>
    <s v="sem"/>
    <s v="sem"/>
    <m/>
    <n v="0"/>
    <n v="16870"/>
    <n v="15871"/>
    <n v="3635"/>
    <n v="4096"/>
    <n v="16710"/>
    <n v="15600"/>
    <n v="37215"/>
    <n v="1240.5"/>
    <n v="35567"/>
    <n v="1185.5666666666666"/>
    <n v="1519"/>
    <n v="2222"/>
    <n v="37215"/>
    <n v="35567"/>
    <m/>
    <m/>
    <m/>
    <m/>
    <m/>
    <m/>
    <m/>
    <m/>
    <n v="0"/>
    <n v="0"/>
    <n v="0"/>
    <n v="0"/>
    <m/>
    <m/>
    <n v="0"/>
    <n v="0"/>
    <m/>
    <m/>
    <m/>
    <m/>
    <m/>
    <m/>
    <m/>
    <m/>
    <n v="0"/>
    <n v="0"/>
    <n v="0"/>
    <n v="0"/>
    <n v="1240.5"/>
    <n v="1185.5666666666666"/>
  </r>
  <r>
    <x v="1"/>
    <s v="Phillips Community College of the Univ of Arkansas"/>
    <m/>
    <n v="107619"/>
    <x v="8"/>
    <s v="sem"/>
    <s v="sem"/>
    <m/>
    <n v="0"/>
    <n v="15618"/>
    <n v="14740"/>
    <n v="2799"/>
    <n v="2940"/>
    <n v="16978"/>
    <n v="17284"/>
    <n v="35395"/>
    <n v="1179.8333333333333"/>
    <n v="34964"/>
    <n v="1165.4666666666667"/>
    <n v="7104"/>
    <n v="7458"/>
    <n v="35395"/>
    <n v="34964"/>
    <m/>
    <m/>
    <m/>
    <m/>
    <m/>
    <m/>
    <m/>
    <m/>
    <n v="0"/>
    <n v="0"/>
    <n v="0"/>
    <n v="0"/>
    <m/>
    <m/>
    <n v="0"/>
    <n v="0"/>
    <m/>
    <m/>
    <m/>
    <m/>
    <m/>
    <m/>
    <m/>
    <m/>
    <n v="0"/>
    <n v="0"/>
    <n v="0"/>
    <n v="0"/>
    <n v="1179.8333333333333"/>
    <n v="1165.4666666666667"/>
  </r>
  <r>
    <x v="1"/>
    <s v="Rich Mountain Community College "/>
    <m/>
    <n v="107743"/>
    <x v="8"/>
    <s v="sem"/>
    <s v="sem"/>
    <m/>
    <n v="0"/>
    <n v="7202"/>
    <n v="8600"/>
    <n v="1540"/>
    <n v="1416"/>
    <n v="8950"/>
    <n v="8571"/>
    <n v="17692"/>
    <n v="589.73333333333335"/>
    <n v="18587"/>
    <n v="619.56666666666672"/>
    <n v="1379"/>
    <n v="2775"/>
    <n v="17692"/>
    <n v="18587"/>
    <m/>
    <m/>
    <m/>
    <m/>
    <m/>
    <m/>
    <m/>
    <m/>
    <n v="0"/>
    <n v="0"/>
    <n v="0"/>
    <n v="0"/>
    <m/>
    <m/>
    <n v="0"/>
    <n v="0"/>
    <m/>
    <m/>
    <m/>
    <m/>
    <m/>
    <m/>
    <m/>
    <m/>
    <n v="0"/>
    <n v="0"/>
    <n v="0"/>
    <n v="0"/>
    <n v="589.73333333333335"/>
    <n v="619.56666666666672"/>
  </r>
  <r>
    <x v="1"/>
    <s v="South Arkansas Community College"/>
    <m/>
    <n v="107974"/>
    <x v="8"/>
    <s v="sem"/>
    <s v="sem"/>
    <m/>
    <n v="0"/>
    <n v="17434"/>
    <n v="16071"/>
    <n v="6320"/>
    <n v="5539"/>
    <n v="15924"/>
    <n v="14961"/>
    <n v="39678"/>
    <n v="1322.6"/>
    <n v="36571"/>
    <n v="1219.0333333333333"/>
    <n v="2752"/>
    <n v="2475"/>
    <n v="39678"/>
    <n v="36571"/>
    <m/>
    <m/>
    <m/>
    <m/>
    <m/>
    <m/>
    <m/>
    <m/>
    <n v="0"/>
    <n v="0"/>
    <n v="0"/>
    <n v="0"/>
    <m/>
    <m/>
    <n v="0"/>
    <n v="0"/>
    <m/>
    <m/>
    <m/>
    <m/>
    <m/>
    <m/>
    <m/>
    <m/>
    <n v="0"/>
    <n v="0"/>
    <n v="0"/>
    <n v="0"/>
    <n v="1322.6"/>
    <n v="1219.0333333333333"/>
  </r>
  <r>
    <x v="1"/>
    <s v="Southeast Arkansas College"/>
    <m/>
    <n v="107637"/>
    <x v="8"/>
    <s v="sem"/>
    <s v="sem"/>
    <m/>
    <n v="0"/>
    <n v="19112"/>
    <n v="15835"/>
    <n v="4901"/>
    <n v="3779"/>
    <n v="17863"/>
    <n v="16168"/>
    <n v="41876"/>
    <n v="1395.8666666666666"/>
    <n v="35782"/>
    <n v="1192.7333333333333"/>
    <n v="2325"/>
    <n v="1130"/>
    <n v="41876"/>
    <n v="35782"/>
    <m/>
    <m/>
    <m/>
    <m/>
    <m/>
    <m/>
    <m/>
    <m/>
    <n v="0"/>
    <n v="0"/>
    <n v="0"/>
    <n v="0"/>
    <m/>
    <m/>
    <n v="0"/>
    <n v="0"/>
    <m/>
    <m/>
    <m/>
    <m/>
    <m/>
    <m/>
    <m/>
    <m/>
    <n v="0"/>
    <n v="0"/>
    <n v="0"/>
    <n v="0"/>
    <n v="1395.8666666666666"/>
    <n v="1192.7333333333333"/>
  </r>
  <r>
    <x v="1"/>
    <s v="Southern Arkansas University Tech"/>
    <m/>
    <n v="107992"/>
    <x v="8"/>
    <s v="sem"/>
    <s v="sem"/>
    <m/>
    <n v="0"/>
    <n v="13869"/>
    <n v="19004"/>
    <n v="4264"/>
    <n v="3575"/>
    <n v="14467"/>
    <n v="17394"/>
    <n v="32600"/>
    <n v="1086.6666666666667"/>
    <n v="39973"/>
    <n v="1332.4333333333334"/>
    <n v="2852"/>
    <n v="9210"/>
    <n v="32600"/>
    <n v="39973"/>
    <m/>
    <m/>
    <m/>
    <m/>
    <m/>
    <m/>
    <m/>
    <m/>
    <n v="0"/>
    <n v="0"/>
    <n v="0"/>
    <n v="0"/>
    <m/>
    <m/>
    <n v="0"/>
    <n v="0"/>
    <m/>
    <m/>
    <m/>
    <m/>
    <m/>
    <m/>
    <m/>
    <m/>
    <n v="0"/>
    <n v="0"/>
    <n v="0"/>
    <n v="0"/>
    <n v="1086.6666666666667"/>
    <n v="1332.4333333333334"/>
  </r>
  <r>
    <x v="1"/>
    <s v="University of Arkansas Community College at Batesville"/>
    <m/>
    <n v="106999"/>
    <x v="8"/>
    <s v="sem"/>
    <s v="sem"/>
    <m/>
    <n v="0"/>
    <n v="14935"/>
    <n v="13504"/>
    <n v="3158"/>
    <n v="2508"/>
    <n v="15324"/>
    <n v="14282"/>
    <n v="33417"/>
    <n v="1113.9000000000001"/>
    <n v="30294"/>
    <n v="1009.8"/>
    <n v="1252"/>
    <n v="1442"/>
    <n v="33417"/>
    <n v="30294"/>
    <m/>
    <m/>
    <m/>
    <m/>
    <m/>
    <m/>
    <m/>
    <m/>
    <n v="0"/>
    <n v="0"/>
    <n v="0"/>
    <n v="0"/>
    <m/>
    <m/>
    <n v="0"/>
    <n v="0"/>
    <m/>
    <m/>
    <m/>
    <m/>
    <m/>
    <m/>
    <m/>
    <m/>
    <n v="0"/>
    <n v="0"/>
    <n v="0"/>
    <n v="0"/>
    <n v="1113.9000000000001"/>
    <n v="1009.8"/>
  </r>
  <r>
    <x v="1"/>
    <s v="University of Arkansas Community College at Hope"/>
    <m/>
    <n v="107725"/>
    <x v="8"/>
    <s v="sem"/>
    <s v="sem"/>
    <m/>
    <n v="0"/>
    <n v="12230"/>
    <n v="14816"/>
    <n v="2191"/>
    <n v="2369"/>
    <n v="14693"/>
    <n v="14197"/>
    <n v="29114"/>
    <n v="970.4666666666667"/>
    <n v="31382"/>
    <n v="1046.0666666666666"/>
    <n v="1805"/>
    <n v="2466"/>
    <n v="29114"/>
    <n v="31382"/>
    <m/>
    <m/>
    <m/>
    <m/>
    <m/>
    <m/>
    <m/>
    <m/>
    <n v="0"/>
    <n v="0"/>
    <n v="0"/>
    <n v="0"/>
    <m/>
    <m/>
    <n v="0"/>
    <n v="0"/>
    <m/>
    <m/>
    <m/>
    <m/>
    <m/>
    <m/>
    <m/>
    <m/>
    <n v="0"/>
    <n v="0"/>
    <n v="0"/>
    <n v="0"/>
    <n v="970.4666666666667"/>
    <n v="1046.0666666666666"/>
  </r>
  <r>
    <x v="1"/>
    <s v="University of Arkansas Community College at Morrilton"/>
    <m/>
    <n v="107585"/>
    <x v="8"/>
    <s v="sem"/>
    <s v="sem"/>
    <m/>
    <n v="0"/>
    <n v="23858"/>
    <n v="22650"/>
    <n v="3265"/>
    <n v="4077"/>
    <n v="24088"/>
    <n v="24387"/>
    <n v="51211"/>
    <n v="1707.0333333333333"/>
    <n v="51114"/>
    <n v="1703.8"/>
    <n v="444"/>
    <n v="444"/>
    <n v="51211"/>
    <n v="51114"/>
    <m/>
    <m/>
    <m/>
    <m/>
    <m/>
    <m/>
    <m/>
    <m/>
    <n v="0"/>
    <n v="0"/>
    <n v="0"/>
    <n v="0"/>
    <m/>
    <m/>
    <n v="0"/>
    <n v="0"/>
    <m/>
    <m/>
    <m/>
    <m/>
    <m/>
    <m/>
    <m/>
    <m/>
    <n v="0"/>
    <n v="0"/>
    <n v="0"/>
    <n v="0"/>
    <n v="1707.0333333333333"/>
    <n v="1703.8"/>
  </r>
  <r>
    <x v="2"/>
    <s v="University of Delaware"/>
    <m/>
    <n v="130943"/>
    <x v="0"/>
    <s v="sem"/>
    <m/>
    <n v="30784"/>
    <n v="29337"/>
    <n v="234969"/>
    <n v="240217"/>
    <n v="15364"/>
    <n v="10517"/>
    <n v="257692"/>
    <n v="259767"/>
    <n v="538809"/>
    <n v="17960.3"/>
    <n v="539838"/>
    <n v="17994.599999999999"/>
    <m/>
    <m/>
    <n v="0"/>
    <n v="0"/>
    <m/>
    <m/>
    <m/>
    <m/>
    <m/>
    <m/>
    <m/>
    <m/>
    <n v="0"/>
    <n v="0"/>
    <n v="0"/>
    <n v="0"/>
    <m/>
    <m/>
    <n v="0"/>
    <n v="0"/>
    <n v="1401"/>
    <n v="1475"/>
    <n v="21140"/>
    <n v="21494"/>
    <n v="4351"/>
    <n v="3230"/>
    <n v="24064"/>
    <n v="23321"/>
    <n v="50956"/>
    <n v="2123.1666666666665"/>
    <n v="49520"/>
    <n v="2063.3333333333335"/>
    <n v="20083.466666666667"/>
    <n v="20057.933333333331"/>
  </r>
  <r>
    <x v="2"/>
    <s v="Delaware State University"/>
    <m/>
    <n v="130934"/>
    <x v="2"/>
    <s v="sem"/>
    <m/>
    <m/>
    <m/>
    <n v="49398"/>
    <n v="52335"/>
    <n v="4005"/>
    <n v="5312"/>
    <n v="56630"/>
    <n v="57465"/>
    <n v="110033"/>
    <n v="3667.7666666666669"/>
    <n v="115112"/>
    <n v="3837.0666666666666"/>
    <m/>
    <m/>
    <n v="0"/>
    <n v="0"/>
    <m/>
    <m/>
    <m/>
    <m/>
    <m/>
    <m/>
    <m/>
    <m/>
    <n v="0"/>
    <n v="0"/>
    <n v="0"/>
    <n v="0"/>
    <m/>
    <m/>
    <n v="0"/>
    <n v="0"/>
    <m/>
    <m/>
    <n v="1786"/>
    <n v="2802"/>
    <n v="556"/>
    <n v="565"/>
    <n v="2195"/>
    <n v="3317"/>
    <n v="4537"/>
    <n v="189.04166666666666"/>
    <n v="6684"/>
    <n v="278.5"/>
    <n v="3856.8083333333334"/>
    <n v="4115.5666666666666"/>
  </r>
  <r>
    <x v="2"/>
    <s v="Delaware Technical and Community College--Stanton-Wilmington"/>
    <s v="Met the criteria for Two-Year 2 in 2013-14."/>
    <n v="130916"/>
    <x v="6"/>
    <s v="sem"/>
    <m/>
    <m/>
    <m/>
    <n v="66323"/>
    <n v="63991"/>
    <n v="16560"/>
    <n v="16685"/>
    <n v="70523"/>
    <n v="68444"/>
    <n v="153406"/>
    <n v="5113.5333333333338"/>
    <n v="149120"/>
    <n v="4970.666666666667"/>
    <m/>
    <m/>
    <n v="0"/>
    <n v="0"/>
    <m/>
    <m/>
    <m/>
    <m/>
    <m/>
    <m/>
    <m/>
    <m/>
    <n v="0"/>
    <n v="0"/>
    <n v="0"/>
    <n v="0"/>
    <m/>
    <m/>
    <n v="0"/>
    <n v="0"/>
    <m/>
    <m/>
    <m/>
    <m/>
    <m/>
    <m/>
    <m/>
    <m/>
    <n v="0"/>
    <n v="0"/>
    <n v="0"/>
    <n v="0"/>
    <n v="5113.5333333333338"/>
    <n v="4970.666666666667"/>
  </r>
  <r>
    <x v="2"/>
    <s v="Delaware Technical and Community College--Owens"/>
    <m/>
    <n v="130891"/>
    <x v="7"/>
    <s v="sem"/>
    <m/>
    <m/>
    <m/>
    <n v="44367"/>
    <n v="41587"/>
    <n v="8406"/>
    <n v="8266"/>
    <n v="46165"/>
    <n v="45000"/>
    <n v="98938"/>
    <n v="3297.9333333333334"/>
    <n v="94853"/>
    <n v="3161.7666666666669"/>
    <m/>
    <m/>
    <n v="0"/>
    <n v="0"/>
    <m/>
    <m/>
    <m/>
    <m/>
    <m/>
    <m/>
    <m/>
    <m/>
    <n v="0"/>
    <n v="0"/>
    <n v="0"/>
    <n v="0"/>
    <m/>
    <m/>
    <n v="0"/>
    <n v="0"/>
    <m/>
    <m/>
    <m/>
    <m/>
    <m/>
    <m/>
    <m/>
    <m/>
    <n v="0"/>
    <n v="0"/>
    <n v="0"/>
    <n v="0"/>
    <n v="3297.9333333333334"/>
    <n v="3161.7666666666669"/>
  </r>
  <r>
    <x v="2"/>
    <s v="Delaware Technical and Community College--Terry"/>
    <m/>
    <n v="130907"/>
    <x v="7"/>
    <s v="sem"/>
    <m/>
    <m/>
    <m/>
    <n v="31712"/>
    <n v="29217"/>
    <n v="7569"/>
    <n v="7305"/>
    <n v="31624"/>
    <n v="31362"/>
    <n v="70905"/>
    <n v="2363.5"/>
    <n v="67884"/>
    <n v="2262.8000000000002"/>
    <m/>
    <m/>
    <n v="0"/>
    <n v="0"/>
    <m/>
    <m/>
    <m/>
    <m/>
    <m/>
    <m/>
    <m/>
    <m/>
    <n v="0"/>
    <n v="0"/>
    <n v="0"/>
    <n v="0"/>
    <m/>
    <m/>
    <n v="0"/>
    <n v="0"/>
    <m/>
    <m/>
    <m/>
    <m/>
    <m/>
    <m/>
    <m/>
    <m/>
    <n v="0"/>
    <n v="0"/>
    <n v="0"/>
    <n v="0"/>
    <n v="2363.5"/>
    <n v="2262.8000000000002"/>
  </r>
  <r>
    <x v="3"/>
    <s v="Florida International University"/>
    <m/>
    <n v="133951"/>
    <x v="0"/>
    <s v="sem"/>
    <s v="sem"/>
    <m/>
    <m/>
    <n v="400944"/>
    <n v="410873"/>
    <n v="179559"/>
    <n v="175269"/>
    <n v="433470"/>
    <n v="462200"/>
    <n v="1013973"/>
    <n v="33799.1"/>
    <n v="1048342"/>
    <n v="34944.73333333333"/>
    <n v="33744"/>
    <n v="40505"/>
    <n v="1013973"/>
    <n v="1048342"/>
    <m/>
    <m/>
    <m/>
    <m/>
    <m/>
    <m/>
    <m/>
    <m/>
    <n v="0"/>
    <n v="0"/>
    <n v="0"/>
    <n v="0"/>
    <m/>
    <m/>
    <n v="0"/>
    <n v="0"/>
    <m/>
    <m/>
    <n v="74163"/>
    <n v="73696"/>
    <n v="39909"/>
    <n v="39777"/>
    <n v="77091"/>
    <n v="77092"/>
    <n v="191163"/>
    <n v="7965.125"/>
    <n v="190565"/>
    <n v="7940.208333333333"/>
    <n v="41764.224999999999"/>
    <n v="42884.941666666666"/>
  </r>
  <r>
    <x v="3"/>
    <s v="Florida State University "/>
    <m/>
    <n v="134097"/>
    <x v="0"/>
    <s v="sem"/>
    <s v="sem"/>
    <m/>
    <m/>
    <n v="405780"/>
    <n v="405946"/>
    <n v="127490"/>
    <n v="124319"/>
    <n v="471701"/>
    <n v="416411"/>
    <n v="1004971"/>
    <n v="33499.033333333333"/>
    <n v="946676"/>
    <n v="31555.866666666665"/>
    <n v="1116"/>
    <n v="334"/>
    <n v="1004971"/>
    <n v="946676"/>
    <m/>
    <m/>
    <m/>
    <m/>
    <m/>
    <m/>
    <m/>
    <m/>
    <n v="0"/>
    <n v="0"/>
    <n v="0"/>
    <n v="0"/>
    <m/>
    <m/>
    <n v="0"/>
    <n v="0"/>
    <m/>
    <m/>
    <n v="71970"/>
    <n v="69702"/>
    <n v="39507"/>
    <n v="37717"/>
    <n v="72063"/>
    <n v="71954"/>
    <n v="183540"/>
    <n v="7647.5"/>
    <n v="179373"/>
    <n v="7473.875"/>
    <n v="41146.533333333333"/>
    <n v="39029.741666666669"/>
  </r>
  <r>
    <x v="3"/>
    <s v="University of Central Florida "/>
    <m/>
    <n v="132903"/>
    <x v="0"/>
    <s v="sem"/>
    <s v="sem"/>
    <m/>
    <m/>
    <n v="570430"/>
    <n v="568348"/>
    <n v="206207"/>
    <n v="198127"/>
    <n v="591832"/>
    <n v="588537"/>
    <n v="1368469"/>
    <n v="45615.633333333331"/>
    <n v="1355012"/>
    <n v="45167.066666666666"/>
    <n v="771"/>
    <n v="744"/>
    <n v="1368469"/>
    <n v="1355012"/>
    <m/>
    <m/>
    <m/>
    <m/>
    <m/>
    <m/>
    <m/>
    <m/>
    <n v="0"/>
    <n v="0"/>
    <n v="0"/>
    <n v="0"/>
    <m/>
    <m/>
    <n v="0"/>
    <n v="0"/>
    <m/>
    <m/>
    <n v="54049"/>
    <n v="53724"/>
    <n v="29598"/>
    <n v="30037"/>
    <n v="58091"/>
    <n v="55709"/>
    <n v="141738"/>
    <n v="5905.75"/>
    <n v="139470"/>
    <n v="5811.25"/>
    <n v="51521.383333333331"/>
    <n v="50978.316666666666"/>
  </r>
  <r>
    <x v="3"/>
    <s v="University of Florida"/>
    <m/>
    <n v="134130"/>
    <x v="0"/>
    <s v="sem"/>
    <s v="sem"/>
    <m/>
    <m/>
    <n v="420313"/>
    <n v="418060"/>
    <n v="116093"/>
    <n v="119076"/>
    <n v="435297"/>
    <n v="436230"/>
    <n v="971703"/>
    <n v="32390.1"/>
    <n v="973366"/>
    <n v="32445.533333333333"/>
    <n v="1487"/>
    <n v="1393"/>
    <n v="971703"/>
    <n v="973366"/>
    <m/>
    <m/>
    <m/>
    <m/>
    <m/>
    <m/>
    <m/>
    <m/>
    <n v="0"/>
    <n v="0"/>
    <n v="0"/>
    <n v="0"/>
    <m/>
    <m/>
    <n v="0"/>
    <n v="0"/>
    <m/>
    <m/>
    <n v="140200"/>
    <n v="139696"/>
    <n v="59745"/>
    <n v="59235"/>
    <n v="148986"/>
    <n v="145132"/>
    <n v="348931"/>
    <n v="14538.791666666666"/>
    <n v="344063"/>
    <n v="14335.958333333334"/>
    <n v="46928.891666666663"/>
    <n v="46781.491666666669"/>
  </r>
  <r>
    <x v="3"/>
    <s v="University of South Florida "/>
    <m/>
    <n v="137351"/>
    <x v="0"/>
    <s v="sem"/>
    <s v="sem"/>
    <m/>
    <m/>
    <n v="421127"/>
    <n v="392079"/>
    <n v="153540"/>
    <n v="151000"/>
    <n v="450005"/>
    <n v="445577"/>
    <n v="1024672"/>
    <n v="34155.73333333333"/>
    <n v="988656"/>
    <n v="32955.199999999997"/>
    <n v="733"/>
    <n v="555"/>
    <n v="1024672"/>
    <n v="988656"/>
    <m/>
    <m/>
    <m/>
    <m/>
    <m/>
    <m/>
    <m/>
    <m/>
    <n v="0"/>
    <n v="0"/>
    <n v="0"/>
    <n v="0"/>
    <m/>
    <m/>
    <n v="0"/>
    <n v="0"/>
    <m/>
    <m/>
    <n v="73440"/>
    <n v="74831"/>
    <n v="37636"/>
    <n v="37937"/>
    <n v="78767"/>
    <n v="81813"/>
    <n v="189843"/>
    <n v="7910.125"/>
    <n v="194581"/>
    <n v="8107.541666666667"/>
    <n v="42065.85833333333"/>
    <n v="41062.741666666661"/>
  </r>
  <r>
    <x v="3"/>
    <s v="Florida Atlantic University "/>
    <s v="Met the criteria for Four-Year 1 in 2012-13 and 2013-14."/>
    <n v="133669"/>
    <x v="1"/>
    <s v="sem"/>
    <s v="sem"/>
    <m/>
    <m/>
    <n v="249063"/>
    <n v="254252"/>
    <n v="91973"/>
    <n v="93010"/>
    <n v="275769"/>
    <n v="280207"/>
    <n v="616805"/>
    <n v="20560.166666666668"/>
    <n v="627469"/>
    <n v="20915.633333333335"/>
    <n v="8071"/>
    <n v="10848"/>
    <n v="616805"/>
    <n v="627469"/>
    <m/>
    <m/>
    <m/>
    <m/>
    <m/>
    <m/>
    <m/>
    <m/>
    <n v="0"/>
    <n v="0"/>
    <n v="0"/>
    <n v="0"/>
    <m/>
    <m/>
    <n v="0"/>
    <n v="0"/>
    <m/>
    <m/>
    <n v="30525"/>
    <n v="30334"/>
    <n v="17242"/>
    <n v="15900"/>
    <n v="31731"/>
    <n v="31033"/>
    <n v="79498"/>
    <n v="3312.4166666666665"/>
    <n v="77267"/>
    <n v="3219.4583333333335"/>
    <n v="23872.583333333336"/>
    <n v="24135.091666666667"/>
  </r>
  <r>
    <x v="3"/>
    <s v="Florida Agricultural &amp; Mechanical University "/>
    <m/>
    <n v="133650"/>
    <x v="2"/>
    <s v="sem"/>
    <s v="sem"/>
    <m/>
    <m/>
    <n v="138674"/>
    <n v="124399"/>
    <n v="27241"/>
    <n v="27557"/>
    <n v="136531"/>
    <n v="122459"/>
    <n v="302446"/>
    <n v="10081.533333333333"/>
    <n v="274415"/>
    <n v="9147.1666666666661"/>
    <n v="189"/>
    <n v="118"/>
    <n v="302446"/>
    <n v="274415"/>
    <m/>
    <m/>
    <m/>
    <m/>
    <m/>
    <m/>
    <m/>
    <m/>
    <n v="0"/>
    <n v="0"/>
    <n v="0"/>
    <n v="0"/>
    <m/>
    <m/>
    <n v="0"/>
    <n v="0"/>
    <m/>
    <m/>
    <n v="21590"/>
    <n v="20528"/>
    <n v="7420"/>
    <n v="7426"/>
    <n v="21789"/>
    <n v="19183"/>
    <n v="50799"/>
    <n v="2116.625"/>
    <n v="47137"/>
    <n v="1964.0416666666667"/>
    <n v="12198.158333333333"/>
    <n v="11111.208333333332"/>
  </r>
  <r>
    <x v="3"/>
    <s v="University of North Florida"/>
    <m/>
    <n v="136172"/>
    <x v="2"/>
    <s v="sem"/>
    <s v="sem"/>
    <m/>
    <m/>
    <n v="156989"/>
    <n v="159797"/>
    <n v="53389"/>
    <n v="54227"/>
    <n v="168167"/>
    <n v="165529"/>
    <n v="378545"/>
    <n v="12618.166666666666"/>
    <n v="379553"/>
    <n v="12651.766666666666"/>
    <n v="744"/>
    <n v="662"/>
    <n v="378545"/>
    <n v="379553"/>
    <m/>
    <m/>
    <m/>
    <m/>
    <m/>
    <m/>
    <m/>
    <m/>
    <n v="0"/>
    <n v="0"/>
    <n v="0"/>
    <n v="0"/>
    <m/>
    <m/>
    <n v="0"/>
    <n v="0"/>
    <m/>
    <m/>
    <n v="11923"/>
    <n v="11416"/>
    <n v="6524"/>
    <n v="6274"/>
    <n v="12699"/>
    <n v="12798"/>
    <n v="31146"/>
    <n v="1297.75"/>
    <n v="30488"/>
    <n v="1270.3333333333333"/>
    <n v="13915.916666666666"/>
    <n v="13922.1"/>
  </r>
  <r>
    <x v="3"/>
    <s v="University of West Florida"/>
    <m/>
    <n v="138354"/>
    <x v="2"/>
    <s v="sem"/>
    <s v="sem"/>
    <m/>
    <m/>
    <n v="106062"/>
    <n v="110612"/>
    <n v="34663"/>
    <n v="32825"/>
    <n v="119021"/>
    <n v="116879"/>
    <n v="259746"/>
    <n v="8658.2000000000007"/>
    <n v="260316"/>
    <n v="8677.2000000000007"/>
    <n v="614"/>
    <n v="765"/>
    <n v="259746"/>
    <n v="260316"/>
    <m/>
    <m/>
    <m/>
    <m/>
    <m/>
    <m/>
    <m/>
    <m/>
    <n v="0"/>
    <n v="0"/>
    <n v="0"/>
    <n v="0"/>
    <m/>
    <m/>
    <n v="0"/>
    <n v="0"/>
    <m/>
    <m/>
    <n v="11984"/>
    <n v="12904"/>
    <n v="8453.5"/>
    <n v="9290"/>
    <n v="12972"/>
    <n v="13726"/>
    <n v="33409.5"/>
    <n v="1392.0625"/>
    <n v="35920"/>
    <n v="1496.6666666666667"/>
    <n v="10050.262500000001"/>
    <n v="10173.866666666667"/>
  </r>
  <r>
    <x v="3"/>
    <s v="Florida Gulf Coast University"/>
    <m/>
    <n v="433660"/>
    <x v="3"/>
    <s v="sem"/>
    <s v="sem"/>
    <m/>
    <m/>
    <n v="128362"/>
    <n v="135462"/>
    <n v="29430"/>
    <n v="30274"/>
    <n v="146619"/>
    <n v="154596"/>
    <n v="304411"/>
    <n v="10147.033333333333"/>
    <n v="320332"/>
    <n v="10677.733333333334"/>
    <n v="3235"/>
    <n v="2184"/>
    <n v="304411"/>
    <n v="320332"/>
    <m/>
    <m/>
    <m/>
    <m/>
    <m/>
    <m/>
    <m/>
    <m/>
    <n v="0"/>
    <n v="0"/>
    <n v="0"/>
    <n v="0"/>
    <m/>
    <m/>
    <n v="0"/>
    <n v="0"/>
    <m/>
    <m/>
    <n v="9165"/>
    <n v="8394"/>
    <n v="4744"/>
    <n v="4169"/>
    <n v="8612"/>
    <n v="8226"/>
    <n v="22521"/>
    <n v="938.375"/>
    <n v="20789"/>
    <n v="866.20833333333337"/>
    <n v="11085.408333333333"/>
    <n v="11543.941666666668"/>
  </r>
  <r>
    <x v="3"/>
    <s v="New College of Florida"/>
    <m/>
    <n v="262129"/>
    <x v="5"/>
    <s v="sem"/>
    <s v="sem"/>
    <m/>
    <m/>
    <n v="12752"/>
    <n v="12628"/>
    <n v="0"/>
    <n v="0"/>
    <n v="15768"/>
    <n v="15128"/>
    <n v="28520"/>
    <n v="950.66666666666663"/>
    <n v="27756"/>
    <n v="925.2"/>
    <n v="20"/>
    <n v="16"/>
    <n v="28520"/>
    <n v="27756"/>
    <m/>
    <m/>
    <m/>
    <m/>
    <m/>
    <m/>
    <m/>
    <m/>
    <n v="0"/>
    <n v="0"/>
    <n v="0"/>
    <n v="0"/>
    <m/>
    <m/>
    <n v="0"/>
    <n v="0"/>
    <m/>
    <m/>
    <m/>
    <n v="0"/>
    <m/>
    <n v="0"/>
    <m/>
    <n v="0"/>
    <n v="0"/>
    <n v="0"/>
    <n v="0"/>
    <n v="0"/>
    <n v="950.66666666666663"/>
    <n v="925.2"/>
  </r>
  <r>
    <x v="3"/>
    <s v="Chipola College "/>
    <m/>
    <n v="133021"/>
    <x v="11"/>
    <s v="sem"/>
    <m/>
    <m/>
    <m/>
    <n v="19100"/>
    <n v="18262"/>
    <n v="5901"/>
    <n v="5372"/>
    <n v="20255"/>
    <n v="18964"/>
    <n v="45256"/>
    <n v="1508.5333333333333"/>
    <n v="42598"/>
    <n v="1419.9333333333334"/>
    <n v="5469"/>
    <n v="6133"/>
    <n v="45256"/>
    <n v="42598"/>
    <m/>
    <m/>
    <n v="42203"/>
    <n v="47740"/>
    <n v="13777"/>
    <n v="18831"/>
    <n v="49304"/>
    <n v="51322"/>
    <n v="105284"/>
    <n v="116.98222222222222"/>
    <n v="117893"/>
    <n v="130.99222222222221"/>
    <n v="1785"/>
    <n v="1725"/>
    <n v="105284"/>
    <n v="117893"/>
    <m/>
    <m/>
    <m/>
    <m/>
    <m/>
    <m/>
    <m/>
    <m/>
    <n v="0"/>
    <n v="0"/>
    <n v="0"/>
    <n v="0"/>
    <n v="1625.5155555555555"/>
    <n v="1550.9255555555555"/>
  </r>
  <r>
    <x v="3"/>
    <s v="Daytona State College "/>
    <m/>
    <n v="133386"/>
    <x v="11"/>
    <s v="sem"/>
    <m/>
    <m/>
    <m/>
    <n v="144792"/>
    <n v="130377"/>
    <n v="44520"/>
    <n v="41221"/>
    <n v="140532"/>
    <n v="135963"/>
    <n v="329844"/>
    <n v="10994.8"/>
    <n v="307561"/>
    <n v="10252.033333333333"/>
    <n v="27072"/>
    <n v="25562"/>
    <n v="329844"/>
    <n v="307561"/>
    <m/>
    <m/>
    <n v="847829"/>
    <n v="833957"/>
    <n v="450015"/>
    <n v="441255"/>
    <n v="816179"/>
    <n v="803927"/>
    <n v="2114023"/>
    <n v="2348.9144444444446"/>
    <n v="2079139"/>
    <n v="2310.1544444444444"/>
    <n v="4940"/>
    <n v="6180"/>
    <n v="2114023"/>
    <n v="2079139"/>
    <m/>
    <m/>
    <m/>
    <m/>
    <m/>
    <m/>
    <m/>
    <m/>
    <n v="0"/>
    <n v="0"/>
    <n v="0"/>
    <n v="0"/>
    <n v="13343.714444444444"/>
    <n v="12562.187777777777"/>
  </r>
  <r>
    <x v="3"/>
    <s v="Edison State College "/>
    <m/>
    <n v="133508"/>
    <x v="11"/>
    <s v="sem"/>
    <m/>
    <m/>
    <m/>
    <n v="141156"/>
    <n v="127177"/>
    <n v="52499"/>
    <n v="48933"/>
    <n v="136807"/>
    <n v="133601"/>
    <n v="330462"/>
    <n v="11015.4"/>
    <n v="309711"/>
    <n v="10323.700000000001"/>
    <n v="26406"/>
    <n v="26897"/>
    <n v="330462"/>
    <n v="309711"/>
    <m/>
    <m/>
    <n v="3990"/>
    <n v="4860"/>
    <n v="3900"/>
    <n v="8910"/>
    <n v="0"/>
    <n v="3120"/>
    <n v="7890"/>
    <n v="8.7666666666666675"/>
    <n v="16890"/>
    <n v="18.766666666666666"/>
    <n v="0"/>
    <n v="0"/>
    <n v="7890"/>
    <n v="16890"/>
    <m/>
    <m/>
    <m/>
    <m/>
    <m/>
    <m/>
    <m/>
    <m/>
    <n v="0"/>
    <n v="0"/>
    <n v="0"/>
    <n v="0"/>
    <n v="11024.166666666666"/>
    <n v="10342.466666666667"/>
  </r>
  <r>
    <x v="3"/>
    <s v="Florida State College at Jacksonville"/>
    <m/>
    <n v="133702"/>
    <x v="11"/>
    <s v="sem"/>
    <m/>
    <m/>
    <m/>
    <n v="259025"/>
    <n v="235384"/>
    <n v="129952"/>
    <n v="118520"/>
    <n v="248614"/>
    <n v="237970"/>
    <n v="637591"/>
    <n v="21253.033333333333"/>
    <n v="591874"/>
    <n v="19729.133333333335"/>
    <n v="32881"/>
    <n v="35150"/>
    <n v="637591"/>
    <n v="591874"/>
    <m/>
    <m/>
    <n v="873495"/>
    <n v="772538"/>
    <n v="535059"/>
    <n v="563856"/>
    <n v="799377"/>
    <n v="783095"/>
    <n v="2207931"/>
    <n v="2453.2566666666667"/>
    <n v="2119489"/>
    <n v="2354.9877777777779"/>
    <n v="34827"/>
    <n v="19562"/>
    <n v="2207931"/>
    <n v="2119489"/>
    <m/>
    <m/>
    <m/>
    <m/>
    <m/>
    <m/>
    <m/>
    <m/>
    <n v="0"/>
    <n v="0"/>
    <n v="0"/>
    <n v="0"/>
    <n v="23706.29"/>
    <n v="22084.121111111112"/>
  </r>
  <r>
    <x v="3"/>
    <s v="Indian River State College "/>
    <m/>
    <n v="134608"/>
    <x v="11"/>
    <s v="sem"/>
    <m/>
    <m/>
    <m/>
    <n v="133118"/>
    <n v="133323"/>
    <n v="63072"/>
    <n v="60436"/>
    <n v="143137"/>
    <n v="140090"/>
    <n v="339327"/>
    <n v="11310.9"/>
    <n v="333849"/>
    <n v="11128.3"/>
    <n v="36630"/>
    <n v="42139"/>
    <n v="339327"/>
    <n v="333849"/>
    <m/>
    <m/>
    <n v="722970"/>
    <n v="688962"/>
    <n v="490692"/>
    <n v="497933"/>
    <n v="724338"/>
    <n v="715790"/>
    <n v="1938000"/>
    <n v="2153.3333333333335"/>
    <n v="1902685"/>
    <n v="2114.0944444444444"/>
    <n v="41440"/>
    <n v="29864"/>
    <n v="1938000"/>
    <n v="1902685"/>
    <m/>
    <m/>
    <m/>
    <m/>
    <m/>
    <m/>
    <m/>
    <m/>
    <n v="0"/>
    <n v="0"/>
    <n v="0"/>
    <n v="0"/>
    <n v="13464.233333333334"/>
    <n v="13242.394444444444"/>
  </r>
  <r>
    <x v="3"/>
    <s v="Miami Dade College "/>
    <m/>
    <n v="135717"/>
    <x v="11"/>
    <s v="sem"/>
    <m/>
    <m/>
    <m/>
    <n v="650249"/>
    <n v="625446"/>
    <n v="295176"/>
    <n v="274274"/>
    <n v="650690"/>
    <n v="644836"/>
    <n v="1596115"/>
    <n v="53203.833333333336"/>
    <n v="1544556"/>
    <n v="51485.2"/>
    <n v="35022"/>
    <n v="42766"/>
    <n v="1596115"/>
    <n v="1544556"/>
    <m/>
    <m/>
    <n v="1233420"/>
    <n v="1154965"/>
    <n v="921686"/>
    <n v="969985"/>
    <n v="1108304"/>
    <n v="1121270"/>
    <n v="3263410"/>
    <n v="3626.0111111111109"/>
    <n v="3246220"/>
    <n v="3606.911111111111"/>
    <n v="0"/>
    <n v="0"/>
    <n v="3263410"/>
    <n v="3246220"/>
    <m/>
    <m/>
    <m/>
    <m/>
    <m/>
    <m/>
    <m/>
    <m/>
    <n v="0"/>
    <n v="0"/>
    <n v="0"/>
    <n v="0"/>
    <n v="56829.844444444447"/>
    <n v="55092.111111111109"/>
  </r>
  <r>
    <x v="3"/>
    <s v="Northwest Florida State College"/>
    <m/>
    <n v="136233"/>
    <x v="11"/>
    <s v="sem"/>
    <m/>
    <m/>
    <m/>
    <n v="63434"/>
    <n v="58154"/>
    <n v="26154"/>
    <n v="25986"/>
    <n v="62508"/>
    <n v="60531"/>
    <n v="152096"/>
    <n v="5069.8666666666668"/>
    <n v="144671"/>
    <n v="4822.3666666666668"/>
    <n v="8870"/>
    <n v="10063"/>
    <n v="152096"/>
    <n v="144671"/>
    <m/>
    <m/>
    <n v="109611"/>
    <n v="109096"/>
    <n v="60497"/>
    <n v="46544"/>
    <n v="107642"/>
    <n v="109413"/>
    <n v="277750"/>
    <n v="308.61111111111109"/>
    <n v="265053"/>
    <n v="294.50333333333333"/>
    <n v="0"/>
    <n v="0"/>
    <n v="277750"/>
    <n v="265053"/>
    <m/>
    <m/>
    <m/>
    <m/>
    <m/>
    <m/>
    <m/>
    <m/>
    <n v="0"/>
    <n v="0"/>
    <n v="0"/>
    <n v="0"/>
    <n v="5378.4777777777781"/>
    <n v="5116.87"/>
  </r>
  <r>
    <x v="3"/>
    <s v="St. Petersburg College "/>
    <m/>
    <n v="137078"/>
    <x v="11"/>
    <s v="sem"/>
    <m/>
    <m/>
    <m/>
    <n v="271911"/>
    <n v="263316"/>
    <n v="96285"/>
    <n v="91582"/>
    <n v="276141"/>
    <n v="269754"/>
    <n v="644337"/>
    <n v="21477.9"/>
    <n v="624652"/>
    <n v="20821.733333333334"/>
    <n v="37452"/>
    <n v="38741"/>
    <n v="644337"/>
    <n v="624652"/>
    <m/>
    <m/>
    <n v="47140"/>
    <n v="68660"/>
    <n v="26277"/>
    <n v="40077"/>
    <n v="62940"/>
    <n v="62571"/>
    <n v="136357"/>
    <n v="151.50777777777779"/>
    <n v="171308"/>
    <n v="190.34222222222223"/>
    <n v="0"/>
    <n v="0"/>
    <n v="136357"/>
    <n v="171308"/>
    <m/>
    <m/>
    <m/>
    <m/>
    <m/>
    <m/>
    <m/>
    <m/>
    <n v="0"/>
    <n v="0"/>
    <n v="0"/>
    <n v="0"/>
    <n v="21629.407777777778"/>
    <n v="21012.075555555555"/>
  </r>
  <r>
    <x v="3"/>
    <s v="Broward College "/>
    <s v="Reclassified: met the criteria for Two-Year with Bachelor's in 2011-12, 2012-13, and 2013-14."/>
    <n v="132709"/>
    <x v="11"/>
    <s v="sem"/>
    <m/>
    <m/>
    <m/>
    <n v="363645"/>
    <n v="351551"/>
    <n v="171912"/>
    <n v="173278"/>
    <n v="365871"/>
    <n v="375608"/>
    <n v="901428"/>
    <n v="30047.599999999999"/>
    <n v="900437"/>
    <n v="30014.566666666666"/>
    <n v="45262"/>
    <n v="43436"/>
    <n v="901428"/>
    <n v="900437"/>
    <m/>
    <m/>
    <n v="163204"/>
    <n v="134741"/>
    <n v="97091"/>
    <n v="124609"/>
    <n v="149838"/>
    <n v="132426"/>
    <n v="410133"/>
    <n v="455.70333333333332"/>
    <n v="391776"/>
    <n v="435.30666666666667"/>
    <n v="225"/>
    <n v="0"/>
    <n v="410133"/>
    <n v="391776"/>
    <m/>
    <m/>
    <m/>
    <m/>
    <m/>
    <m/>
    <m/>
    <m/>
    <n v="0"/>
    <n v="0"/>
    <n v="0"/>
    <n v="0"/>
    <n v="30503.303333333333"/>
    <n v="30449.873333333333"/>
  </r>
  <r>
    <x v="3"/>
    <s v="College of Central Florida"/>
    <s v="Met the criteria for Two-Year with Bachelor's in 2013-14."/>
    <n v="132851"/>
    <x v="6"/>
    <s v="sem"/>
    <m/>
    <m/>
    <m/>
    <n v="74341"/>
    <n v="69146"/>
    <n v="26395"/>
    <n v="26165"/>
    <n v="74213"/>
    <n v="74525"/>
    <n v="174949"/>
    <n v="5831.6333333333332"/>
    <n v="169836"/>
    <n v="5661.2"/>
    <n v="13023"/>
    <n v="14786"/>
    <n v="174949"/>
    <n v="169836"/>
    <m/>
    <m/>
    <n v="146424"/>
    <n v="85949"/>
    <n v="84648"/>
    <n v="51751"/>
    <n v="117024"/>
    <n v="73767"/>
    <n v="348096"/>
    <n v="386.77333333333331"/>
    <n v="211467"/>
    <n v="234.96333333333334"/>
    <n v="1050"/>
    <n v="0"/>
    <n v="348096"/>
    <n v="211467"/>
    <m/>
    <m/>
    <m/>
    <m/>
    <m/>
    <m/>
    <m/>
    <m/>
    <n v="0"/>
    <n v="0"/>
    <n v="0"/>
    <n v="0"/>
    <n v="6218.4066666666668"/>
    <n v="5896.163333333333"/>
  </r>
  <r>
    <x v="3"/>
    <s v="Eastern Florida State College"/>
    <m/>
    <n v="132693"/>
    <x v="6"/>
    <s v="sem"/>
    <m/>
    <m/>
    <m/>
    <n v="150391"/>
    <n v="137295"/>
    <n v="48875"/>
    <n v="48162"/>
    <n v="147500"/>
    <n v="143791"/>
    <n v="346766"/>
    <n v="11558.866666666667"/>
    <n v="329248"/>
    <n v="10974.933333333332"/>
    <n v="54984"/>
    <n v="56493"/>
    <n v="346766"/>
    <n v="329248"/>
    <m/>
    <m/>
    <n v="452940"/>
    <n v="361615"/>
    <n v="129757"/>
    <n v="132400"/>
    <n v="362364"/>
    <n v="313775"/>
    <n v="945061"/>
    <n v="1050.0677777777778"/>
    <n v="807790"/>
    <n v="897.54444444444448"/>
    <n v="92565"/>
    <n v="77791"/>
    <n v="945061"/>
    <n v="807790"/>
    <m/>
    <m/>
    <m/>
    <m/>
    <m/>
    <m/>
    <m/>
    <m/>
    <n v="0"/>
    <n v="0"/>
    <n v="0"/>
    <n v="0"/>
    <n v="12608.934444444445"/>
    <n v="11872.477777777776"/>
  </r>
  <r>
    <x v="3"/>
    <s v="Hillsborough Community College "/>
    <m/>
    <n v="134495"/>
    <x v="6"/>
    <s v="sem"/>
    <m/>
    <m/>
    <m/>
    <n v="250281"/>
    <n v="236460"/>
    <n v="87131"/>
    <n v="80516"/>
    <n v="249249"/>
    <n v="240787"/>
    <n v="586661"/>
    <n v="19555.366666666665"/>
    <n v="557763"/>
    <n v="18592.099999999999"/>
    <n v="15384"/>
    <n v="18722"/>
    <n v="586661"/>
    <n v="557763"/>
    <m/>
    <m/>
    <n v="558295"/>
    <n v="615454"/>
    <n v="99500"/>
    <n v="151005"/>
    <n v="634802"/>
    <n v="628093"/>
    <n v="1292597"/>
    <n v="1436.2188888888888"/>
    <n v="1394552"/>
    <n v="1549.5022222222221"/>
    <n v="0"/>
    <n v="0"/>
    <n v="1292597"/>
    <n v="1394552"/>
    <m/>
    <m/>
    <m/>
    <m/>
    <m/>
    <m/>
    <m/>
    <m/>
    <n v="0"/>
    <n v="0"/>
    <n v="0"/>
    <n v="0"/>
    <n v="20991.585555555554"/>
    <n v="20141.60222222222"/>
  </r>
  <r>
    <x v="3"/>
    <s v="Palm Beach State College "/>
    <s v="Reclassified: met the criteria for Two-Year with Bachelor's in 2011-12, 2012-13, and 2013-14."/>
    <n v="136358"/>
    <x v="11"/>
    <s v="sem"/>
    <m/>
    <m/>
    <m/>
    <n v="235834"/>
    <n v="228052"/>
    <n v="90121"/>
    <n v="91067"/>
    <n v="244928"/>
    <n v="241040"/>
    <n v="570883"/>
    <n v="19029.433333333334"/>
    <n v="560159"/>
    <n v="18671.966666666667"/>
    <n v="22540"/>
    <n v="23925"/>
    <n v="570883"/>
    <n v="560159"/>
    <m/>
    <m/>
    <n v="470037"/>
    <n v="532897"/>
    <n v="269345"/>
    <n v="305104"/>
    <n v="479213"/>
    <n v="497692"/>
    <n v="1218595"/>
    <n v="1353.9944444444445"/>
    <n v="1335693"/>
    <n v="1484.1033333333332"/>
    <n v="4080"/>
    <n v="4560"/>
    <n v="1218595"/>
    <n v="1335693"/>
    <m/>
    <m/>
    <m/>
    <m/>
    <m/>
    <m/>
    <m/>
    <m/>
    <n v="0"/>
    <n v="0"/>
    <n v="0"/>
    <n v="0"/>
    <n v="20383.427777777779"/>
    <n v="20156.07"/>
  </r>
  <r>
    <x v="3"/>
    <s v="Pasco-Hernando Community College "/>
    <m/>
    <n v="136400"/>
    <x v="6"/>
    <s v="sem"/>
    <m/>
    <m/>
    <m/>
    <n v="92204"/>
    <n v="83607"/>
    <n v="27620"/>
    <n v="25953"/>
    <n v="89575"/>
    <n v="89797"/>
    <n v="209399"/>
    <n v="6979.9666666666662"/>
    <n v="199357"/>
    <n v="6645.2333333333336"/>
    <n v="24399"/>
    <n v="20072"/>
    <n v="209399"/>
    <n v="199357"/>
    <m/>
    <m/>
    <n v="168953"/>
    <n v="139366"/>
    <n v="79855"/>
    <n v="76124"/>
    <n v="114863"/>
    <n v="138294"/>
    <n v="363671"/>
    <n v="404.07888888888891"/>
    <n v="353784"/>
    <n v="393.09333333333331"/>
    <n v="805"/>
    <n v="960"/>
    <n v="363671"/>
    <n v="353784"/>
    <m/>
    <m/>
    <m/>
    <m/>
    <m/>
    <m/>
    <m/>
    <m/>
    <n v="0"/>
    <n v="0"/>
    <n v="0"/>
    <n v="0"/>
    <n v="7384.0455555555554"/>
    <n v="7038.3266666666668"/>
  </r>
  <r>
    <x v="3"/>
    <s v="Pensacola State College "/>
    <s v="Met the criteria for Two-Year with Bachelor's in 2012-13 and 2013-14."/>
    <n v="136473"/>
    <x v="6"/>
    <s v="sem"/>
    <m/>
    <m/>
    <m/>
    <n v="102456"/>
    <n v="100134"/>
    <n v="40266"/>
    <n v="38882"/>
    <n v="106379"/>
    <n v="99041"/>
    <n v="249101"/>
    <n v="8303.3666666666668"/>
    <n v="238057"/>
    <n v="7935.2333333333336"/>
    <n v="27988"/>
    <n v="28172"/>
    <n v="249101"/>
    <n v="238057"/>
    <m/>
    <m/>
    <n v="379700"/>
    <n v="366434"/>
    <n v="220774"/>
    <n v="211589"/>
    <n v="409685"/>
    <n v="332977"/>
    <n v="1010159"/>
    <n v="1122.3988888888889"/>
    <n v="911000"/>
    <n v="1012.2222222222222"/>
    <n v="1170"/>
    <n v="1380"/>
    <n v="1010159"/>
    <n v="911000"/>
    <m/>
    <m/>
    <m/>
    <m/>
    <m/>
    <m/>
    <m/>
    <m/>
    <n v="0"/>
    <n v="0"/>
    <n v="0"/>
    <n v="0"/>
    <n v="9425.7655555555557"/>
    <n v="8947.4555555555562"/>
  </r>
  <r>
    <x v="3"/>
    <s v="Polk State College "/>
    <s v="Reclassified: met the criteria for Two-Year with Bachelor's in 2011-12, 2012-13, and 2013-14."/>
    <n v="136516"/>
    <x v="11"/>
    <s v="sem"/>
    <m/>
    <m/>
    <m/>
    <n v="95577"/>
    <n v="96630"/>
    <n v="35442"/>
    <n v="34129"/>
    <n v="100190"/>
    <n v="102394"/>
    <n v="231209"/>
    <n v="7706.9666666666662"/>
    <n v="233153"/>
    <n v="7771.7666666666664"/>
    <n v="29544"/>
    <n v="31823"/>
    <n v="231209"/>
    <n v="233153"/>
    <m/>
    <m/>
    <n v="27397"/>
    <n v="27301"/>
    <n v="24121"/>
    <n v="20656"/>
    <n v="29361"/>
    <n v="31804"/>
    <n v="80879"/>
    <n v="89.865555555555559"/>
    <n v="79761"/>
    <n v="88.623333333333335"/>
    <n v="0"/>
    <n v="0"/>
    <n v="80879"/>
    <n v="79761"/>
    <m/>
    <m/>
    <m/>
    <m/>
    <m/>
    <m/>
    <m/>
    <m/>
    <n v="0"/>
    <n v="0"/>
    <n v="0"/>
    <n v="0"/>
    <n v="7796.8322222222214"/>
    <n v="7860.3899999999994"/>
  </r>
  <r>
    <x v="3"/>
    <s v="Santa Fe College "/>
    <s v="Met the criteria for Two-Year with Bachelor's in 2012-13 and 2013-14."/>
    <n v="137096"/>
    <x v="6"/>
    <s v="sem"/>
    <m/>
    <m/>
    <m/>
    <n v="142534"/>
    <n v="136464"/>
    <n v="60253"/>
    <n v="57970"/>
    <n v="146754"/>
    <n v="143283"/>
    <n v="349541"/>
    <n v="11651.366666666667"/>
    <n v="337717"/>
    <n v="11257.233333333334"/>
    <n v="15659"/>
    <n v="16300"/>
    <n v="349541"/>
    <n v="337717"/>
    <m/>
    <m/>
    <n v="195473"/>
    <n v="174511"/>
    <n v="126062"/>
    <n v="134041"/>
    <n v="211324"/>
    <n v="214163"/>
    <n v="532859"/>
    <n v="592.06555555555553"/>
    <n v="522715"/>
    <n v="580.79444444444448"/>
    <n v="1080"/>
    <n v="2238"/>
    <n v="532859"/>
    <n v="522715"/>
    <m/>
    <m/>
    <m/>
    <m/>
    <m/>
    <m/>
    <m/>
    <m/>
    <n v="0"/>
    <n v="0"/>
    <n v="0"/>
    <n v="0"/>
    <n v="12243.432222222222"/>
    <n v="11838.027777777777"/>
  </r>
  <r>
    <x v="3"/>
    <s v="Seminole State College of Florida"/>
    <s v="Met the criteria for Two-Year with Bachelor's in 2012-13 and 2013-14."/>
    <n v="137209"/>
    <x v="6"/>
    <s v="sem"/>
    <m/>
    <m/>
    <m/>
    <n v="167812"/>
    <n v="161087"/>
    <n v="71447"/>
    <n v="65893"/>
    <n v="175798"/>
    <n v="160467"/>
    <n v="415057"/>
    <n v="13835.233333333334"/>
    <n v="387447"/>
    <n v="12914.9"/>
    <n v="6881"/>
    <n v="8384"/>
    <n v="415057"/>
    <n v="387447"/>
    <m/>
    <m/>
    <n v="470402"/>
    <n v="447615"/>
    <n v="321229"/>
    <n v="289090"/>
    <n v="441055"/>
    <n v="494474"/>
    <n v="1232686"/>
    <n v="1369.651111111111"/>
    <n v="1231179"/>
    <n v="1367.9766666666667"/>
    <n v="6120"/>
    <n v="7020"/>
    <n v="1232686"/>
    <n v="1231179"/>
    <m/>
    <m/>
    <m/>
    <m/>
    <m/>
    <m/>
    <m/>
    <m/>
    <n v="0"/>
    <n v="0"/>
    <n v="0"/>
    <n v="0"/>
    <n v="15204.884444444444"/>
    <n v="14282.876666666667"/>
  </r>
  <r>
    <x v="3"/>
    <s v="State College of Florida, Manatee-Sarasota"/>
    <s v="Reclassified: met the criteria for Two-Year with Bachelor's in 2011-12, 2012-13, and 2013-14."/>
    <n v="135391"/>
    <x v="11"/>
    <s v="sem"/>
    <m/>
    <m/>
    <m/>
    <n v="104680"/>
    <n v="99472"/>
    <n v="32779"/>
    <n v="31119"/>
    <n v="108096"/>
    <n v="103243"/>
    <n v="245555"/>
    <n v="8185.166666666667"/>
    <n v="233834"/>
    <n v="7794.4666666666662"/>
    <n v="18340"/>
    <n v="18206"/>
    <n v="245555"/>
    <n v="233834"/>
    <m/>
    <m/>
    <n v="0"/>
    <n v="0"/>
    <n v="0"/>
    <n v="0"/>
    <n v="0"/>
    <n v="0"/>
    <n v="0"/>
    <n v="0"/>
    <n v="0"/>
    <n v="0"/>
    <n v="0"/>
    <n v="0"/>
    <n v="0"/>
    <n v="0"/>
    <m/>
    <m/>
    <m/>
    <m/>
    <m/>
    <m/>
    <m/>
    <m/>
    <n v="0"/>
    <n v="0"/>
    <n v="0"/>
    <n v="0"/>
    <n v="8185.166666666667"/>
    <n v="7794.4666666666662"/>
  </r>
  <r>
    <x v="3"/>
    <s v="Tallahassee Community College "/>
    <m/>
    <n v="137759"/>
    <x v="6"/>
    <s v="sem"/>
    <m/>
    <m/>
    <m/>
    <n v="135595"/>
    <n v="119853"/>
    <n v="61101"/>
    <n v="53188"/>
    <n v="135376"/>
    <n v="128674"/>
    <n v="332072"/>
    <n v="11069.066666666668"/>
    <n v="301715"/>
    <n v="10057.166666666666"/>
    <n v="8082"/>
    <n v="7462"/>
    <n v="332072"/>
    <n v="301715"/>
    <m/>
    <m/>
    <n v="186962"/>
    <n v="176220"/>
    <n v="43974"/>
    <n v="66920"/>
    <n v="152595"/>
    <n v="119445"/>
    <n v="383531"/>
    <n v="426.14555555555557"/>
    <n v="362585"/>
    <n v="402.87222222222221"/>
    <n v="692"/>
    <n v="6024"/>
    <n v="383531"/>
    <n v="362585"/>
    <m/>
    <m/>
    <m/>
    <m/>
    <m/>
    <m/>
    <m/>
    <m/>
    <n v="0"/>
    <n v="0"/>
    <n v="0"/>
    <n v="0"/>
    <n v="11495.212222222222"/>
    <n v="10460.038888888888"/>
  </r>
  <r>
    <x v="3"/>
    <s v="Valencia College "/>
    <s v="Met the criteria for Two-Year with Bachelor's in 2013-14."/>
    <n v="138187"/>
    <x v="6"/>
    <s v="sem"/>
    <m/>
    <m/>
    <m/>
    <n v="364963"/>
    <n v="351665"/>
    <n v="165729"/>
    <n v="158284"/>
    <n v="380499"/>
    <n v="376413"/>
    <n v="911191"/>
    <n v="30373.033333333333"/>
    <n v="886362"/>
    <n v="29545.4"/>
    <n v="37708"/>
    <n v="33755"/>
    <n v="911191"/>
    <n v="886362"/>
    <m/>
    <m/>
    <n v="106522"/>
    <n v="97613"/>
    <n v="35864"/>
    <n v="5481"/>
    <n v="42650"/>
    <n v="56084"/>
    <n v="185036"/>
    <n v="205.59555555555556"/>
    <n v="159178"/>
    <n v="176.86444444444444"/>
    <n v="0"/>
    <n v="0"/>
    <n v="185036"/>
    <n v="159178"/>
    <m/>
    <m/>
    <m/>
    <m/>
    <m/>
    <m/>
    <m/>
    <m/>
    <n v="0"/>
    <n v="0"/>
    <n v="0"/>
    <n v="0"/>
    <n v="30578.628888888888"/>
    <n v="29722.264444444445"/>
  </r>
  <r>
    <x v="3"/>
    <s v="Florida Gateway College"/>
    <m/>
    <n v="135160"/>
    <x v="7"/>
    <s v="sem"/>
    <m/>
    <m/>
    <m/>
    <n v="24508"/>
    <n v="23365"/>
    <n v="9472"/>
    <n v="8985"/>
    <n v="24083"/>
    <n v="23716"/>
    <n v="58063"/>
    <n v="1935.4333333333334"/>
    <n v="56066"/>
    <n v="1868.8666666666666"/>
    <n v="13166"/>
    <n v="13003"/>
    <n v="58063"/>
    <n v="56066"/>
    <m/>
    <m/>
    <n v="105997"/>
    <n v="76278"/>
    <n v="65806"/>
    <n v="52746"/>
    <n v="100505"/>
    <n v="90783"/>
    <n v="272308"/>
    <n v="302.56444444444446"/>
    <n v="219807"/>
    <n v="244.23"/>
    <n v="9095"/>
    <n v="7490"/>
    <n v="272308"/>
    <n v="219807"/>
    <m/>
    <m/>
    <m/>
    <m/>
    <m/>
    <m/>
    <m/>
    <m/>
    <n v="0"/>
    <n v="0"/>
    <n v="0"/>
    <n v="0"/>
    <n v="2237.9977777777776"/>
    <n v="2113.0966666666664"/>
  </r>
  <r>
    <x v="3"/>
    <s v="Gulf Coast State College "/>
    <s v="Met the criteria for Two-Year with Bachelor's in 2012-13 and 2013-14."/>
    <n v="134343"/>
    <x v="7"/>
    <s v="sem"/>
    <m/>
    <m/>
    <m/>
    <n v="57995"/>
    <n v="54842"/>
    <n v="17122"/>
    <n v="14495"/>
    <n v="57451"/>
    <n v="55732"/>
    <n v="132568"/>
    <n v="4418.9333333333334"/>
    <n v="125069"/>
    <n v="4168.9666666666662"/>
    <n v="14090"/>
    <n v="13966"/>
    <n v="132568"/>
    <n v="125069"/>
    <m/>
    <m/>
    <n v="75812"/>
    <n v="68411"/>
    <n v="47721"/>
    <n v="48508"/>
    <n v="58552"/>
    <n v="45147"/>
    <n v="182085"/>
    <n v="202.31666666666666"/>
    <n v="162066"/>
    <n v="180.07333333333332"/>
    <n v="0"/>
    <n v="0"/>
    <n v="182085"/>
    <n v="162066"/>
    <m/>
    <m/>
    <m/>
    <m/>
    <m/>
    <m/>
    <m/>
    <m/>
    <n v="0"/>
    <n v="0"/>
    <n v="0"/>
    <n v="0"/>
    <n v="4621.25"/>
    <n v="4349.04"/>
  </r>
  <r>
    <x v="3"/>
    <s v="Lake-Sumter State College "/>
    <m/>
    <n v="135188"/>
    <x v="7"/>
    <s v="sem"/>
    <m/>
    <m/>
    <m/>
    <n v="40492"/>
    <n v="36713"/>
    <n v="12836"/>
    <n v="12755"/>
    <n v="39424"/>
    <n v="36464"/>
    <n v="92752"/>
    <n v="3091.7333333333331"/>
    <n v="85932"/>
    <n v="2864.4"/>
    <n v="13282"/>
    <n v="9694"/>
    <n v="92752"/>
    <n v="85932"/>
    <m/>
    <m/>
    <n v="798"/>
    <n v="1517"/>
    <n v="105"/>
    <n v="75"/>
    <n v="1031"/>
    <n v="814"/>
    <n v="1934"/>
    <n v="2.1488888888888891"/>
    <n v="2406"/>
    <n v="2.6733333333333333"/>
    <n v="0"/>
    <n v="0"/>
    <n v="1934"/>
    <n v="2406"/>
    <m/>
    <m/>
    <m/>
    <m/>
    <m/>
    <m/>
    <m/>
    <m/>
    <n v="0"/>
    <n v="0"/>
    <n v="0"/>
    <n v="0"/>
    <n v="3093.882222222222"/>
    <n v="2867.0733333333333"/>
  </r>
  <r>
    <x v="3"/>
    <s v="South Florida State College "/>
    <m/>
    <n v="137315"/>
    <x v="7"/>
    <s v="sem"/>
    <m/>
    <m/>
    <m/>
    <n v="19548"/>
    <n v="18854"/>
    <n v="5808"/>
    <n v="5320"/>
    <n v="21291"/>
    <n v="20976"/>
    <n v="46647"/>
    <n v="1554.9"/>
    <n v="45150"/>
    <n v="1505"/>
    <n v="5711"/>
    <n v="5419"/>
    <n v="46647"/>
    <n v="45150"/>
    <m/>
    <m/>
    <n v="284820"/>
    <n v="255371"/>
    <n v="131551"/>
    <n v="119420"/>
    <n v="290221"/>
    <n v="267921"/>
    <n v="706592"/>
    <n v="785.10222222222217"/>
    <n v="642712"/>
    <n v="714.12444444444441"/>
    <n v="82194"/>
    <n v="72621"/>
    <n v="706592"/>
    <n v="642712"/>
    <m/>
    <m/>
    <m/>
    <m/>
    <m/>
    <m/>
    <m/>
    <m/>
    <n v="0"/>
    <n v="0"/>
    <n v="0"/>
    <n v="0"/>
    <n v="2340.0022222222224"/>
    <n v="2219.1244444444446"/>
  </r>
  <r>
    <x v="3"/>
    <s v="St. Johns River State College "/>
    <s v="Reclassified: met the criteria for Two-Year with Bachelor's in 2011-12, 2012-13, and 2013-14."/>
    <n v="137281"/>
    <x v="11"/>
    <s v="sem"/>
    <m/>
    <m/>
    <m/>
    <n v="56675"/>
    <n v="55015"/>
    <n v="23696"/>
    <n v="22518"/>
    <n v="57468"/>
    <n v="58446"/>
    <n v="137839"/>
    <n v="4594.6333333333332"/>
    <n v="135979"/>
    <n v="4532.6333333333332"/>
    <n v="14555"/>
    <n v="16844"/>
    <n v="137839"/>
    <n v="135979"/>
    <m/>
    <m/>
    <n v="104943"/>
    <n v="98995"/>
    <n v="55933"/>
    <n v="49634"/>
    <n v="125073"/>
    <n v="94505"/>
    <n v="285949"/>
    <n v="317.7211111111111"/>
    <n v="243134"/>
    <n v="270.14888888888891"/>
    <n v="0"/>
    <n v="0"/>
    <n v="285949"/>
    <n v="243134"/>
    <m/>
    <m/>
    <m/>
    <m/>
    <m/>
    <m/>
    <m/>
    <m/>
    <n v="0"/>
    <n v="0"/>
    <n v="0"/>
    <n v="0"/>
    <n v="4912.3544444444442"/>
    <n v="4802.7822222222221"/>
  </r>
  <r>
    <x v="3"/>
    <s v="Florida Keys Community College "/>
    <m/>
    <n v="133960"/>
    <x v="8"/>
    <s v="sem"/>
    <m/>
    <m/>
    <m/>
    <n v="10149"/>
    <n v="9573"/>
    <n v="4030"/>
    <n v="3655"/>
    <n v="10605"/>
    <n v="9832"/>
    <n v="24784"/>
    <n v="826.13333333333333"/>
    <n v="23060"/>
    <n v="768.66666666666663"/>
    <n v="1927"/>
    <n v="1579"/>
    <n v="24784"/>
    <n v="23060"/>
    <m/>
    <m/>
    <n v="12920"/>
    <n v="7679"/>
    <n v="6386"/>
    <n v="5110"/>
    <n v="12789"/>
    <n v="15015"/>
    <n v="32095"/>
    <n v="35.661111111111111"/>
    <n v="27804"/>
    <n v="30.893333333333334"/>
    <n v="0"/>
    <n v="90"/>
    <n v="32095"/>
    <n v="27804"/>
    <m/>
    <m/>
    <m/>
    <m/>
    <m/>
    <m/>
    <m/>
    <m/>
    <n v="0"/>
    <n v="0"/>
    <n v="0"/>
    <n v="0"/>
    <n v="861.79444444444448"/>
    <n v="799.56"/>
  </r>
  <r>
    <x v="3"/>
    <s v="North Florida Community College "/>
    <m/>
    <n v="136145"/>
    <x v="8"/>
    <s v="sem"/>
    <m/>
    <m/>
    <m/>
    <n v="10272"/>
    <n v="9664"/>
    <n v="3504"/>
    <n v="2871"/>
    <n v="10710"/>
    <n v="9880"/>
    <n v="24486"/>
    <n v="816.2"/>
    <n v="22415"/>
    <n v="747.16666666666663"/>
    <n v="3467"/>
    <n v="3520"/>
    <n v="24486"/>
    <n v="22415"/>
    <m/>
    <m/>
    <n v="36952"/>
    <n v="40372"/>
    <n v="6448"/>
    <n v="13087"/>
    <n v="46441"/>
    <n v="34662"/>
    <n v="89841"/>
    <n v="99.823333333333338"/>
    <n v="88121"/>
    <n v="97.912222222222226"/>
    <n v="0"/>
    <n v="0"/>
    <n v="89841"/>
    <n v="88121"/>
    <m/>
    <m/>
    <m/>
    <m/>
    <m/>
    <m/>
    <m/>
    <m/>
    <n v="0"/>
    <n v="0"/>
    <n v="0"/>
    <n v="0"/>
    <n v="916.02333333333343"/>
    <n v="845.07888888888886"/>
  </r>
  <r>
    <x v="4"/>
    <s v="Georgia State University "/>
    <m/>
    <n v="139940"/>
    <x v="0"/>
    <s v="sem"/>
    <s v="sem"/>
    <m/>
    <m/>
    <n v="280797"/>
    <n v="286847"/>
    <n v="69622"/>
    <n v="69371"/>
    <n v="302084.5"/>
    <n v="305045"/>
    <n v="652503.5"/>
    <n v="21750.116666666665"/>
    <n v="661263"/>
    <n v="22042.1"/>
    <n v="2134"/>
    <n v="2765"/>
    <n v="652503.5"/>
    <n v="661263"/>
    <m/>
    <m/>
    <m/>
    <m/>
    <m/>
    <m/>
    <m/>
    <m/>
    <n v="0"/>
    <n v="0"/>
    <n v="0"/>
    <n v="0"/>
    <m/>
    <m/>
    <n v="0"/>
    <n v="0"/>
    <m/>
    <m/>
    <n v="87306"/>
    <n v="86688"/>
    <n v="49229.5"/>
    <n v="48953"/>
    <n v="88354"/>
    <n v="89099"/>
    <n v="224889.5"/>
    <n v="9370.3958333333339"/>
    <n v="224740"/>
    <n v="9364.1666666666661"/>
    <n v="31120.512499999997"/>
    <n v="31406.266666666663"/>
  </r>
  <r>
    <x v="4"/>
    <s v="University of Georgia"/>
    <m/>
    <n v="139959"/>
    <x v="0"/>
    <s v="sem"/>
    <s v="sem"/>
    <m/>
    <m/>
    <n v="341933.4"/>
    <n v="340309"/>
    <n v="52137"/>
    <n v="50681"/>
    <n v="358004.5"/>
    <n v="360294"/>
    <n v="752074.9"/>
    <n v="25069.163333333334"/>
    <n v="751284"/>
    <n v="25042.799999999999"/>
    <n v="303"/>
    <n v="333"/>
    <n v="752074.9"/>
    <n v="751284"/>
    <m/>
    <m/>
    <m/>
    <m/>
    <m/>
    <m/>
    <m/>
    <m/>
    <n v="0"/>
    <n v="0"/>
    <n v="0"/>
    <n v="0"/>
    <m/>
    <m/>
    <n v="0"/>
    <n v="0"/>
    <m/>
    <m/>
    <n v="100842.9"/>
    <n v="101041"/>
    <n v="39846.6"/>
    <n v="40108"/>
    <n v="103033"/>
    <n v="104243"/>
    <n v="243722.5"/>
    <n v="10155.104166666666"/>
    <n v="245392"/>
    <n v="10224.666666666666"/>
    <n v="35224.267500000002"/>
    <n v="35267.466666666667"/>
  </r>
  <r>
    <x v="4"/>
    <s v="Georgia Institute of Technology"/>
    <m/>
    <n v="139755"/>
    <x v="1"/>
    <s v="sem"/>
    <s v="sem"/>
    <m/>
    <m/>
    <n v="179762.5"/>
    <n v="187375"/>
    <n v="43581"/>
    <n v="43034"/>
    <n v="200584.5"/>
    <n v="201227"/>
    <n v="423928"/>
    <n v="14130.933333333332"/>
    <n v="431636"/>
    <n v="14387.866666666667"/>
    <n v="2490"/>
    <n v="2652"/>
    <n v="423928"/>
    <n v="431636"/>
    <m/>
    <m/>
    <m/>
    <m/>
    <m/>
    <m/>
    <m/>
    <m/>
    <n v="0"/>
    <n v="0"/>
    <n v="0"/>
    <n v="0"/>
    <m/>
    <m/>
    <n v="0"/>
    <n v="0"/>
    <m/>
    <m/>
    <n v="91404"/>
    <n v="91830"/>
    <n v="43489.5"/>
    <n v="42681"/>
    <n v="99242"/>
    <n v="97266"/>
    <n v="234135.5"/>
    <n v="9755.6458333333339"/>
    <n v="231777"/>
    <n v="9657.375"/>
    <n v="23886.579166666666"/>
    <n v="24045.241666666669"/>
  </r>
  <r>
    <x v="4"/>
    <s v="Georgia Southern University"/>
    <m/>
    <n v="139931"/>
    <x v="2"/>
    <s v="sem"/>
    <s v="sem"/>
    <m/>
    <m/>
    <n v="219703"/>
    <n v="215888"/>
    <n v="56580"/>
    <n v="57753"/>
    <n v="237958"/>
    <n v="237235"/>
    <n v="514241"/>
    <n v="17141.366666666665"/>
    <n v="510876"/>
    <n v="17029.2"/>
    <n v="2137"/>
    <n v="1943"/>
    <n v="514241"/>
    <n v="510876"/>
    <m/>
    <m/>
    <m/>
    <m/>
    <m/>
    <m/>
    <m/>
    <m/>
    <n v="0"/>
    <n v="0"/>
    <n v="0"/>
    <n v="0"/>
    <m/>
    <m/>
    <n v="0"/>
    <n v="0"/>
    <m/>
    <m/>
    <n v="16368"/>
    <n v="16048"/>
    <n v="10451"/>
    <n v="10283"/>
    <n v="17053"/>
    <n v="17503"/>
    <n v="43872"/>
    <n v="1828"/>
    <n v="43834"/>
    <n v="1826.4166666666667"/>
    <n v="18969.366666666665"/>
    <n v="18855.616666666669"/>
  </r>
  <r>
    <x v="4"/>
    <s v="University of West Georgia"/>
    <m/>
    <n v="141334"/>
    <x v="2"/>
    <s v="sem"/>
    <s v="sem"/>
    <m/>
    <m/>
    <n v="118814"/>
    <n v="117342"/>
    <n v="28487"/>
    <n v="24414"/>
    <n v="127540"/>
    <n v="129635"/>
    <n v="274841"/>
    <n v="9161.3666666666668"/>
    <n v="271391"/>
    <n v="9046.3666666666668"/>
    <n v="2788"/>
    <n v="2657"/>
    <n v="274841"/>
    <n v="271391"/>
    <m/>
    <m/>
    <m/>
    <m/>
    <m/>
    <m/>
    <m/>
    <m/>
    <n v="0"/>
    <n v="0"/>
    <n v="0"/>
    <n v="0"/>
    <m/>
    <m/>
    <n v="0"/>
    <n v="0"/>
    <m/>
    <m/>
    <n v="10298"/>
    <n v="11413"/>
    <n v="6802"/>
    <n v="7516"/>
    <n v="11689"/>
    <n v="13201"/>
    <n v="28789"/>
    <n v="1199.5416666666667"/>
    <n v="32130"/>
    <n v="1338.75"/>
    <n v="10360.908333333333"/>
    <n v="10385.116666666667"/>
  </r>
  <r>
    <x v="4"/>
    <s v="Valdosta State University "/>
    <m/>
    <n v="141264"/>
    <x v="2"/>
    <s v="sem"/>
    <s v="sem"/>
    <m/>
    <m/>
    <n v="130853"/>
    <n v="124381"/>
    <n v="23404"/>
    <n v="22588"/>
    <n v="133720"/>
    <n v="125548"/>
    <n v="287977"/>
    <n v="9599.2333333333336"/>
    <n v="272517"/>
    <n v="9083.9"/>
    <n v="198"/>
    <n v="254"/>
    <n v="287977"/>
    <n v="272517"/>
    <m/>
    <m/>
    <m/>
    <m/>
    <m/>
    <m/>
    <m/>
    <m/>
    <n v="0"/>
    <n v="0"/>
    <n v="0"/>
    <n v="0"/>
    <m/>
    <m/>
    <n v="0"/>
    <n v="0"/>
    <m/>
    <m/>
    <n v="15987"/>
    <n v="15376"/>
    <n v="11555"/>
    <n v="10453"/>
    <n v="15614"/>
    <n v="14876"/>
    <n v="43156"/>
    <n v="1798.1666666666667"/>
    <n v="40705"/>
    <n v="1696.0416666666667"/>
    <n v="11397.4"/>
    <n v="10779.941666666666"/>
  </r>
  <r>
    <x v="4"/>
    <s v="Albany State University "/>
    <m/>
    <n v="138716"/>
    <x v="3"/>
    <s v="sem"/>
    <s v="sem"/>
    <m/>
    <m/>
    <n v="49806"/>
    <n v="43198"/>
    <n v="8308"/>
    <n v="7814"/>
    <n v="48419"/>
    <n v="46411"/>
    <n v="106533"/>
    <n v="3551.1"/>
    <n v="97423"/>
    <n v="3247.4333333333334"/>
    <n v="168"/>
    <n v="573"/>
    <n v="106533"/>
    <n v="97423"/>
    <m/>
    <m/>
    <m/>
    <m/>
    <m/>
    <m/>
    <m/>
    <m/>
    <n v="0"/>
    <n v="0"/>
    <n v="0"/>
    <n v="0"/>
    <m/>
    <m/>
    <n v="0"/>
    <n v="0"/>
    <m/>
    <m/>
    <n v="3343"/>
    <n v="3198"/>
    <n v="1469"/>
    <n v="1954"/>
    <n v="3280"/>
    <n v="3996"/>
    <n v="8092"/>
    <n v="337.16666666666669"/>
    <n v="9148"/>
    <n v="381.16666666666669"/>
    <n v="3888.2666666666664"/>
    <n v="3628.6"/>
  </r>
  <r>
    <x v="4"/>
    <s v="Armstrong Atlantic State University"/>
    <m/>
    <n v="138789"/>
    <x v="3"/>
    <s v="sem"/>
    <s v="sem"/>
    <m/>
    <m/>
    <n v="75947"/>
    <n v="74538"/>
    <n v="19748"/>
    <n v="18876"/>
    <n v="80411"/>
    <n v="77695"/>
    <n v="176106"/>
    <n v="5870.2"/>
    <n v="171109"/>
    <n v="5703.6333333333332"/>
    <n v="745"/>
    <n v="783"/>
    <n v="176106"/>
    <n v="171109"/>
    <m/>
    <m/>
    <m/>
    <m/>
    <m/>
    <m/>
    <m/>
    <m/>
    <n v="0"/>
    <n v="0"/>
    <n v="0"/>
    <n v="0"/>
    <m/>
    <m/>
    <n v="0"/>
    <n v="0"/>
    <m/>
    <m/>
    <n v="4748"/>
    <n v="5003"/>
    <n v="3403"/>
    <n v="3194"/>
    <n v="5208"/>
    <n v="5514"/>
    <n v="13359"/>
    <n v="556.625"/>
    <n v="13711"/>
    <n v="571.29166666666663"/>
    <n v="6426.8249999999998"/>
    <n v="6274.9250000000002"/>
  </r>
  <r>
    <x v="4"/>
    <s v="Columbus State University"/>
    <m/>
    <n v="139366"/>
    <x v="3"/>
    <s v="sem"/>
    <s v="sem"/>
    <m/>
    <m/>
    <n v="78739"/>
    <n v="78937"/>
    <n v="18584"/>
    <n v="18124"/>
    <n v="83625"/>
    <n v="82957"/>
    <n v="180948"/>
    <n v="6031.6"/>
    <n v="180018"/>
    <n v="6000.6"/>
    <n v="942"/>
    <n v="1471"/>
    <n v="180948"/>
    <n v="180018"/>
    <m/>
    <m/>
    <m/>
    <m/>
    <m/>
    <m/>
    <m/>
    <m/>
    <n v="0"/>
    <n v="0"/>
    <n v="0"/>
    <n v="0"/>
    <m/>
    <m/>
    <n v="0"/>
    <n v="0"/>
    <m/>
    <m/>
    <n v="7889"/>
    <n v="7266"/>
    <n v="4950"/>
    <n v="4138"/>
    <n v="7897"/>
    <n v="7685"/>
    <n v="20736"/>
    <n v="864"/>
    <n v="19089"/>
    <n v="795.375"/>
    <n v="6895.6"/>
    <n v="6795.9750000000004"/>
  </r>
  <r>
    <x v="4"/>
    <s v="Georgia College and State University"/>
    <m/>
    <n v="139861"/>
    <x v="3"/>
    <s v="sem"/>
    <s v="sem"/>
    <m/>
    <m/>
    <n v="73639"/>
    <n v="74198"/>
    <n v="14223"/>
    <n v="15261"/>
    <n v="77778.5"/>
    <n v="79727"/>
    <n v="165640.5"/>
    <n v="5521.35"/>
    <n v="169186"/>
    <n v="5639.5333333333338"/>
    <n v="618"/>
    <n v="738"/>
    <n v="165640.5"/>
    <n v="169186"/>
    <m/>
    <m/>
    <m/>
    <m/>
    <m/>
    <m/>
    <m/>
    <m/>
    <n v="0"/>
    <n v="0"/>
    <n v="0"/>
    <n v="0"/>
    <m/>
    <m/>
    <n v="0"/>
    <n v="0"/>
    <m/>
    <m/>
    <n v="7123"/>
    <n v="6312"/>
    <n v="4740"/>
    <n v="4318"/>
    <n v="6654"/>
    <n v="6467"/>
    <n v="18517"/>
    <n v="771.54166666666663"/>
    <n v="17097"/>
    <n v="712.375"/>
    <n v="6292.8916666666673"/>
    <n v="6351.9083333333338"/>
  </r>
  <r>
    <x v="4"/>
    <s v="Georgia Regents University"/>
    <m/>
    <n v="482149"/>
    <x v="3"/>
    <s v="sem"/>
    <s v="sem"/>
    <m/>
    <m/>
    <n v="65008"/>
    <n v="66889"/>
    <n v="14796"/>
    <n v="14354"/>
    <n v="67328"/>
    <n v="71160"/>
    <n v="147132"/>
    <n v="4904.3999999999996"/>
    <n v="152403"/>
    <n v="5080.1000000000004"/>
    <n v="946"/>
    <n v="1121"/>
    <n v="147132"/>
    <n v="152403"/>
    <m/>
    <m/>
    <m/>
    <m/>
    <m/>
    <m/>
    <m/>
    <m/>
    <n v="0"/>
    <n v="0"/>
    <n v="0"/>
    <n v="0"/>
    <m/>
    <m/>
    <n v="0"/>
    <n v="0"/>
    <m/>
    <m/>
    <n v="5524"/>
    <n v="14918"/>
    <n v="2945"/>
    <n v="11398"/>
    <n v="5221"/>
    <n v="17215"/>
    <n v="13690"/>
    <n v="570.41666666666663"/>
    <n v="43531"/>
    <n v="1813.7916666666667"/>
    <n v="5474.8166666666666"/>
    <n v="6893.8916666666673"/>
  </r>
  <r>
    <x v="4"/>
    <s v="Kennesaw State University"/>
    <s v="Reclassified: met the criteria for Four-Year 3 in 2011-12, 2012-13, and 2013-14."/>
    <n v="140164"/>
    <x v="2"/>
    <s v="sem"/>
    <s v="sem"/>
    <m/>
    <m/>
    <n v="256602"/>
    <n v="253256"/>
    <n v="65036"/>
    <n v="62001"/>
    <n v="273537"/>
    <n v="272769"/>
    <n v="595175"/>
    <n v="19839.166666666668"/>
    <n v="588026"/>
    <n v="19600.866666666665"/>
    <n v="3923"/>
    <n v="4830"/>
    <n v="595175"/>
    <n v="588026"/>
    <m/>
    <m/>
    <m/>
    <m/>
    <m/>
    <m/>
    <m/>
    <m/>
    <n v="0"/>
    <n v="0"/>
    <n v="0"/>
    <n v="0"/>
    <m/>
    <m/>
    <n v="0"/>
    <n v="0"/>
    <m/>
    <m/>
    <n v="13000"/>
    <n v="13363"/>
    <n v="8065"/>
    <n v="8872"/>
    <n v="14268"/>
    <n v="14927"/>
    <n v="35333"/>
    <n v="1472.2083333333333"/>
    <n v="37162"/>
    <n v="1548.4166666666667"/>
    <n v="21311.375"/>
    <n v="21149.283333333333"/>
  </r>
  <r>
    <x v="4"/>
    <s v="University of North Georgia"/>
    <m/>
    <n v="482680"/>
    <x v="3"/>
    <s v="sem"/>
    <s v="sem"/>
    <m/>
    <m/>
    <n v="153861"/>
    <n v="156880"/>
    <n v="36677"/>
    <n v="31508"/>
    <n v="169905"/>
    <n v="173067"/>
    <n v="360443"/>
    <n v="12014.766666666666"/>
    <n v="361455"/>
    <n v="12048.5"/>
    <n v="2644"/>
    <n v="3818"/>
    <n v="360443"/>
    <n v="361455"/>
    <m/>
    <m/>
    <m/>
    <m/>
    <m/>
    <m/>
    <m/>
    <m/>
    <n v="0"/>
    <n v="0"/>
    <n v="0"/>
    <n v="0"/>
    <m/>
    <m/>
    <n v="0"/>
    <n v="0"/>
    <m/>
    <m/>
    <n v="3966"/>
    <n v="4186"/>
    <n v="3378"/>
    <n v="3503"/>
    <n v="4130"/>
    <n v="4224"/>
    <n v="11474"/>
    <n v="478.08333333333331"/>
    <n v="11913"/>
    <n v="496.375"/>
    <n v="12492.85"/>
    <n v="12544.875"/>
  </r>
  <r>
    <x v="4"/>
    <s v="Clayton State University"/>
    <s v="Met the criteria for Four-Year 4 in 2012-13 and 2013-14."/>
    <n v="139311"/>
    <x v="4"/>
    <s v="sem"/>
    <s v="sem"/>
    <m/>
    <m/>
    <n v="70640"/>
    <n v="71045"/>
    <n v="23185"/>
    <n v="21715"/>
    <n v="73336"/>
    <n v="74098"/>
    <n v="167161"/>
    <n v="5572.0333333333338"/>
    <n v="166858"/>
    <n v="5561.9333333333334"/>
    <n v="4352"/>
    <n v="5496"/>
    <n v="167161"/>
    <n v="166858"/>
    <m/>
    <m/>
    <m/>
    <m/>
    <m/>
    <m/>
    <m/>
    <m/>
    <n v="0"/>
    <n v="0"/>
    <n v="0"/>
    <n v="0"/>
    <m/>
    <m/>
    <n v="0"/>
    <n v="0"/>
    <m/>
    <m/>
    <n v="2096"/>
    <n v="2615"/>
    <n v="1316"/>
    <n v="1500"/>
    <n v="2294"/>
    <n v="2538"/>
    <n v="5706"/>
    <n v="237.75"/>
    <n v="6653"/>
    <n v="277.20833333333331"/>
    <n v="5809.7833333333338"/>
    <n v="5839.1416666666664"/>
  </r>
  <r>
    <x v="4"/>
    <s v="Fort Valley State University"/>
    <s v="Met the criteria for Four-Year 4 in 2013-14."/>
    <n v="139719"/>
    <x v="4"/>
    <s v="sem"/>
    <s v="sem"/>
    <m/>
    <m/>
    <n v="45657"/>
    <n v="38628"/>
    <n v="7184"/>
    <n v="5387"/>
    <n v="43648"/>
    <n v="38335"/>
    <n v="96489"/>
    <n v="3216.3"/>
    <n v="82350"/>
    <n v="2745"/>
    <n v="197"/>
    <n v="291"/>
    <n v="96489"/>
    <n v="82350"/>
    <m/>
    <m/>
    <m/>
    <m/>
    <m/>
    <m/>
    <m/>
    <m/>
    <n v="0"/>
    <n v="0"/>
    <n v="0"/>
    <n v="0"/>
    <m/>
    <m/>
    <n v="0"/>
    <n v="0"/>
    <m/>
    <m/>
    <n v="2037"/>
    <n v="2243"/>
    <n v="905"/>
    <n v="833"/>
    <n v="2100"/>
    <n v="2029"/>
    <n v="5042"/>
    <n v="210.08333333333334"/>
    <n v="5105"/>
    <n v="212.70833333333334"/>
    <n v="3426.3833333333337"/>
    <n v="2957.7083333333335"/>
  </r>
  <r>
    <x v="4"/>
    <s v="Georgia Southwestern State University"/>
    <m/>
    <n v="139764"/>
    <x v="4"/>
    <s v="sem"/>
    <s v="sem"/>
    <m/>
    <m/>
    <n v="31388"/>
    <n v="30543"/>
    <n v="10470"/>
    <n v="10462"/>
    <n v="32746"/>
    <n v="31331"/>
    <n v="74604"/>
    <n v="2486.8000000000002"/>
    <n v="72336"/>
    <n v="2411.1999999999998"/>
    <n v="399"/>
    <n v="365"/>
    <n v="74604"/>
    <n v="72336"/>
    <m/>
    <m/>
    <m/>
    <m/>
    <m/>
    <m/>
    <m/>
    <m/>
    <n v="0"/>
    <n v="0"/>
    <n v="0"/>
    <n v="0"/>
    <m/>
    <m/>
    <n v="0"/>
    <n v="0"/>
    <m/>
    <m/>
    <n v="1962"/>
    <n v="1755"/>
    <n v="1950"/>
    <n v="1956"/>
    <n v="1814"/>
    <n v="1043"/>
    <n v="5726"/>
    <n v="238.58333333333334"/>
    <n v="4754"/>
    <n v="198.08333333333334"/>
    <n v="2725.3833333333337"/>
    <n v="2609.2833333333333"/>
  </r>
  <r>
    <x v="4"/>
    <s v="Savannah State University"/>
    <m/>
    <n v="140960"/>
    <x v="4"/>
    <s v="sem"/>
    <s v="sem"/>
    <m/>
    <m/>
    <n v="52297"/>
    <n v="55334"/>
    <n v="7997"/>
    <n v="7480"/>
    <n v="57761"/>
    <n v="63526"/>
    <n v="118055"/>
    <n v="3935.1666666666665"/>
    <n v="126340"/>
    <n v="4211.333333333333"/>
    <n v="1392"/>
    <n v="1370"/>
    <n v="118055"/>
    <n v="126340"/>
    <m/>
    <m/>
    <m/>
    <m/>
    <m/>
    <m/>
    <m/>
    <m/>
    <n v="0"/>
    <n v="0"/>
    <n v="0"/>
    <n v="0"/>
    <m/>
    <m/>
    <n v="0"/>
    <n v="0"/>
    <m/>
    <m/>
    <n v="1294"/>
    <n v="1500"/>
    <n v="462"/>
    <n v="408"/>
    <n v="1582"/>
    <n v="1749"/>
    <n v="3338"/>
    <n v="139.08333333333334"/>
    <n v="3657"/>
    <n v="152.375"/>
    <n v="4074.25"/>
    <n v="4363.708333333333"/>
  </r>
  <r>
    <x v="4"/>
    <s v="Georgia Gwinnett College"/>
    <m/>
    <n v="447689"/>
    <x v="5"/>
    <s v="sem"/>
    <s v="sem"/>
    <m/>
    <m/>
    <n v="94939"/>
    <n v="108716"/>
    <n v="19884"/>
    <n v="19856"/>
    <n v="111197"/>
    <n v="115108"/>
    <n v="226020"/>
    <n v="7534"/>
    <n v="243680"/>
    <n v="8122.666666666667"/>
    <n v="3645"/>
    <n v="4836"/>
    <n v="226020"/>
    <n v="243680"/>
    <m/>
    <m/>
    <m/>
    <m/>
    <m/>
    <m/>
    <m/>
    <m/>
    <n v="0"/>
    <n v="0"/>
    <n v="0"/>
    <n v="0"/>
    <m/>
    <m/>
    <n v="0"/>
    <n v="0"/>
    <m/>
    <m/>
    <m/>
    <m/>
    <m/>
    <m/>
    <m/>
    <m/>
    <n v="0"/>
    <n v="0"/>
    <n v="0"/>
    <n v="0"/>
    <n v="7534"/>
    <n v="8122.666666666667"/>
  </r>
  <r>
    <x v="4"/>
    <s v="Middle Georgia State College"/>
    <m/>
    <n v="482158"/>
    <x v="5"/>
    <s v="sem"/>
    <s v="sem"/>
    <m/>
    <m/>
    <n v="93028"/>
    <n v="87789"/>
    <n v="28269"/>
    <n v="23944"/>
    <n v="96646"/>
    <n v="88396"/>
    <n v="217943"/>
    <n v="7264.7666666666664"/>
    <n v="200129"/>
    <n v="6670.9666666666662"/>
    <n v="5128"/>
    <n v="5944"/>
    <n v="217943"/>
    <n v="200129"/>
    <m/>
    <m/>
    <m/>
    <m/>
    <m/>
    <m/>
    <m/>
    <m/>
    <n v="0"/>
    <n v="0"/>
    <n v="0"/>
    <n v="0"/>
    <m/>
    <m/>
    <n v="0"/>
    <n v="0"/>
    <m/>
    <m/>
    <m/>
    <m/>
    <m/>
    <m/>
    <m/>
    <m/>
    <n v="0"/>
    <n v="0"/>
    <n v="0"/>
    <n v="0"/>
    <n v="7264.7666666666664"/>
    <n v="6670.9666666666662"/>
  </r>
  <r>
    <x v="4"/>
    <s v="Dalton State College "/>
    <s v="Reclassified: met the criteria for Four-Year 6 in 2011-12, 2012-13, and 2013-14."/>
    <n v="139463"/>
    <x v="5"/>
    <s v="sem"/>
    <s v="sem"/>
    <m/>
    <m/>
    <n v="52243"/>
    <n v="49096"/>
    <n v="11845"/>
    <n v="10470"/>
    <n v="54418"/>
    <n v="55228"/>
    <n v="118506"/>
    <n v="3950.2"/>
    <n v="114794"/>
    <n v="3826.4666666666667"/>
    <n v="1004"/>
    <n v="1133"/>
    <n v="118506"/>
    <n v="114794"/>
    <m/>
    <m/>
    <m/>
    <m/>
    <m/>
    <m/>
    <m/>
    <m/>
    <n v="0"/>
    <n v="0"/>
    <n v="0"/>
    <n v="0"/>
    <m/>
    <m/>
    <n v="0"/>
    <n v="0"/>
    <m/>
    <m/>
    <m/>
    <m/>
    <m/>
    <m/>
    <m/>
    <m/>
    <n v="0"/>
    <n v="0"/>
    <n v="0"/>
    <n v="0"/>
    <n v="3950.2"/>
    <n v="3826.4666666666667"/>
  </r>
  <r>
    <x v="4"/>
    <s v="Gordon State College "/>
    <m/>
    <n v="139968"/>
    <x v="11"/>
    <s v="sem"/>
    <s v="sem"/>
    <m/>
    <m/>
    <n v="48524"/>
    <n v="44192"/>
    <n v="6974"/>
    <n v="6067"/>
    <n v="48916"/>
    <n v="49389"/>
    <n v="104414"/>
    <n v="3480.4666666666667"/>
    <n v="99648"/>
    <n v="3321.6"/>
    <n v="991"/>
    <n v="1856"/>
    <n v="104414"/>
    <n v="99648"/>
    <m/>
    <m/>
    <m/>
    <m/>
    <m/>
    <m/>
    <m/>
    <m/>
    <n v="0"/>
    <n v="0"/>
    <n v="0"/>
    <n v="0"/>
    <m/>
    <m/>
    <n v="0"/>
    <n v="0"/>
    <m/>
    <m/>
    <m/>
    <m/>
    <m/>
    <m/>
    <m/>
    <m/>
    <n v="0"/>
    <n v="0"/>
    <n v="0"/>
    <n v="0"/>
    <n v="3480.4666666666667"/>
    <n v="3321.6"/>
  </r>
  <r>
    <x v="4"/>
    <s v="Georgia Perimeter College "/>
    <m/>
    <n v="244437"/>
    <x v="6"/>
    <s v="sem"/>
    <s v="sem"/>
    <m/>
    <m/>
    <n v="244704"/>
    <n v="206340"/>
    <n v="84352"/>
    <n v="71679"/>
    <n v="222399"/>
    <n v="193583"/>
    <n v="551455"/>
    <n v="18381.833333333332"/>
    <n v="471602"/>
    <n v="15720.066666666668"/>
    <n v="11740"/>
    <n v="12736"/>
    <n v="551455"/>
    <n v="471602"/>
    <m/>
    <m/>
    <m/>
    <m/>
    <m/>
    <m/>
    <m/>
    <m/>
    <n v="0"/>
    <n v="0"/>
    <n v="0"/>
    <n v="0"/>
    <m/>
    <m/>
    <n v="0"/>
    <n v="0"/>
    <m/>
    <m/>
    <m/>
    <m/>
    <m/>
    <m/>
    <m/>
    <m/>
    <n v="0"/>
    <n v="0"/>
    <n v="0"/>
    <n v="0"/>
    <n v="18381.833333333332"/>
    <n v="15720.066666666668"/>
  </r>
  <r>
    <x v="4"/>
    <s v="Abraham Baldwin Agricultural College "/>
    <s v="Reclassified: met the criteria for Two-Year with Bachelor's in 2011-12, 2012-13, and 2013-14. "/>
    <n v="138558"/>
    <x v="11"/>
    <s v="sem"/>
    <s v="sem"/>
    <m/>
    <m/>
    <n v="34153"/>
    <n v="33430"/>
    <n v="6358"/>
    <n v="5362"/>
    <n v="37304"/>
    <n v="39710"/>
    <n v="77815"/>
    <n v="2593.8333333333335"/>
    <n v="78502"/>
    <n v="2616.7333333333331"/>
    <n v="1661"/>
    <n v="1987"/>
    <n v="77815"/>
    <n v="78502"/>
    <m/>
    <m/>
    <m/>
    <m/>
    <m/>
    <m/>
    <m/>
    <m/>
    <n v="0"/>
    <n v="0"/>
    <n v="0"/>
    <n v="0"/>
    <m/>
    <m/>
    <n v="0"/>
    <n v="0"/>
    <m/>
    <m/>
    <m/>
    <m/>
    <m/>
    <m/>
    <m/>
    <m/>
    <n v="0"/>
    <n v="0"/>
    <n v="0"/>
    <n v="0"/>
    <n v="2593.8333333333335"/>
    <n v="2616.7333333333331"/>
  </r>
  <r>
    <x v="4"/>
    <s v="Atlanta Metropolitan State College"/>
    <m/>
    <n v="138901"/>
    <x v="7"/>
    <s v="sem"/>
    <s v="sem"/>
    <m/>
    <m/>
    <n v="29462"/>
    <n v="30539"/>
    <n v="11490"/>
    <n v="10715"/>
    <n v="30154"/>
    <n v="31917"/>
    <n v="71106"/>
    <n v="2370.1999999999998"/>
    <n v="73171"/>
    <n v="2439.0333333333333"/>
    <n v="449"/>
    <n v="591"/>
    <n v="71106"/>
    <n v="73171"/>
    <m/>
    <m/>
    <m/>
    <m/>
    <m/>
    <m/>
    <m/>
    <m/>
    <n v="0"/>
    <n v="0"/>
    <n v="0"/>
    <n v="0"/>
    <m/>
    <m/>
    <n v="0"/>
    <n v="0"/>
    <m/>
    <m/>
    <m/>
    <m/>
    <m/>
    <m/>
    <m/>
    <m/>
    <n v="0"/>
    <n v="0"/>
    <n v="0"/>
    <n v="0"/>
    <n v="2370.1999999999998"/>
    <n v="2439.0333333333333"/>
  </r>
  <r>
    <x v="4"/>
    <s v="Bainbridge State College "/>
    <m/>
    <n v="139010"/>
    <x v="7"/>
    <s v="sem"/>
    <s v="sem"/>
    <m/>
    <m/>
    <n v="38421"/>
    <n v="26413"/>
    <n v="17742"/>
    <n v="12800"/>
    <n v="30697"/>
    <n v="26788"/>
    <n v="86860"/>
    <n v="2895.3333333333335"/>
    <n v="66001"/>
    <n v="2200.0333333333333"/>
    <n v="1019"/>
    <n v="1327"/>
    <n v="86860"/>
    <n v="66001"/>
    <m/>
    <m/>
    <m/>
    <m/>
    <m/>
    <m/>
    <m/>
    <m/>
    <n v="0"/>
    <n v="0"/>
    <n v="0"/>
    <n v="0"/>
    <m/>
    <m/>
    <n v="0"/>
    <n v="0"/>
    <m/>
    <m/>
    <m/>
    <m/>
    <m/>
    <m/>
    <m/>
    <m/>
    <n v="0"/>
    <n v="0"/>
    <n v="0"/>
    <n v="0"/>
    <n v="2895.3333333333335"/>
    <n v="2200.0333333333333"/>
  </r>
  <r>
    <x v="4"/>
    <s v="College of Coastal Georgia "/>
    <s v="Reclassified: met the criteria for Two-Year with Bachelor's in 2011-12, 2012-13, and 2013-14. "/>
    <n v="139250"/>
    <x v="11"/>
    <s v="sem"/>
    <s v="sem"/>
    <m/>
    <m/>
    <n v="33273"/>
    <n v="32162"/>
    <n v="7116"/>
    <n v="6292"/>
    <n v="34158"/>
    <n v="33205"/>
    <n v="74547"/>
    <n v="2484.9"/>
    <n v="71659"/>
    <n v="2388.6333333333332"/>
    <n v="1449"/>
    <n v="1503"/>
    <n v="74547"/>
    <n v="71659"/>
    <m/>
    <m/>
    <m/>
    <m/>
    <m/>
    <m/>
    <m/>
    <m/>
    <n v="0"/>
    <n v="0"/>
    <n v="0"/>
    <n v="0"/>
    <m/>
    <m/>
    <n v="0"/>
    <n v="0"/>
    <m/>
    <m/>
    <m/>
    <m/>
    <m/>
    <m/>
    <m/>
    <m/>
    <n v="0"/>
    <n v="0"/>
    <n v="0"/>
    <n v="0"/>
    <n v="2484.9"/>
    <n v="2388.6333333333332"/>
  </r>
  <r>
    <x v="4"/>
    <s v="Darton State College "/>
    <m/>
    <n v="138691"/>
    <x v="7"/>
    <s v="sem"/>
    <s v="sem"/>
    <m/>
    <m/>
    <n v="58391.5"/>
    <n v="58671"/>
    <n v="27357"/>
    <n v="24951"/>
    <n v="63513"/>
    <n v="61941"/>
    <n v="149261.5"/>
    <n v="4975.3833333333332"/>
    <n v="145563"/>
    <n v="4852.1000000000004"/>
    <n v="992.5"/>
    <n v="1064"/>
    <n v="149261.5"/>
    <n v="145563"/>
    <m/>
    <m/>
    <m/>
    <m/>
    <m/>
    <m/>
    <m/>
    <m/>
    <n v="0"/>
    <n v="0"/>
    <n v="0"/>
    <n v="0"/>
    <m/>
    <m/>
    <n v="0"/>
    <n v="0"/>
    <m/>
    <m/>
    <m/>
    <m/>
    <m/>
    <m/>
    <m/>
    <m/>
    <n v="0"/>
    <n v="0"/>
    <n v="0"/>
    <n v="0"/>
    <n v="4975.3833333333332"/>
    <n v="4852.1000000000004"/>
  </r>
  <r>
    <x v="4"/>
    <s v="East Georgia State College"/>
    <m/>
    <n v="139621"/>
    <x v="7"/>
    <s v="sem"/>
    <s v="sem"/>
    <m/>
    <m/>
    <n v="35314"/>
    <n v="30504"/>
    <n v="6147"/>
    <n v="5889"/>
    <n v="33696"/>
    <n v="32862"/>
    <n v="75157"/>
    <n v="2505.2333333333331"/>
    <n v="69255"/>
    <n v="2308.5"/>
    <n v="323"/>
    <n v="407"/>
    <n v="75157"/>
    <n v="69255"/>
    <m/>
    <m/>
    <m/>
    <m/>
    <m/>
    <m/>
    <m/>
    <m/>
    <n v="0"/>
    <n v="0"/>
    <n v="0"/>
    <n v="0"/>
    <m/>
    <m/>
    <n v="0"/>
    <n v="0"/>
    <m/>
    <m/>
    <m/>
    <m/>
    <m/>
    <m/>
    <m/>
    <m/>
    <n v="0"/>
    <n v="0"/>
    <n v="0"/>
    <n v="0"/>
    <n v="2505.2333333333331"/>
    <n v="2308.5"/>
  </r>
  <r>
    <x v="4"/>
    <s v="Georgia Highlands College"/>
    <m/>
    <n v="139700"/>
    <x v="7"/>
    <s v="sem"/>
    <s v="sem"/>
    <m/>
    <m/>
    <n v="55157"/>
    <n v="52423"/>
    <n v="13296"/>
    <n v="12122"/>
    <n v="56389"/>
    <n v="56753"/>
    <n v="124842"/>
    <n v="4161.3999999999996"/>
    <n v="121298"/>
    <n v="4043.2666666666669"/>
    <n v="1585"/>
    <n v="1718"/>
    <n v="124842"/>
    <n v="121298"/>
    <m/>
    <m/>
    <m/>
    <m/>
    <m/>
    <m/>
    <m/>
    <m/>
    <n v="0"/>
    <n v="0"/>
    <n v="0"/>
    <n v="0"/>
    <m/>
    <m/>
    <n v="0"/>
    <n v="0"/>
    <m/>
    <m/>
    <m/>
    <m/>
    <m/>
    <m/>
    <m/>
    <m/>
    <n v="0"/>
    <n v="0"/>
    <n v="0"/>
    <n v="0"/>
    <n v="4161.3999999999996"/>
    <n v="4043.2666666666669"/>
  </r>
  <r>
    <x v="4"/>
    <s v="South Georgia State College"/>
    <m/>
    <n v="482699"/>
    <x v="7"/>
    <s v="sem"/>
    <s v="sem"/>
    <m/>
    <m/>
    <n v="34953"/>
    <n v="31315"/>
    <n v="8119"/>
    <n v="6793"/>
    <n v="35781"/>
    <n v="29953"/>
    <n v="78853"/>
    <n v="2628.4333333333334"/>
    <n v="68061"/>
    <n v="2268.6999999999998"/>
    <n v="2153"/>
    <n v="2107"/>
    <n v="78853"/>
    <n v="68061"/>
    <m/>
    <m/>
    <m/>
    <m/>
    <m/>
    <m/>
    <m/>
    <m/>
    <n v="0"/>
    <n v="0"/>
    <n v="0"/>
    <n v="0"/>
    <m/>
    <m/>
    <n v="0"/>
    <n v="0"/>
    <m/>
    <m/>
    <m/>
    <m/>
    <m/>
    <m/>
    <m/>
    <m/>
    <n v="0"/>
    <n v="0"/>
    <n v="0"/>
    <n v="0"/>
    <n v="2628.4333333333334"/>
    <n v="2268.6999999999998"/>
  </r>
  <r>
    <x v="4"/>
    <s v="Albany Technical College"/>
    <m/>
    <n v="138682"/>
    <x v="9"/>
    <s v="sem"/>
    <s v="sem"/>
    <m/>
    <m/>
    <n v="46658"/>
    <n v="37567"/>
    <n v="31614"/>
    <n v="33683"/>
    <n v="42038"/>
    <n v="40952"/>
    <n v="120310"/>
    <n v="4010.3333333333335"/>
    <n v="112202"/>
    <n v="3740.0666666666666"/>
    <n v="691"/>
    <n v="1373"/>
    <n v="120310"/>
    <n v="112202"/>
    <m/>
    <m/>
    <m/>
    <m/>
    <m/>
    <m/>
    <m/>
    <m/>
    <n v="0"/>
    <n v="0"/>
    <n v="0"/>
    <n v="0"/>
    <m/>
    <m/>
    <n v="0"/>
    <n v="0"/>
    <m/>
    <m/>
    <m/>
    <m/>
    <m/>
    <m/>
    <m/>
    <m/>
    <n v="0"/>
    <n v="0"/>
    <n v="0"/>
    <n v="0"/>
    <n v="4010.3333333333335"/>
    <n v="3740.0666666666666"/>
  </r>
  <r>
    <x v="4"/>
    <s v="Altamaha Technical College"/>
    <m/>
    <n v="366447"/>
    <x v="9"/>
    <s v="sem"/>
    <s v="sem"/>
    <m/>
    <m/>
    <n v="13256"/>
    <n v="12434"/>
    <n v="8121"/>
    <n v="7085"/>
    <n v="12799"/>
    <n v="11493"/>
    <n v="34176"/>
    <n v="1139.2"/>
    <n v="31012"/>
    <n v="1033.7333333333333"/>
    <n v="1618"/>
    <n v="2273"/>
    <n v="34176"/>
    <n v="31012"/>
    <m/>
    <m/>
    <m/>
    <m/>
    <m/>
    <m/>
    <m/>
    <m/>
    <n v="0"/>
    <n v="0"/>
    <n v="0"/>
    <n v="0"/>
    <m/>
    <m/>
    <n v="0"/>
    <n v="0"/>
    <m/>
    <m/>
    <m/>
    <m/>
    <m/>
    <m/>
    <m/>
    <m/>
    <n v="0"/>
    <n v="0"/>
    <n v="0"/>
    <n v="0"/>
    <n v="1139.2"/>
    <n v="1033.7333333333333"/>
  </r>
  <r>
    <x v="4"/>
    <s v="Athens Technical College"/>
    <m/>
    <n v="246813"/>
    <x v="9"/>
    <s v="sem"/>
    <s v="sem"/>
    <m/>
    <m/>
    <n v="39077"/>
    <n v="36826"/>
    <n v="19011"/>
    <n v="18302"/>
    <n v="40269"/>
    <n v="38659"/>
    <n v="98357"/>
    <n v="3278.5666666666666"/>
    <n v="93787"/>
    <n v="3126.2333333333331"/>
    <n v="1795"/>
    <n v="2225"/>
    <n v="98357"/>
    <n v="93787"/>
    <m/>
    <m/>
    <m/>
    <m/>
    <m/>
    <m/>
    <m/>
    <m/>
    <n v="0"/>
    <n v="0"/>
    <n v="0"/>
    <n v="0"/>
    <m/>
    <m/>
    <n v="0"/>
    <n v="0"/>
    <m/>
    <m/>
    <m/>
    <m/>
    <m/>
    <m/>
    <m/>
    <m/>
    <n v="0"/>
    <n v="0"/>
    <n v="0"/>
    <n v="0"/>
    <n v="3278.5666666666666"/>
    <n v="3126.2333333333331"/>
  </r>
  <r>
    <x v="4"/>
    <s v="Atlanta Technical College"/>
    <m/>
    <n v="138840"/>
    <x v="9"/>
    <s v="sem"/>
    <s v="sem"/>
    <m/>
    <m/>
    <n v="41643"/>
    <n v="49866"/>
    <n v="30304"/>
    <n v="34214"/>
    <n v="46356"/>
    <n v="46369"/>
    <n v="118303"/>
    <n v="3943.4333333333334"/>
    <n v="130449"/>
    <n v="4348.3"/>
    <n v="2772"/>
    <n v="2394"/>
    <n v="118303"/>
    <n v="130449"/>
    <m/>
    <m/>
    <m/>
    <m/>
    <m/>
    <m/>
    <m/>
    <m/>
    <n v="0"/>
    <n v="0"/>
    <n v="0"/>
    <n v="0"/>
    <m/>
    <m/>
    <n v="0"/>
    <n v="0"/>
    <m/>
    <m/>
    <m/>
    <m/>
    <m/>
    <m/>
    <m/>
    <m/>
    <n v="0"/>
    <n v="0"/>
    <n v="0"/>
    <n v="0"/>
    <n v="3943.4333333333334"/>
    <n v="4348.3"/>
  </r>
  <r>
    <x v="4"/>
    <s v="Augusta Technical College"/>
    <m/>
    <n v="138956"/>
    <x v="9"/>
    <s v="sem"/>
    <s v="sem"/>
    <m/>
    <m/>
    <n v="39919"/>
    <n v="41100"/>
    <n v="23353"/>
    <n v="23439"/>
    <n v="40395"/>
    <n v="42510"/>
    <n v="103667"/>
    <n v="3455.5666666666666"/>
    <n v="107049"/>
    <n v="3568.3"/>
    <n v="717"/>
    <n v="864"/>
    <n v="103667"/>
    <n v="107049"/>
    <m/>
    <m/>
    <m/>
    <m/>
    <m/>
    <m/>
    <m/>
    <m/>
    <n v="0"/>
    <n v="0"/>
    <n v="0"/>
    <n v="0"/>
    <m/>
    <m/>
    <n v="0"/>
    <n v="0"/>
    <m/>
    <m/>
    <m/>
    <m/>
    <m/>
    <m/>
    <m/>
    <m/>
    <n v="0"/>
    <n v="0"/>
    <n v="0"/>
    <n v="0"/>
    <n v="3455.5666666666666"/>
    <n v="3568.3"/>
  </r>
  <r>
    <x v="4"/>
    <s v="Central Georgia Technical College"/>
    <m/>
    <n v="483045"/>
    <x v="9"/>
    <s v="sem"/>
    <s v="sem"/>
    <m/>
    <m/>
    <n v="84037"/>
    <n v="75278"/>
    <n v="47484"/>
    <n v="48295"/>
    <n v="82560"/>
    <n v="76462"/>
    <n v="214081"/>
    <n v="7136.0333333333338"/>
    <n v="200035"/>
    <n v="6667.833333333333"/>
    <n v="6311"/>
    <n v="3743"/>
    <n v="214081"/>
    <n v="200035"/>
    <m/>
    <m/>
    <m/>
    <m/>
    <m/>
    <m/>
    <m/>
    <m/>
    <n v="0"/>
    <n v="0"/>
    <n v="0"/>
    <n v="0"/>
    <m/>
    <m/>
    <n v="0"/>
    <n v="0"/>
    <m/>
    <m/>
    <m/>
    <m/>
    <m/>
    <m/>
    <m/>
    <m/>
    <n v="0"/>
    <n v="0"/>
    <n v="0"/>
    <n v="0"/>
    <n v="7136.0333333333338"/>
    <n v="6667.833333333333"/>
  </r>
  <r>
    <x v="4"/>
    <s v="Chattahoochee Technical College"/>
    <m/>
    <n v="140331"/>
    <x v="9"/>
    <s v="sem"/>
    <s v="sem"/>
    <m/>
    <m/>
    <n v="96352"/>
    <n v="94219"/>
    <n v="51143"/>
    <n v="43548"/>
    <n v="99832"/>
    <n v="91267"/>
    <n v="247327"/>
    <n v="8244.2333333333336"/>
    <n v="229034"/>
    <n v="7634.4666666666662"/>
    <n v="2537"/>
    <n v="4068"/>
    <n v="247327"/>
    <n v="229034"/>
    <m/>
    <m/>
    <m/>
    <m/>
    <m/>
    <m/>
    <m/>
    <m/>
    <n v="0"/>
    <n v="0"/>
    <n v="0"/>
    <n v="0"/>
    <m/>
    <m/>
    <n v="0"/>
    <n v="0"/>
    <m/>
    <m/>
    <m/>
    <m/>
    <m/>
    <m/>
    <m/>
    <m/>
    <n v="0"/>
    <n v="0"/>
    <n v="0"/>
    <n v="0"/>
    <n v="8244.2333333333336"/>
    <n v="7634.4666666666662"/>
  </r>
  <r>
    <x v="4"/>
    <s v="Columbus Technical College"/>
    <m/>
    <n v="139357"/>
    <x v="9"/>
    <s v="sem"/>
    <s v="sem"/>
    <m/>
    <m/>
    <n v="33136"/>
    <n v="36498"/>
    <n v="22208"/>
    <n v="23841"/>
    <n v="38583"/>
    <n v="34980"/>
    <n v="93927"/>
    <n v="3130.9"/>
    <n v="95319"/>
    <n v="3177.3"/>
    <n v="1283"/>
    <n v="2968"/>
    <n v="93927"/>
    <n v="95319"/>
    <m/>
    <m/>
    <m/>
    <m/>
    <m/>
    <m/>
    <m/>
    <m/>
    <n v="0"/>
    <n v="0"/>
    <n v="0"/>
    <n v="0"/>
    <m/>
    <m/>
    <n v="0"/>
    <n v="0"/>
    <m/>
    <m/>
    <m/>
    <m/>
    <m/>
    <m/>
    <m/>
    <m/>
    <n v="0"/>
    <n v="0"/>
    <n v="0"/>
    <n v="0"/>
    <n v="3130.9"/>
    <n v="3177.3"/>
  </r>
  <r>
    <x v="4"/>
    <s v="Georgia Northwestern Technical College"/>
    <m/>
    <n v="139384"/>
    <x v="9"/>
    <s v="sem"/>
    <s v="sem"/>
    <m/>
    <m/>
    <n v="55703"/>
    <n v="53628"/>
    <n v="28077"/>
    <n v="27588"/>
    <n v="57185"/>
    <n v="56004"/>
    <n v="140965"/>
    <n v="4698.833333333333"/>
    <n v="137220"/>
    <n v="4574"/>
    <n v="5457"/>
    <n v="8133"/>
    <n v="140965"/>
    <n v="137220"/>
    <m/>
    <m/>
    <m/>
    <m/>
    <m/>
    <m/>
    <m/>
    <m/>
    <n v="0"/>
    <n v="0"/>
    <n v="0"/>
    <n v="0"/>
    <m/>
    <m/>
    <n v="0"/>
    <n v="0"/>
    <m/>
    <m/>
    <m/>
    <m/>
    <m/>
    <m/>
    <m/>
    <m/>
    <n v="0"/>
    <n v="0"/>
    <n v="0"/>
    <n v="0"/>
    <n v="4698.833333333333"/>
    <n v="4574"/>
  </r>
  <r>
    <x v="4"/>
    <s v="Georgia Piedmont Technical College"/>
    <m/>
    <n v="244446"/>
    <x v="9"/>
    <s v="sem"/>
    <s v="sem"/>
    <m/>
    <m/>
    <n v="32747"/>
    <n v="39943"/>
    <n v="21520"/>
    <n v="27608"/>
    <n v="37317"/>
    <n v="39540"/>
    <n v="91584"/>
    <n v="3052.8"/>
    <n v="107091"/>
    <n v="3569.7"/>
    <n v="2980"/>
    <n v="4057"/>
    <n v="91584"/>
    <n v="107091"/>
    <m/>
    <m/>
    <m/>
    <m/>
    <m/>
    <m/>
    <m/>
    <m/>
    <n v="0"/>
    <n v="0"/>
    <n v="0"/>
    <n v="0"/>
    <m/>
    <m/>
    <n v="0"/>
    <n v="0"/>
    <m/>
    <m/>
    <m/>
    <m/>
    <m/>
    <m/>
    <m/>
    <m/>
    <n v="0"/>
    <n v="0"/>
    <n v="0"/>
    <n v="0"/>
    <n v="3052.8"/>
    <n v="3569.7"/>
  </r>
  <r>
    <x v="4"/>
    <s v="Gwinnett Technical College"/>
    <m/>
    <n v="140012"/>
    <x v="9"/>
    <s v="sem"/>
    <s v="sem"/>
    <m/>
    <m/>
    <n v="63543"/>
    <n v="64176"/>
    <n v="30033"/>
    <n v="27610"/>
    <n v="59948"/>
    <n v="63356"/>
    <n v="153524"/>
    <n v="5117.4666666666662"/>
    <n v="155142"/>
    <n v="5171.3999999999996"/>
    <n v="1489"/>
    <n v="3442"/>
    <n v="153524"/>
    <n v="155142"/>
    <m/>
    <m/>
    <m/>
    <m/>
    <m/>
    <m/>
    <m/>
    <m/>
    <n v="0"/>
    <n v="0"/>
    <n v="0"/>
    <n v="0"/>
    <m/>
    <m/>
    <n v="0"/>
    <n v="0"/>
    <m/>
    <m/>
    <m/>
    <m/>
    <m/>
    <m/>
    <m/>
    <m/>
    <n v="0"/>
    <n v="0"/>
    <n v="0"/>
    <n v="0"/>
    <n v="5117.4666666666662"/>
    <n v="5171.3999999999996"/>
  </r>
  <r>
    <x v="4"/>
    <s v="Lanier Technical College"/>
    <m/>
    <n v="140243"/>
    <x v="9"/>
    <s v="sem"/>
    <s v="sem"/>
    <m/>
    <m/>
    <n v="31058"/>
    <n v="27625"/>
    <n v="16364"/>
    <n v="15194"/>
    <n v="29072"/>
    <n v="31237"/>
    <n v="76494"/>
    <n v="2549.8000000000002"/>
    <n v="74056"/>
    <n v="2468.5333333333333"/>
    <n v="1988"/>
    <n v="2985"/>
    <n v="76494"/>
    <n v="74056"/>
    <m/>
    <m/>
    <m/>
    <m/>
    <m/>
    <m/>
    <m/>
    <m/>
    <n v="0"/>
    <n v="0"/>
    <n v="0"/>
    <n v="0"/>
    <m/>
    <m/>
    <n v="0"/>
    <n v="0"/>
    <m/>
    <m/>
    <m/>
    <m/>
    <m/>
    <m/>
    <m/>
    <m/>
    <n v="0"/>
    <n v="0"/>
    <n v="0"/>
    <n v="0"/>
    <n v="2549.8000000000002"/>
    <n v="2468.5333333333333"/>
  </r>
  <r>
    <x v="4"/>
    <s v="Moultrie Technical College"/>
    <m/>
    <n v="140599"/>
    <x v="9"/>
    <s v="sem"/>
    <s v="sem"/>
    <m/>
    <m/>
    <n v="18687"/>
    <n v="16067"/>
    <n v="10288"/>
    <n v="9717"/>
    <n v="18459"/>
    <n v="18730"/>
    <n v="47434"/>
    <n v="1581.1333333333334"/>
    <n v="44514"/>
    <n v="1483.8"/>
    <n v="3695"/>
    <n v="4808"/>
    <n v="47434"/>
    <n v="44514"/>
    <m/>
    <m/>
    <m/>
    <m/>
    <m/>
    <m/>
    <m/>
    <m/>
    <n v="0"/>
    <n v="0"/>
    <n v="0"/>
    <n v="0"/>
    <m/>
    <m/>
    <n v="0"/>
    <n v="0"/>
    <m/>
    <m/>
    <m/>
    <m/>
    <m/>
    <m/>
    <m/>
    <m/>
    <n v="0"/>
    <n v="0"/>
    <n v="0"/>
    <n v="0"/>
    <n v="1581.1333333333334"/>
    <n v="1483.8"/>
  </r>
  <r>
    <x v="4"/>
    <s v="North Georgia Technical College"/>
    <m/>
    <n v="140678"/>
    <x v="9"/>
    <s v="sem"/>
    <s v="sem"/>
    <m/>
    <m/>
    <n v="23490"/>
    <n v="22101"/>
    <n v="13314"/>
    <n v="13541"/>
    <n v="23899"/>
    <n v="24061"/>
    <n v="60703"/>
    <n v="2023.4333333333334"/>
    <n v="59703"/>
    <n v="1990.1"/>
    <n v="603.5"/>
    <n v="1424"/>
    <n v="60703"/>
    <n v="59703"/>
    <m/>
    <m/>
    <m/>
    <m/>
    <m/>
    <m/>
    <m/>
    <m/>
    <n v="0"/>
    <n v="0"/>
    <n v="0"/>
    <n v="0"/>
    <m/>
    <m/>
    <n v="0"/>
    <n v="0"/>
    <m/>
    <m/>
    <m/>
    <m/>
    <m/>
    <m/>
    <m/>
    <m/>
    <n v="0"/>
    <n v="0"/>
    <n v="0"/>
    <n v="0"/>
    <n v="2023.4333333333334"/>
    <n v="1990.1"/>
  </r>
  <r>
    <x v="4"/>
    <s v="Oconee Fall Line Technical College"/>
    <m/>
    <n v="420431"/>
    <x v="9"/>
    <s v="sem"/>
    <s v="sem"/>
    <m/>
    <m/>
    <n v="16603"/>
    <n v="16015"/>
    <n v="10310"/>
    <n v="11327"/>
    <n v="15920"/>
    <n v="15934"/>
    <n v="42833"/>
    <n v="1427.7666666666667"/>
    <n v="43276"/>
    <n v="1442.5333333333333"/>
    <n v="4036"/>
    <n v="4749"/>
    <n v="42833"/>
    <n v="43276"/>
    <m/>
    <m/>
    <m/>
    <m/>
    <m/>
    <m/>
    <m/>
    <m/>
    <n v="0"/>
    <n v="0"/>
    <n v="0"/>
    <n v="0"/>
    <m/>
    <m/>
    <n v="0"/>
    <n v="0"/>
    <m/>
    <m/>
    <m/>
    <m/>
    <m/>
    <m/>
    <m/>
    <m/>
    <n v="0"/>
    <n v="0"/>
    <n v="0"/>
    <n v="0"/>
    <n v="1427.7666666666667"/>
    <n v="1442.5333333333333"/>
  </r>
  <r>
    <x v="4"/>
    <s v="Ogeechee Technical College"/>
    <m/>
    <n v="366465"/>
    <x v="9"/>
    <s v="sem"/>
    <s v="sem"/>
    <m/>
    <m/>
    <n v="21910"/>
    <n v="22354"/>
    <n v="14115"/>
    <n v="14732"/>
    <n v="22469"/>
    <n v="22323"/>
    <n v="58494"/>
    <n v="1949.8"/>
    <n v="59409"/>
    <n v="1980.3"/>
    <n v="1241"/>
    <n v="814"/>
    <n v="58494"/>
    <n v="59409"/>
    <m/>
    <m/>
    <m/>
    <m/>
    <m/>
    <m/>
    <m/>
    <m/>
    <n v="0"/>
    <n v="0"/>
    <n v="0"/>
    <n v="0"/>
    <m/>
    <m/>
    <n v="0"/>
    <n v="0"/>
    <m/>
    <m/>
    <m/>
    <m/>
    <m/>
    <m/>
    <m/>
    <m/>
    <n v="0"/>
    <n v="0"/>
    <n v="0"/>
    <n v="0"/>
    <n v="1949.8"/>
    <n v="1980.3"/>
  </r>
  <r>
    <x v="4"/>
    <s v="Okefenokee Technical College"/>
    <s v="Met the criteria for Technical College or Institute 2 in 2013-14."/>
    <n v="248776"/>
    <x v="9"/>
    <s v="sem"/>
    <s v="sem"/>
    <m/>
    <m/>
    <n v="11217"/>
    <n v="10527"/>
    <n v="7073"/>
    <n v="6182"/>
    <n v="12148"/>
    <n v="10697"/>
    <n v="30438"/>
    <n v="1014.6"/>
    <n v="27406"/>
    <n v="913.5333333333333"/>
    <n v="1218"/>
    <n v="1927"/>
    <n v="30438"/>
    <n v="27406"/>
    <m/>
    <m/>
    <m/>
    <m/>
    <m/>
    <m/>
    <m/>
    <m/>
    <n v="0"/>
    <n v="0"/>
    <n v="0"/>
    <n v="0"/>
    <m/>
    <m/>
    <n v="0"/>
    <n v="0"/>
    <m/>
    <m/>
    <m/>
    <m/>
    <m/>
    <m/>
    <m/>
    <m/>
    <n v="0"/>
    <n v="0"/>
    <n v="0"/>
    <n v="0"/>
    <n v="1014.6"/>
    <n v="913.5333333333333"/>
  </r>
  <r>
    <x v="4"/>
    <s v="Savannah Technical College"/>
    <m/>
    <n v="140942"/>
    <x v="9"/>
    <s v="sem"/>
    <s v="sem"/>
    <m/>
    <m/>
    <n v="40843"/>
    <n v="43013"/>
    <n v="25235"/>
    <n v="23174"/>
    <n v="44130"/>
    <n v="44428"/>
    <n v="110208"/>
    <n v="3673.6"/>
    <n v="110615"/>
    <n v="3687.1666666666665"/>
    <n v="1356"/>
    <n v="1903"/>
    <n v="110208"/>
    <n v="110615"/>
    <m/>
    <m/>
    <m/>
    <m/>
    <m/>
    <m/>
    <m/>
    <m/>
    <n v="0"/>
    <n v="0"/>
    <n v="0"/>
    <n v="0"/>
    <m/>
    <m/>
    <n v="0"/>
    <n v="0"/>
    <m/>
    <m/>
    <m/>
    <m/>
    <m/>
    <m/>
    <m/>
    <m/>
    <n v="0"/>
    <n v="0"/>
    <n v="0"/>
    <n v="0"/>
    <n v="3673.6"/>
    <n v="3687.1666666666665"/>
  </r>
  <r>
    <x v="4"/>
    <s v="South Georgia Technical College"/>
    <m/>
    <n v="141006"/>
    <x v="9"/>
    <s v="sem"/>
    <s v="sem"/>
    <m/>
    <m/>
    <n v="20930"/>
    <n v="18395"/>
    <n v="9300"/>
    <n v="10404"/>
    <n v="19249.7"/>
    <n v="19401"/>
    <n v="49479.7"/>
    <n v="1649.3233333333333"/>
    <n v="48200"/>
    <n v="1606.6666666666667"/>
    <n v="1573.3"/>
    <n v="2103"/>
    <n v="49479.7"/>
    <n v="48200"/>
    <m/>
    <m/>
    <m/>
    <m/>
    <m/>
    <m/>
    <m/>
    <m/>
    <n v="0"/>
    <n v="0"/>
    <n v="0"/>
    <n v="0"/>
    <m/>
    <m/>
    <n v="0"/>
    <n v="0"/>
    <m/>
    <m/>
    <m/>
    <m/>
    <m/>
    <m/>
    <m/>
    <m/>
    <n v="0"/>
    <n v="0"/>
    <n v="0"/>
    <n v="0"/>
    <n v="1649.3233333333333"/>
    <n v="1606.6666666666667"/>
  </r>
  <r>
    <x v="4"/>
    <s v="Southeastern Technical College"/>
    <m/>
    <n v="368911"/>
    <x v="9"/>
    <s v="sem"/>
    <s v="sem"/>
    <m/>
    <m/>
    <n v="16006"/>
    <n v="14910"/>
    <n v="9030"/>
    <n v="8497"/>
    <n v="15706"/>
    <n v="13976"/>
    <n v="40742"/>
    <n v="1358.0666666666666"/>
    <n v="37383"/>
    <n v="1246.0999999999999"/>
    <n v="2270"/>
    <n v="2228"/>
    <n v="40742"/>
    <n v="37383"/>
    <m/>
    <m/>
    <m/>
    <m/>
    <m/>
    <m/>
    <m/>
    <m/>
    <n v="0"/>
    <n v="0"/>
    <n v="0"/>
    <n v="0"/>
    <m/>
    <m/>
    <n v="0"/>
    <n v="0"/>
    <m/>
    <m/>
    <m/>
    <m/>
    <m/>
    <m/>
    <m/>
    <m/>
    <n v="0"/>
    <n v="0"/>
    <n v="0"/>
    <n v="0"/>
    <n v="1358.0666666666666"/>
    <n v="1246.0999999999999"/>
  </r>
  <r>
    <x v="4"/>
    <s v="Southern Crescent Technical College"/>
    <m/>
    <n v="139986"/>
    <x v="9"/>
    <s v="sem"/>
    <s v="sem"/>
    <m/>
    <m/>
    <n v="50196"/>
    <n v="50053"/>
    <n v="22700"/>
    <n v="23295"/>
    <n v="52330"/>
    <n v="49685"/>
    <n v="125226"/>
    <n v="4174.2"/>
    <n v="123033"/>
    <n v="4101.1000000000004"/>
    <n v="1938"/>
    <n v="2503"/>
    <n v="125226"/>
    <n v="123033"/>
    <m/>
    <m/>
    <m/>
    <m/>
    <m/>
    <m/>
    <m/>
    <m/>
    <n v="0"/>
    <n v="0"/>
    <n v="0"/>
    <n v="0"/>
    <m/>
    <m/>
    <n v="0"/>
    <n v="0"/>
    <m/>
    <m/>
    <m/>
    <m/>
    <m/>
    <m/>
    <m/>
    <m/>
    <n v="0"/>
    <n v="0"/>
    <n v="0"/>
    <n v="0"/>
    <n v="4174.2"/>
    <n v="4101.1000000000004"/>
  </r>
  <r>
    <x v="4"/>
    <s v="Southwest Georgia Technical College"/>
    <m/>
    <n v="141158"/>
    <x v="9"/>
    <s v="sem"/>
    <s v="sem"/>
    <m/>
    <m/>
    <n v="14546"/>
    <n v="13723"/>
    <n v="8470"/>
    <n v="8231"/>
    <n v="13749"/>
    <n v="13117"/>
    <n v="36765"/>
    <n v="1225.5"/>
    <n v="35071"/>
    <n v="1169.0333333333333"/>
    <n v="2339.3000000000002"/>
    <n v="2967.4"/>
    <n v="36765"/>
    <n v="35071"/>
    <m/>
    <m/>
    <m/>
    <m/>
    <m/>
    <m/>
    <m/>
    <m/>
    <n v="0"/>
    <n v="0"/>
    <n v="0"/>
    <n v="0"/>
    <m/>
    <m/>
    <n v="0"/>
    <n v="0"/>
    <m/>
    <m/>
    <m/>
    <m/>
    <m/>
    <m/>
    <m/>
    <m/>
    <n v="0"/>
    <n v="0"/>
    <n v="0"/>
    <n v="0"/>
    <n v="1225.5"/>
    <n v="1169.0333333333333"/>
  </r>
  <r>
    <x v="4"/>
    <s v="West Georgia Technical College"/>
    <m/>
    <n v="139278"/>
    <x v="9"/>
    <s v="sem"/>
    <s v="sem"/>
    <m/>
    <m/>
    <n v="59203"/>
    <n v="57449"/>
    <n v="27351"/>
    <n v="27544"/>
    <n v="58238"/>
    <n v="62029"/>
    <n v="144792"/>
    <n v="4826.3999999999996"/>
    <n v="147022"/>
    <n v="4900.7333333333336"/>
    <n v="6971"/>
    <n v="9058"/>
    <n v="144792"/>
    <n v="147022"/>
    <m/>
    <m/>
    <m/>
    <m/>
    <m/>
    <m/>
    <m/>
    <m/>
    <n v="0"/>
    <n v="0"/>
    <n v="0"/>
    <n v="0"/>
    <m/>
    <m/>
    <n v="0"/>
    <n v="0"/>
    <m/>
    <m/>
    <m/>
    <m/>
    <m/>
    <m/>
    <m/>
    <m/>
    <n v="0"/>
    <n v="0"/>
    <n v="0"/>
    <n v="0"/>
    <n v="4826.3999999999996"/>
    <n v="4900.7333333333336"/>
  </r>
  <r>
    <x v="4"/>
    <s v="Wiregrass Georgia Technical College"/>
    <m/>
    <n v="141255"/>
    <x v="9"/>
    <s v="sem"/>
    <s v="sem"/>
    <m/>
    <m/>
    <n v="39061"/>
    <n v="37016"/>
    <n v="21641"/>
    <n v="19779"/>
    <n v="38740"/>
    <n v="36797"/>
    <n v="99442"/>
    <n v="3314.7333333333331"/>
    <n v="93592"/>
    <n v="3119.7333333333331"/>
    <n v="3295"/>
    <n v="5063"/>
    <n v="99442"/>
    <n v="93592"/>
    <m/>
    <m/>
    <m/>
    <m/>
    <m/>
    <m/>
    <m/>
    <m/>
    <n v="0"/>
    <n v="0"/>
    <n v="0"/>
    <n v="0"/>
    <m/>
    <m/>
    <n v="0"/>
    <n v="0"/>
    <m/>
    <m/>
    <m/>
    <m/>
    <m/>
    <m/>
    <m/>
    <m/>
    <n v="0"/>
    <n v="0"/>
    <n v="0"/>
    <n v="0"/>
    <n v="3314.7333333333331"/>
    <n v="3119.7333333333331"/>
  </r>
  <r>
    <x v="5"/>
    <s v="University of Kentucky"/>
    <m/>
    <n v="157085"/>
    <x v="0"/>
    <s v="sem"/>
    <m/>
    <m/>
    <m/>
    <n v="254226"/>
    <n v="265699"/>
    <n v="26786"/>
    <n v="25543"/>
    <n v="287886"/>
    <n v="297245"/>
    <n v="568898"/>
    <n v="18963.266666666666"/>
    <n v="588487"/>
    <n v="19616.233333333334"/>
    <n v="67"/>
    <n v="59"/>
    <n v="568898"/>
    <n v="588487"/>
    <m/>
    <m/>
    <m/>
    <m/>
    <m/>
    <m/>
    <m/>
    <m/>
    <n v="0"/>
    <n v="0"/>
    <n v="0"/>
    <n v="0"/>
    <m/>
    <m/>
    <n v="0"/>
    <n v="0"/>
    <m/>
    <m/>
    <n v="38218"/>
    <n v="38968"/>
    <n v="6445"/>
    <n v="5558"/>
    <n v="41006"/>
    <n v="39409"/>
    <n v="85669"/>
    <n v="3569.5416666666665"/>
    <n v="83935"/>
    <n v="3497.2916666666665"/>
    <n v="22532.808333333334"/>
    <n v="23113.525000000001"/>
  </r>
  <r>
    <x v="5"/>
    <s v="University of Louisville"/>
    <m/>
    <n v="157289"/>
    <x v="0"/>
    <s v="sem"/>
    <m/>
    <m/>
    <m/>
    <n v="172938"/>
    <n v="174943"/>
    <n v="33151"/>
    <n v="34804"/>
    <n v="192741"/>
    <n v="195044"/>
    <n v="398830"/>
    <n v="13294.333333333334"/>
    <n v="404791"/>
    <n v="13493.033333333333"/>
    <n v="1485"/>
    <n v="1701"/>
    <n v="398830"/>
    <n v="404791"/>
    <m/>
    <m/>
    <m/>
    <m/>
    <m/>
    <m/>
    <m/>
    <m/>
    <n v="0"/>
    <n v="0"/>
    <n v="0"/>
    <n v="0"/>
    <m/>
    <m/>
    <n v="0"/>
    <n v="0"/>
    <m/>
    <m/>
    <n v="32598"/>
    <n v="32120"/>
    <n v="10649"/>
    <n v="10485"/>
    <n v="32939"/>
    <n v="33089"/>
    <n v="76186"/>
    <n v="3174.4166666666665"/>
    <n v="75694"/>
    <n v="3153.9166666666665"/>
    <n v="16468.75"/>
    <n v="16646.95"/>
  </r>
  <r>
    <x v="5"/>
    <s v="Eastern Kentucky University "/>
    <m/>
    <n v="156620"/>
    <x v="2"/>
    <s v="sem"/>
    <m/>
    <m/>
    <m/>
    <n v="161687"/>
    <n v="162793"/>
    <n v="21855"/>
    <n v="20177"/>
    <n v="177480"/>
    <n v="174732"/>
    <n v="361022"/>
    <n v="12034.066666666668"/>
    <n v="357702"/>
    <n v="11923.4"/>
    <n v="3279"/>
    <n v="3872"/>
    <n v="361022"/>
    <n v="357702"/>
    <m/>
    <m/>
    <m/>
    <m/>
    <m/>
    <m/>
    <m/>
    <m/>
    <n v="0"/>
    <n v="0"/>
    <n v="0"/>
    <n v="0"/>
    <m/>
    <m/>
    <n v="0"/>
    <n v="0"/>
    <m/>
    <m/>
    <n v="13582"/>
    <n v="14248"/>
    <n v="8883"/>
    <n v="8272"/>
    <n v="13409"/>
    <n v="14998"/>
    <n v="35874"/>
    <n v="1494.75"/>
    <n v="37518"/>
    <n v="1563.25"/>
    <n v="13528.816666666668"/>
    <n v="13486.65"/>
  </r>
  <r>
    <x v="5"/>
    <s v="Morehead State University "/>
    <m/>
    <n v="157386"/>
    <x v="2"/>
    <s v="sem"/>
    <m/>
    <m/>
    <m/>
    <n v="86320"/>
    <n v="88754"/>
    <n v="8272"/>
    <n v="7532"/>
    <n v="102105"/>
    <n v="106682"/>
    <n v="196697"/>
    <n v="6556.5666666666666"/>
    <n v="202968"/>
    <n v="6765.6"/>
    <n v="14347"/>
    <n v="14763"/>
    <n v="196697"/>
    <n v="202968"/>
    <m/>
    <m/>
    <m/>
    <m/>
    <m/>
    <m/>
    <m/>
    <m/>
    <n v="0"/>
    <n v="0"/>
    <n v="0"/>
    <n v="0"/>
    <m/>
    <m/>
    <n v="0"/>
    <n v="0"/>
    <m/>
    <m/>
    <n v="8898"/>
    <n v="8231"/>
    <n v="5108"/>
    <n v="3913"/>
    <n v="8740"/>
    <n v="7537"/>
    <n v="22746"/>
    <n v="947.75"/>
    <n v="19681"/>
    <n v="820.04166666666663"/>
    <n v="7504.3166666666666"/>
    <n v="7585.6416666666673"/>
  </r>
  <r>
    <x v="5"/>
    <s v="Murray State University "/>
    <m/>
    <n v="157401"/>
    <x v="2"/>
    <s v="sem"/>
    <m/>
    <m/>
    <m/>
    <n v="104296"/>
    <n v="106205"/>
    <n v="8560"/>
    <n v="8915"/>
    <n v="114877"/>
    <n v="116521"/>
    <n v="227733"/>
    <n v="7591.1"/>
    <n v="231641"/>
    <n v="7721.3666666666668"/>
    <n v="3537"/>
    <n v="4432"/>
    <n v="227733"/>
    <n v="231641"/>
    <m/>
    <m/>
    <m/>
    <m/>
    <m/>
    <m/>
    <m/>
    <m/>
    <n v="0"/>
    <n v="0"/>
    <n v="0"/>
    <n v="0"/>
    <m/>
    <m/>
    <n v="0"/>
    <n v="0"/>
    <m/>
    <m/>
    <n v="12678"/>
    <n v="12234"/>
    <n v="5524"/>
    <n v="5266"/>
    <n v="12623"/>
    <n v="11820"/>
    <n v="30825"/>
    <n v="1284.375"/>
    <n v="29320"/>
    <n v="1221.6666666666667"/>
    <n v="8875.4750000000004"/>
    <n v="8943.0333333333328"/>
  </r>
  <r>
    <x v="5"/>
    <s v="Western Kentucky University "/>
    <m/>
    <n v="157951"/>
    <x v="2"/>
    <s v="sem"/>
    <m/>
    <m/>
    <m/>
    <n v="209719"/>
    <n v="205547"/>
    <n v="24669"/>
    <n v="23331"/>
    <n v="222559"/>
    <n v="215275"/>
    <n v="456947"/>
    <n v="15231.566666666668"/>
    <n v="444153"/>
    <n v="14805.1"/>
    <n v="13475"/>
    <n v="13779"/>
    <n v="456947"/>
    <n v="444153"/>
    <m/>
    <m/>
    <m/>
    <m/>
    <m/>
    <m/>
    <m/>
    <m/>
    <n v="0"/>
    <n v="0"/>
    <n v="0"/>
    <n v="0"/>
    <m/>
    <m/>
    <n v="0"/>
    <n v="0"/>
    <m/>
    <m/>
    <n v="19888"/>
    <n v="18706"/>
    <n v="8973"/>
    <n v="8571"/>
    <n v="18908"/>
    <n v="18747"/>
    <n v="47769"/>
    <n v="1990.375"/>
    <n v="46024"/>
    <n v="1917.6666666666667"/>
    <n v="17221.941666666666"/>
    <n v="16722.766666666666"/>
  </r>
  <r>
    <x v="5"/>
    <s v="Kentucky State University "/>
    <m/>
    <n v="157058"/>
    <x v="3"/>
    <s v="sem"/>
    <m/>
    <m/>
    <m/>
    <n v="28955"/>
    <n v="27319"/>
    <n v="3801"/>
    <n v="3490"/>
    <n v="27941"/>
    <n v="29036"/>
    <n v="60697"/>
    <n v="2023.2333333333333"/>
    <n v="59845"/>
    <n v="1994.8333333333333"/>
    <n v="1436"/>
    <n v="2484"/>
    <n v="60697"/>
    <n v="59845"/>
    <m/>
    <m/>
    <m/>
    <m/>
    <m/>
    <m/>
    <m/>
    <m/>
    <n v="0"/>
    <n v="0"/>
    <n v="0"/>
    <n v="0"/>
    <m/>
    <m/>
    <n v="0"/>
    <n v="0"/>
    <m/>
    <m/>
    <n v="1600"/>
    <n v="1321"/>
    <n v="397"/>
    <n v="153"/>
    <n v="1676"/>
    <n v="1164"/>
    <n v="3673"/>
    <n v="153.04166666666666"/>
    <n v="2638"/>
    <n v="109.91666666666667"/>
    <n v="2176.2750000000001"/>
    <n v="2104.75"/>
  </r>
  <r>
    <x v="5"/>
    <s v="Northern Kentucky University "/>
    <s v="Met the criteria for Four-Year 3 in 2012-13 and 2013-14."/>
    <n v="157447"/>
    <x v="3"/>
    <s v="sem"/>
    <m/>
    <m/>
    <m/>
    <n v="149607"/>
    <n v="147488"/>
    <n v="19078"/>
    <n v="18551"/>
    <n v="163225"/>
    <n v="161227"/>
    <n v="331910"/>
    <n v="11063.666666666666"/>
    <n v="327266"/>
    <n v="10908.866666666667"/>
    <n v="4064"/>
    <n v="4199"/>
    <n v="331910"/>
    <n v="327266"/>
    <m/>
    <m/>
    <m/>
    <m/>
    <m/>
    <m/>
    <m/>
    <m/>
    <n v="0"/>
    <n v="0"/>
    <n v="0"/>
    <n v="0"/>
    <m/>
    <m/>
    <n v="0"/>
    <n v="0"/>
    <m/>
    <m/>
    <n v="16877"/>
    <n v="16904"/>
    <n v="5830"/>
    <n v="5750"/>
    <n v="17085"/>
    <n v="16359"/>
    <n v="39792"/>
    <n v="1658"/>
    <n v="39013"/>
    <n v="1625.5416666666667"/>
    <n v="12721.666666666666"/>
    <n v="12534.408333333333"/>
  </r>
  <r>
    <x v="5"/>
    <s v="Bluegrass Community and Technical College"/>
    <m/>
    <n v="157173"/>
    <x v="6"/>
    <s v="sem"/>
    <m/>
    <m/>
    <m/>
    <n v="118051"/>
    <n v="108236"/>
    <n v="23850"/>
    <n v="20882"/>
    <n v="124714"/>
    <n v="111652"/>
    <n v="266615"/>
    <n v="8887.1666666666661"/>
    <n v="240770"/>
    <n v="8025.666666666667"/>
    <n v="7826"/>
    <n v="8675"/>
    <n v="266615"/>
    <n v="240770"/>
    <m/>
    <m/>
    <m/>
    <m/>
    <m/>
    <m/>
    <m/>
    <m/>
    <n v="0"/>
    <n v="0"/>
    <n v="0"/>
    <n v="0"/>
    <m/>
    <m/>
    <n v="0"/>
    <n v="0"/>
    <m/>
    <m/>
    <m/>
    <m/>
    <m/>
    <m/>
    <m/>
    <m/>
    <n v="0"/>
    <n v="0"/>
    <n v="0"/>
    <n v="0"/>
    <n v="8887.1666666666661"/>
    <n v="8025.666666666667"/>
  </r>
  <r>
    <x v="5"/>
    <s v="Jefferson Community and Technical College "/>
    <m/>
    <n v="156921"/>
    <x v="6"/>
    <s v="sem"/>
    <m/>
    <m/>
    <m/>
    <n v="112521"/>
    <n v="104271"/>
    <n v="18247"/>
    <n v="15108"/>
    <n v="115977"/>
    <n v="107505"/>
    <n v="246745"/>
    <n v="8224.8333333333339"/>
    <n v="226884"/>
    <n v="7562.8"/>
    <n v="9837"/>
    <n v="10689"/>
    <n v="246745"/>
    <n v="226884"/>
    <m/>
    <m/>
    <m/>
    <m/>
    <m/>
    <m/>
    <m/>
    <m/>
    <n v="0"/>
    <n v="0"/>
    <n v="0"/>
    <n v="0"/>
    <m/>
    <m/>
    <n v="0"/>
    <n v="0"/>
    <m/>
    <m/>
    <m/>
    <m/>
    <m/>
    <m/>
    <m/>
    <m/>
    <n v="0"/>
    <n v="0"/>
    <n v="0"/>
    <n v="0"/>
    <n v="8224.8333333333339"/>
    <n v="7562.8"/>
  </r>
  <r>
    <x v="5"/>
    <s v="Ashland Community and Technical College"/>
    <m/>
    <n v="156231"/>
    <x v="7"/>
    <s v="sem"/>
    <m/>
    <m/>
    <m/>
    <n v="32226"/>
    <n v="30700"/>
    <n v="6956"/>
    <n v="5643"/>
    <n v="36818"/>
    <n v="35829"/>
    <n v="76000"/>
    <n v="2533.3333333333335"/>
    <n v="72172"/>
    <n v="2405.7333333333331"/>
    <n v="6733"/>
    <n v="4324"/>
    <n v="76000"/>
    <n v="72172"/>
    <m/>
    <m/>
    <m/>
    <m/>
    <m/>
    <m/>
    <m/>
    <m/>
    <n v="0"/>
    <n v="0"/>
    <n v="0"/>
    <n v="0"/>
    <m/>
    <m/>
    <n v="0"/>
    <n v="0"/>
    <m/>
    <m/>
    <m/>
    <m/>
    <m/>
    <m/>
    <m/>
    <m/>
    <n v="0"/>
    <n v="0"/>
    <n v="0"/>
    <n v="0"/>
    <n v="2533.3333333333335"/>
    <n v="2405.7333333333331"/>
  </r>
  <r>
    <x v="5"/>
    <s v="Big Sandy Community and Technical College "/>
    <m/>
    <n v="157553"/>
    <x v="7"/>
    <s v="sem"/>
    <m/>
    <m/>
    <m/>
    <n v="36595"/>
    <n v="36173"/>
    <n v="6122"/>
    <n v="4337"/>
    <n v="37516"/>
    <n v="37914"/>
    <n v="80233"/>
    <n v="2674.4333333333334"/>
    <n v="78424"/>
    <n v="2614.1333333333332"/>
    <n v="2386"/>
    <n v="2343"/>
    <n v="80233"/>
    <n v="78424"/>
    <m/>
    <m/>
    <m/>
    <m/>
    <m/>
    <m/>
    <m/>
    <m/>
    <n v="0"/>
    <n v="0"/>
    <n v="0"/>
    <n v="0"/>
    <m/>
    <m/>
    <n v="0"/>
    <n v="0"/>
    <m/>
    <m/>
    <m/>
    <m/>
    <m/>
    <m/>
    <m/>
    <m/>
    <n v="0"/>
    <n v="0"/>
    <n v="0"/>
    <n v="0"/>
    <n v="2674.4333333333334"/>
    <n v="2614.1333333333332"/>
  </r>
  <r>
    <x v="5"/>
    <s v="Elizabethtown Community and Technical College "/>
    <m/>
    <n v="156648"/>
    <x v="7"/>
    <s v="sem"/>
    <m/>
    <m/>
    <m/>
    <n v="53582"/>
    <n v="49278"/>
    <n v="7876"/>
    <n v="7638"/>
    <n v="55707"/>
    <n v="56759"/>
    <n v="117165"/>
    <n v="3905.5"/>
    <n v="113675"/>
    <n v="3789.1666666666665"/>
    <n v="2544"/>
    <n v="4064"/>
    <n v="117165"/>
    <n v="113675"/>
    <m/>
    <m/>
    <m/>
    <m/>
    <m/>
    <m/>
    <m/>
    <m/>
    <n v="0"/>
    <n v="0"/>
    <n v="0"/>
    <n v="0"/>
    <m/>
    <m/>
    <n v="0"/>
    <n v="0"/>
    <m/>
    <m/>
    <m/>
    <m/>
    <m/>
    <m/>
    <m/>
    <m/>
    <n v="0"/>
    <n v="0"/>
    <n v="0"/>
    <n v="0"/>
    <n v="3905.5"/>
    <n v="3789.1666666666665"/>
  </r>
  <r>
    <x v="5"/>
    <s v="Hazard Community and Technical College"/>
    <m/>
    <n v="156790"/>
    <x v="7"/>
    <s v="sem"/>
    <m/>
    <m/>
    <m/>
    <n v="27343"/>
    <n v="28311"/>
    <n v="4937"/>
    <n v="4125"/>
    <n v="29360"/>
    <n v="30123"/>
    <n v="61640"/>
    <n v="2054.6666666666665"/>
    <n v="62559"/>
    <n v="2085.3000000000002"/>
    <n v="2447"/>
    <n v="3440"/>
    <n v="61640"/>
    <n v="62559"/>
    <m/>
    <m/>
    <m/>
    <m/>
    <m/>
    <m/>
    <m/>
    <m/>
    <n v="0"/>
    <n v="0"/>
    <n v="0"/>
    <n v="0"/>
    <m/>
    <m/>
    <n v="0"/>
    <n v="0"/>
    <m/>
    <m/>
    <m/>
    <m/>
    <m/>
    <m/>
    <m/>
    <m/>
    <n v="0"/>
    <n v="0"/>
    <n v="0"/>
    <n v="0"/>
    <n v="2054.6666666666665"/>
    <n v="2085.3000000000002"/>
  </r>
  <r>
    <x v="5"/>
    <s v="Hopkinsville Community College "/>
    <m/>
    <n v="156860"/>
    <x v="7"/>
    <s v="sem"/>
    <m/>
    <m/>
    <m/>
    <n v="33696"/>
    <n v="30108"/>
    <n v="6330"/>
    <n v="6142"/>
    <n v="31626"/>
    <n v="30347"/>
    <n v="71652"/>
    <n v="2388.4"/>
    <n v="66597"/>
    <n v="2219.9"/>
    <n v="2063"/>
    <n v="1817"/>
    <n v="71652"/>
    <n v="66597"/>
    <m/>
    <m/>
    <m/>
    <m/>
    <m/>
    <m/>
    <m/>
    <m/>
    <n v="0"/>
    <n v="0"/>
    <n v="0"/>
    <n v="0"/>
    <m/>
    <m/>
    <n v="0"/>
    <n v="0"/>
    <m/>
    <m/>
    <m/>
    <m/>
    <m/>
    <m/>
    <m/>
    <m/>
    <n v="0"/>
    <n v="0"/>
    <n v="0"/>
    <n v="0"/>
    <n v="2388.4"/>
    <n v="2219.9"/>
  </r>
  <r>
    <x v="5"/>
    <s v="Madisonville Community College"/>
    <m/>
    <n v="157304"/>
    <x v="7"/>
    <s v="sem"/>
    <m/>
    <m/>
    <m/>
    <n v="27044"/>
    <n v="28156"/>
    <n v="3725"/>
    <n v="4330"/>
    <n v="30585"/>
    <n v="33299"/>
    <n v="61354"/>
    <n v="2045.1333333333334"/>
    <n v="65785"/>
    <n v="2192.8333333333335"/>
    <n v="4478"/>
    <n v="5481"/>
    <n v="61354"/>
    <n v="65785"/>
    <m/>
    <m/>
    <m/>
    <m/>
    <m/>
    <m/>
    <m/>
    <m/>
    <n v="0"/>
    <n v="0"/>
    <n v="0"/>
    <n v="0"/>
    <m/>
    <m/>
    <n v="0"/>
    <n v="0"/>
    <m/>
    <m/>
    <m/>
    <m/>
    <m/>
    <m/>
    <m/>
    <m/>
    <n v="0"/>
    <n v="0"/>
    <n v="0"/>
    <n v="0"/>
    <n v="2045.1333333333334"/>
    <n v="2192.8333333333335"/>
  </r>
  <r>
    <x v="5"/>
    <s v="Maysville Community and Technical College "/>
    <m/>
    <n v="157331"/>
    <x v="7"/>
    <s v="sem"/>
    <m/>
    <m/>
    <m/>
    <n v="45378"/>
    <n v="39478"/>
    <n v="6944"/>
    <n v="6764"/>
    <n v="42640"/>
    <n v="40143"/>
    <n v="94962"/>
    <n v="3165.4"/>
    <n v="86385"/>
    <n v="2879.5"/>
    <n v="5506"/>
    <n v="3824"/>
    <n v="94962"/>
    <n v="86385"/>
    <m/>
    <m/>
    <m/>
    <m/>
    <m/>
    <m/>
    <m/>
    <m/>
    <n v="0"/>
    <n v="0"/>
    <n v="0"/>
    <n v="0"/>
    <m/>
    <m/>
    <n v="0"/>
    <n v="0"/>
    <m/>
    <m/>
    <m/>
    <m/>
    <m/>
    <m/>
    <m/>
    <m/>
    <n v="0"/>
    <n v="0"/>
    <n v="0"/>
    <n v="0"/>
    <n v="3165.4"/>
    <n v="2879.5"/>
  </r>
  <r>
    <x v="5"/>
    <s v="Owensboro Community and Technical College "/>
    <m/>
    <n v="247940"/>
    <x v="7"/>
    <s v="sem"/>
    <m/>
    <m/>
    <m/>
    <n v="39349"/>
    <n v="35746"/>
    <n v="5798"/>
    <n v="5085"/>
    <n v="41080"/>
    <n v="38906"/>
    <n v="86227"/>
    <n v="2874.2333333333331"/>
    <n v="79737"/>
    <n v="2657.9"/>
    <n v="7433"/>
    <n v="4395"/>
    <n v="86227"/>
    <n v="79737"/>
    <m/>
    <m/>
    <m/>
    <m/>
    <m/>
    <m/>
    <m/>
    <m/>
    <n v="0"/>
    <n v="0"/>
    <n v="0"/>
    <n v="0"/>
    <m/>
    <m/>
    <n v="0"/>
    <n v="0"/>
    <m/>
    <m/>
    <m/>
    <m/>
    <m/>
    <m/>
    <m/>
    <m/>
    <n v="0"/>
    <n v="0"/>
    <n v="0"/>
    <n v="0"/>
    <n v="2874.2333333333331"/>
    <n v="2657.9"/>
  </r>
  <r>
    <x v="5"/>
    <s v="Somerset Community and Technical College "/>
    <m/>
    <n v="157711"/>
    <x v="7"/>
    <s v="sem"/>
    <m/>
    <m/>
    <m/>
    <n v="71077"/>
    <n v="66285"/>
    <n v="8358"/>
    <n v="7967"/>
    <n v="66292"/>
    <n v="68746"/>
    <n v="145727"/>
    <n v="4857.5666666666666"/>
    <n v="142998"/>
    <n v="4766.6000000000004"/>
    <n v="5487"/>
    <n v="4810"/>
    <n v="145727"/>
    <n v="142998"/>
    <m/>
    <m/>
    <m/>
    <m/>
    <m/>
    <m/>
    <m/>
    <m/>
    <n v="0"/>
    <n v="0"/>
    <n v="0"/>
    <n v="0"/>
    <m/>
    <m/>
    <n v="0"/>
    <n v="0"/>
    <m/>
    <m/>
    <m/>
    <m/>
    <m/>
    <m/>
    <m/>
    <m/>
    <n v="0"/>
    <n v="0"/>
    <n v="0"/>
    <n v="0"/>
    <n v="4857.5666666666666"/>
    <n v="4766.6000000000004"/>
  </r>
  <r>
    <x v="5"/>
    <s v="Southeast Kentucky Community and Technical College"/>
    <m/>
    <n v="157739"/>
    <x v="7"/>
    <s v="sem"/>
    <m/>
    <m/>
    <m/>
    <n v="30732"/>
    <n v="30006"/>
    <n v="2787"/>
    <n v="2563"/>
    <n v="33101"/>
    <n v="32268"/>
    <n v="66620"/>
    <n v="2220.6666666666665"/>
    <n v="64837"/>
    <n v="2161.2333333333331"/>
    <n v="4698"/>
    <n v="4526"/>
    <n v="66620"/>
    <n v="64837"/>
    <m/>
    <m/>
    <m/>
    <m/>
    <m/>
    <m/>
    <m/>
    <m/>
    <n v="0"/>
    <n v="0"/>
    <n v="0"/>
    <n v="0"/>
    <m/>
    <m/>
    <n v="0"/>
    <n v="0"/>
    <m/>
    <m/>
    <m/>
    <m/>
    <m/>
    <m/>
    <m/>
    <m/>
    <n v="0"/>
    <n v="0"/>
    <n v="0"/>
    <n v="0"/>
    <n v="2220.6666666666665"/>
    <n v="2161.2333333333331"/>
  </r>
  <r>
    <x v="5"/>
    <s v="West Kentucky Community and Technical College"/>
    <m/>
    <n v="157483"/>
    <x v="7"/>
    <s v="sem"/>
    <m/>
    <m/>
    <m/>
    <n v="53864"/>
    <n v="53642"/>
    <n v="9873"/>
    <n v="10382"/>
    <n v="59691"/>
    <n v="59398"/>
    <n v="123428"/>
    <n v="4114.2666666666664"/>
    <n v="123422"/>
    <n v="4114.0666666666666"/>
    <n v="10212"/>
    <n v="11321"/>
    <n v="123428"/>
    <n v="123422"/>
    <m/>
    <m/>
    <m/>
    <m/>
    <m/>
    <m/>
    <m/>
    <m/>
    <n v="0"/>
    <n v="0"/>
    <n v="0"/>
    <n v="0"/>
    <m/>
    <m/>
    <n v="0"/>
    <n v="0"/>
    <m/>
    <m/>
    <m/>
    <m/>
    <m/>
    <m/>
    <m/>
    <m/>
    <n v="0"/>
    <n v="0"/>
    <n v="0"/>
    <n v="0"/>
    <n v="4114.2666666666664"/>
    <n v="4114.0666666666666"/>
  </r>
  <r>
    <x v="5"/>
    <s v="Henderson Community College "/>
    <m/>
    <n v="156851"/>
    <x v="8"/>
    <s v="sem"/>
    <m/>
    <m/>
    <m/>
    <n v="17174"/>
    <n v="17962"/>
    <n v="2782"/>
    <n v="3267"/>
    <n v="18257"/>
    <n v="17884"/>
    <n v="38213"/>
    <n v="1273.7666666666667"/>
    <n v="39113"/>
    <n v="1303.7666666666667"/>
    <n v="1813"/>
    <n v="1644"/>
    <n v="38213"/>
    <n v="39113"/>
    <m/>
    <m/>
    <m/>
    <m/>
    <m/>
    <m/>
    <m/>
    <m/>
    <n v="0"/>
    <n v="0"/>
    <n v="0"/>
    <n v="0"/>
    <m/>
    <m/>
    <n v="0"/>
    <n v="0"/>
    <m/>
    <m/>
    <m/>
    <m/>
    <m/>
    <m/>
    <m/>
    <m/>
    <n v="0"/>
    <n v="0"/>
    <n v="0"/>
    <n v="0"/>
    <n v="1273.7666666666667"/>
    <n v="1303.7666666666667"/>
  </r>
  <r>
    <x v="5"/>
    <s v="Gateway Community and Technical College"/>
    <m/>
    <n v="157438"/>
    <x v="9"/>
    <s v="sem"/>
    <m/>
    <m/>
    <m/>
    <n v="32686"/>
    <n v="32571"/>
    <n v="6560"/>
    <n v="6431"/>
    <n v="33536"/>
    <n v="34799"/>
    <n v="72782"/>
    <n v="2426.0666666666666"/>
    <n v="73801"/>
    <n v="2460.0333333333333"/>
    <n v="2416"/>
    <n v="1828"/>
    <n v="72782"/>
    <n v="73801"/>
    <m/>
    <m/>
    <m/>
    <m/>
    <m/>
    <m/>
    <m/>
    <m/>
    <n v="0"/>
    <n v="0"/>
    <n v="0"/>
    <n v="0"/>
    <m/>
    <m/>
    <n v="0"/>
    <n v="0"/>
    <m/>
    <m/>
    <m/>
    <m/>
    <m/>
    <m/>
    <m/>
    <m/>
    <n v="0"/>
    <n v="0"/>
    <n v="0"/>
    <n v="0"/>
    <n v="2426.0666666666666"/>
    <n v="2460.0333333333333"/>
  </r>
  <r>
    <x v="5"/>
    <s v="Southcentral Kentucky Community and Technical College"/>
    <m/>
    <n v="156338"/>
    <x v="9"/>
    <s v="sem"/>
    <m/>
    <m/>
    <m/>
    <n v="33739"/>
    <n v="38917"/>
    <n v="6299"/>
    <n v="6145"/>
    <n v="38592"/>
    <n v="42453"/>
    <n v="78630"/>
    <n v="2621"/>
    <n v="87515"/>
    <n v="2917.1666666666665"/>
    <n v="4202"/>
    <n v="5305"/>
    <n v="78630"/>
    <n v="87515"/>
    <m/>
    <m/>
    <m/>
    <m/>
    <m/>
    <m/>
    <m/>
    <m/>
    <n v="0"/>
    <n v="0"/>
    <n v="0"/>
    <n v="0"/>
    <m/>
    <m/>
    <n v="0"/>
    <n v="0"/>
    <m/>
    <m/>
    <m/>
    <m/>
    <m/>
    <m/>
    <m/>
    <m/>
    <n v="0"/>
    <n v="0"/>
    <n v="0"/>
    <n v="0"/>
    <n v="2621"/>
    <n v="2917.1666666666665"/>
  </r>
  <r>
    <x v="6"/>
    <s v="Louisiana State University and A&amp;M College"/>
    <m/>
    <n v="159391"/>
    <x v="0"/>
    <s v="sem"/>
    <s v="sem"/>
    <m/>
    <m/>
    <n v="321021"/>
    <n v="318961"/>
    <n v="43468"/>
    <n v="37954"/>
    <n v="360518"/>
    <n v="359427"/>
    <n v="725007"/>
    <n v="24166.9"/>
    <n v="716342"/>
    <n v="23878.066666666666"/>
    <n v="2047"/>
    <n v="3412"/>
    <n v="725007"/>
    <n v="716342"/>
    <m/>
    <m/>
    <m/>
    <m/>
    <m/>
    <m/>
    <m/>
    <m/>
    <n v="0"/>
    <n v="0"/>
    <n v="0"/>
    <n v="0"/>
    <m/>
    <m/>
    <n v="0"/>
    <n v="0"/>
    <m/>
    <m/>
    <n v="59001"/>
    <n v="57433"/>
    <n v="15221"/>
    <n v="15484"/>
    <n v="60662"/>
    <n v="59888"/>
    <n v="134884"/>
    <n v="5620.166666666667"/>
    <n v="132805"/>
    <n v="5533.541666666667"/>
    <n v="29787.066666666669"/>
    <n v="29411.608333333334"/>
  </r>
  <r>
    <x v="6"/>
    <s v="Louisiana Tech University "/>
    <m/>
    <n v="159647"/>
    <x v="1"/>
    <s v="quar"/>
    <s v="quar"/>
    <n v="69068"/>
    <n v="66037"/>
    <n v="69697"/>
    <n v="66465"/>
    <n v="16955"/>
    <n v="16085"/>
    <n v="76434"/>
    <n v="78239"/>
    <n v="232154"/>
    <n v="7738.4666666666662"/>
    <n v="226826"/>
    <n v="7560.8666666666668"/>
    <n v="12178"/>
    <n v="13759"/>
    <n v="232154"/>
    <n v="226826"/>
    <m/>
    <m/>
    <m/>
    <m/>
    <m/>
    <m/>
    <m/>
    <m/>
    <n v="0"/>
    <n v="0"/>
    <n v="0"/>
    <n v="0"/>
    <m/>
    <m/>
    <n v="0"/>
    <n v="0"/>
    <n v="7654"/>
    <n v="7575"/>
    <n v="7785"/>
    <n v="7916"/>
    <n v="4314"/>
    <n v="4172"/>
    <n v="11656"/>
    <n v="9472"/>
    <n v="31409"/>
    <n v="1308.7083333333333"/>
    <n v="29135"/>
    <n v="1213.9583333333333"/>
    <n v="9047.1749999999993"/>
    <n v="8774.8250000000007"/>
  </r>
  <r>
    <x v="6"/>
    <s v="University of Louisiana at Lafayette"/>
    <m/>
    <n v="160658"/>
    <x v="1"/>
    <s v="sem"/>
    <s v="sem"/>
    <m/>
    <m/>
    <n v="184501"/>
    <n v="176714"/>
    <n v="24934"/>
    <n v="26682"/>
    <n v="195627"/>
    <n v="195986"/>
    <n v="405062"/>
    <n v="13502.066666666668"/>
    <n v="399382"/>
    <n v="13312.733333333334"/>
    <n v="1724"/>
    <n v="3076"/>
    <n v="405062"/>
    <n v="399382"/>
    <m/>
    <m/>
    <m/>
    <m/>
    <m/>
    <m/>
    <m/>
    <m/>
    <n v="0"/>
    <n v="0"/>
    <n v="0"/>
    <n v="0"/>
    <m/>
    <m/>
    <n v="0"/>
    <n v="0"/>
    <m/>
    <m/>
    <n v="11573"/>
    <n v="11938"/>
    <n v="3083"/>
    <n v="3558"/>
    <n v="12246"/>
    <n v="12805"/>
    <n v="26902"/>
    <n v="1120.9166666666667"/>
    <n v="28301"/>
    <n v="1179.2083333333333"/>
    <n v="14622.983333333334"/>
    <n v="14491.941666666668"/>
  </r>
  <r>
    <x v="6"/>
    <s v="University of New Orleans"/>
    <m/>
    <n v="159939"/>
    <x v="1"/>
    <s v="sem"/>
    <s v="sem"/>
    <m/>
    <m/>
    <n v="92318"/>
    <n v="84694"/>
    <n v="18426"/>
    <n v="16713"/>
    <n v="95073"/>
    <n v="87999"/>
    <n v="205817"/>
    <n v="6860.5666666666666"/>
    <n v="189406"/>
    <n v="6313.5333333333338"/>
    <n v="557"/>
    <n v="806"/>
    <n v="205817"/>
    <n v="189406"/>
    <m/>
    <m/>
    <m/>
    <m/>
    <m/>
    <m/>
    <m/>
    <m/>
    <n v="0"/>
    <n v="0"/>
    <n v="0"/>
    <n v="0"/>
    <m/>
    <m/>
    <n v="0"/>
    <n v="0"/>
    <m/>
    <m/>
    <n v="16295"/>
    <n v="14830"/>
    <n v="6333"/>
    <n v="3959"/>
    <n v="17463"/>
    <n v="15838"/>
    <n v="40091"/>
    <n v="1670.4583333333333"/>
    <n v="34627"/>
    <n v="1442.7916666666667"/>
    <n v="8531.0249999999996"/>
    <n v="7756.3250000000007"/>
  </r>
  <r>
    <x v="6"/>
    <s v="Southeastern Louisiana University "/>
    <m/>
    <n v="160612"/>
    <x v="2"/>
    <s v="sem"/>
    <s v="sem"/>
    <m/>
    <m/>
    <n v="162619"/>
    <n v="158207"/>
    <n v="21975"/>
    <n v="19429"/>
    <n v="173089"/>
    <n v="166083"/>
    <n v="357683"/>
    <n v="11922.766666666666"/>
    <n v="343719"/>
    <n v="11457.3"/>
    <n v="9149"/>
    <n v="17788"/>
    <n v="357683"/>
    <n v="343719"/>
    <m/>
    <m/>
    <m/>
    <m/>
    <m/>
    <m/>
    <m/>
    <m/>
    <n v="0"/>
    <n v="0"/>
    <n v="0"/>
    <n v="0"/>
    <m/>
    <m/>
    <n v="0"/>
    <n v="0"/>
    <m/>
    <m/>
    <n v="9309"/>
    <n v="8596"/>
    <n v="5034"/>
    <n v="4281"/>
    <n v="9040"/>
    <n v="7824"/>
    <n v="23383"/>
    <n v="974.29166666666663"/>
    <n v="20701"/>
    <n v="862.54166666666663"/>
    <n v="12897.058333333332"/>
    <n v="12319.841666666665"/>
  </r>
  <r>
    <x v="6"/>
    <s v="Southern University and A&amp;M College at Baton Rouge "/>
    <m/>
    <n v="160621"/>
    <x v="2"/>
    <s v="sem"/>
    <s v="sem"/>
    <m/>
    <m/>
    <n v="74723"/>
    <n v="69239"/>
    <n v="10996"/>
    <n v="10062"/>
    <n v="73535"/>
    <n v="76075"/>
    <n v="159254"/>
    <n v="5308.4666666666662"/>
    <n v="155376"/>
    <n v="5179.2"/>
    <n v="142"/>
    <n v="357"/>
    <n v="159254"/>
    <n v="155376"/>
    <m/>
    <m/>
    <m/>
    <m/>
    <m/>
    <m/>
    <m/>
    <m/>
    <n v="0"/>
    <n v="0"/>
    <n v="0"/>
    <n v="0"/>
    <m/>
    <m/>
    <n v="0"/>
    <n v="0"/>
    <m/>
    <m/>
    <n v="18079"/>
    <n v="18007"/>
    <n v="4635"/>
    <n v="4334"/>
    <n v="18888"/>
    <n v="17251"/>
    <n v="41602"/>
    <n v="1733.4166666666667"/>
    <n v="39592"/>
    <n v="1649.6666666666667"/>
    <n v="7041.8833333333332"/>
    <n v="6828.8666666666668"/>
  </r>
  <r>
    <x v="6"/>
    <s v="University of Louisiana at Monroe"/>
    <m/>
    <n v="159993"/>
    <x v="2"/>
    <s v="sem"/>
    <s v="sem"/>
    <n v="2643"/>
    <n v="2993"/>
    <n v="74963"/>
    <n v="75488"/>
    <n v="16684"/>
    <n v="12396"/>
    <n v="85842"/>
    <n v="85269"/>
    <n v="180132"/>
    <n v="6004.4"/>
    <n v="176146"/>
    <n v="5871.5333333333338"/>
    <n v="13524"/>
    <n v="11765"/>
    <n v="180132"/>
    <n v="176146"/>
    <m/>
    <m/>
    <m/>
    <m/>
    <m/>
    <m/>
    <m/>
    <m/>
    <n v="0"/>
    <n v="0"/>
    <n v="0"/>
    <n v="0"/>
    <m/>
    <m/>
    <n v="0"/>
    <n v="0"/>
    <n v="528"/>
    <n v="471"/>
    <n v="12898"/>
    <n v="12641"/>
    <n v="7814"/>
    <n v="7382"/>
    <n v="13364"/>
    <n v="14848"/>
    <n v="34604"/>
    <n v="1441.8333333333333"/>
    <n v="35342"/>
    <n v="1472.5833333333333"/>
    <n v="7446.2333333333327"/>
    <n v="7344.1166666666668"/>
  </r>
  <r>
    <x v="6"/>
    <s v="Grambling State University"/>
    <m/>
    <n v="159009"/>
    <x v="3"/>
    <s v="sem"/>
    <s v="sem"/>
    <m/>
    <m/>
    <n v="57258"/>
    <n v="53862"/>
    <n v="11522"/>
    <n v="9245"/>
    <n v="60356"/>
    <n v="56964"/>
    <n v="129136"/>
    <n v="4304.5333333333338"/>
    <n v="120071"/>
    <n v="4002.3666666666668"/>
    <n v="282"/>
    <n v="285"/>
    <n v="129136"/>
    <n v="120071"/>
    <m/>
    <m/>
    <m/>
    <m/>
    <m/>
    <m/>
    <m/>
    <m/>
    <n v="0"/>
    <n v="0"/>
    <n v="0"/>
    <n v="0"/>
    <m/>
    <m/>
    <n v="0"/>
    <n v="0"/>
    <m/>
    <m/>
    <n v="6496"/>
    <n v="6972"/>
    <n v="2804"/>
    <n v="2593"/>
    <n v="6882"/>
    <n v="7436"/>
    <n v="16182"/>
    <n v="674.25"/>
    <n v="17001"/>
    <n v="708.375"/>
    <n v="4978.7833333333338"/>
    <n v="4710.7416666666668"/>
  </r>
  <r>
    <x v="6"/>
    <s v="Louisiana State University in Shreveport"/>
    <m/>
    <n v="159416"/>
    <x v="3"/>
    <s v="sem"/>
    <s v="sem"/>
    <m/>
    <m/>
    <n v="40658"/>
    <n v="38264"/>
    <n v="7099"/>
    <n v="5886"/>
    <n v="41384"/>
    <n v="37559"/>
    <n v="89141"/>
    <n v="2971.3666666666668"/>
    <n v="81709"/>
    <n v="2723.6333333333332"/>
    <n v="11114"/>
    <n v="10449"/>
    <n v="89141"/>
    <n v="81709"/>
    <m/>
    <m/>
    <m/>
    <m/>
    <m/>
    <m/>
    <m/>
    <m/>
    <n v="0"/>
    <n v="0"/>
    <n v="0"/>
    <n v="0"/>
    <m/>
    <m/>
    <n v="0"/>
    <n v="0"/>
    <m/>
    <m/>
    <n v="2382"/>
    <n v="2519"/>
    <n v="1202"/>
    <n v="1234"/>
    <n v="2701"/>
    <n v="2856"/>
    <n v="6285"/>
    <n v="261.875"/>
    <n v="6609"/>
    <n v="275.375"/>
    <n v="3233.2416666666668"/>
    <n v="2999.0083333333332"/>
  </r>
  <r>
    <x v="6"/>
    <s v="McNeese State University"/>
    <m/>
    <n v="159717"/>
    <x v="3"/>
    <s v="sem"/>
    <s v="sem"/>
    <m/>
    <m/>
    <n v="97806"/>
    <n v="93356"/>
    <n v="12418"/>
    <n v="10830"/>
    <n v="103403"/>
    <n v="100468"/>
    <n v="213627"/>
    <n v="7120.9"/>
    <n v="204654"/>
    <n v="6821.8"/>
    <n v="5685"/>
    <n v="5774"/>
    <n v="213627"/>
    <n v="204654"/>
    <m/>
    <m/>
    <m/>
    <m/>
    <m/>
    <m/>
    <m/>
    <m/>
    <n v="0"/>
    <n v="0"/>
    <n v="0"/>
    <n v="0"/>
    <m/>
    <m/>
    <n v="0"/>
    <n v="0"/>
    <m/>
    <m/>
    <n v="5719"/>
    <n v="5290"/>
    <n v="2065"/>
    <n v="1819"/>
    <n v="5411"/>
    <n v="5180"/>
    <n v="13195"/>
    <n v="549.79166666666663"/>
    <n v="12289"/>
    <n v="512.04166666666663"/>
    <n v="7670.6916666666666"/>
    <n v="7333.8416666666672"/>
  </r>
  <r>
    <x v="6"/>
    <s v="Nicholls State University "/>
    <m/>
    <n v="159966"/>
    <x v="3"/>
    <s v="sem"/>
    <s v="sem"/>
    <m/>
    <m/>
    <n v="73786"/>
    <n v="72272"/>
    <n v="11331"/>
    <n v="10854"/>
    <n v="79365"/>
    <n v="78191"/>
    <n v="164482"/>
    <n v="5482.7333333333336"/>
    <n v="161317"/>
    <n v="5377.2333333333336"/>
    <n v="1020"/>
    <n v="1138"/>
    <n v="164482"/>
    <n v="161317"/>
    <m/>
    <m/>
    <m/>
    <m/>
    <m/>
    <m/>
    <m/>
    <m/>
    <n v="0"/>
    <n v="0"/>
    <n v="0"/>
    <n v="0"/>
    <m/>
    <m/>
    <n v="0"/>
    <n v="0"/>
    <m/>
    <m/>
    <n v="3898"/>
    <n v="4025"/>
    <n v="2794"/>
    <n v="2768"/>
    <n v="3950"/>
    <n v="4318"/>
    <n v="10642"/>
    <n v="443.41666666666669"/>
    <n v="11111"/>
    <n v="462.95833333333331"/>
    <n v="5926.1500000000005"/>
    <n v="5840.1916666666666"/>
  </r>
  <r>
    <x v="6"/>
    <s v="Northwestern State University"/>
    <m/>
    <n v="160038"/>
    <x v="3"/>
    <s v="sem"/>
    <s v="sem"/>
    <m/>
    <m/>
    <n v="92476"/>
    <n v="92359"/>
    <n v="19687"/>
    <n v="17198"/>
    <n v="100426"/>
    <n v="95959"/>
    <n v="212589"/>
    <n v="7086.3"/>
    <n v="205516"/>
    <n v="6850.5333333333338"/>
    <n v="5504"/>
    <n v="6282"/>
    <n v="212589"/>
    <n v="205516"/>
    <m/>
    <m/>
    <m/>
    <m/>
    <m/>
    <m/>
    <m/>
    <m/>
    <n v="0"/>
    <n v="0"/>
    <n v="0"/>
    <n v="0"/>
    <m/>
    <m/>
    <n v="0"/>
    <n v="0"/>
    <m/>
    <m/>
    <n v="6310"/>
    <n v="6539"/>
    <n v="3896"/>
    <n v="3562"/>
    <n v="6774"/>
    <n v="6752"/>
    <n v="16980"/>
    <n v="707.5"/>
    <n v="16853"/>
    <n v="702.20833333333337"/>
    <n v="7793.8"/>
    <n v="7552.7416666666668"/>
  </r>
  <r>
    <x v="6"/>
    <s v="Southern University at New Orleans"/>
    <s v="Met the criteria for Four-Year 5 in 2012-13 and 2013-14."/>
    <n v="160630"/>
    <x v="3"/>
    <s v="sem"/>
    <s v="sem"/>
    <m/>
    <m/>
    <n v="38111"/>
    <n v="33143"/>
    <n v="5480"/>
    <n v="3143"/>
    <n v="35925"/>
    <n v="34188"/>
    <n v="79516"/>
    <n v="2650.5333333333333"/>
    <n v="70474"/>
    <n v="2349.1333333333332"/>
    <n v="1246"/>
    <n v="1356"/>
    <n v="79516"/>
    <n v="70474"/>
    <m/>
    <m/>
    <m/>
    <m/>
    <m/>
    <m/>
    <m/>
    <m/>
    <n v="0"/>
    <n v="0"/>
    <n v="0"/>
    <n v="0"/>
    <m/>
    <m/>
    <n v="0"/>
    <n v="0"/>
    <m/>
    <m/>
    <n v="757"/>
    <n v="1014"/>
    <n v="80"/>
    <n v="123"/>
    <n v="1008"/>
    <n v="875"/>
    <n v="1845"/>
    <n v="76.875"/>
    <n v="2012"/>
    <n v="83.833333333333329"/>
    <n v="2727.4083333333333"/>
    <n v="2432.9666666666667"/>
  </r>
  <r>
    <x v="6"/>
    <s v="Louisiana State University at Alexandria"/>
    <m/>
    <n v="159382"/>
    <x v="5"/>
    <s v="sem"/>
    <s v="sem"/>
    <m/>
    <m/>
    <n v="23055"/>
    <n v="21372"/>
    <n v="4552"/>
    <n v="4135"/>
    <n v="24122"/>
    <n v="23698"/>
    <n v="51729"/>
    <n v="1724.3"/>
    <n v="49205"/>
    <n v="1640.1666666666667"/>
    <n v="2869"/>
    <n v="2366"/>
    <n v="51729"/>
    <n v="49205"/>
    <m/>
    <m/>
    <m/>
    <m/>
    <m/>
    <m/>
    <m/>
    <m/>
    <n v="0"/>
    <n v="0"/>
    <n v="0"/>
    <n v="0"/>
    <m/>
    <m/>
    <n v="0"/>
    <n v="0"/>
    <m/>
    <m/>
    <m/>
    <m/>
    <m/>
    <m/>
    <m/>
    <m/>
    <n v="0"/>
    <n v="0"/>
    <n v="0"/>
    <n v="0"/>
    <n v="1724.3"/>
    <n v="1640.1666666666667"/>
  </r>
  <r>
    <x v="6"/>
    <s v="Baton Rouge Community College"/>
    <m/>
    <n v="437103"/>
    <x v="6"/>
    <s v="sem"/>
    <s v="sem"/>
    <m/>
    <m/>
    <n v="78630"/>
    <n v="73333"/>
    <n v="10495"/>
    <n v="16997"/>
    <n v="80151"/>
    <n v="99424"/>
    <n v="169276"/>
    <n v="5642.5333333333338"/>
    <n v="189754"/>
    <n v="6325.1333333333332"/>
    <n v="1839"/>
    <n v="2943"/>
    <n v="169276"/>
    <n v="189754"/>
    <m/>
    <m/>
    <m/>
    <m/>
    <m/>
    <m/>
    <m/>
    <m/>
    <n v="0"/>
    <n v="0"/>
    <n v="0"/>
    <n v="0"/>
    <m/>
    <m/>
    <n v="0"/>
    <n v="0"/>
    <m/>
    <m/>
    <m/>
    <m/>
    <m/>
    <m/>
    <m/>
    <m/>
    <n v="0"/>
    <n v="0"/>
    <n v="0"/>
    <n v="0"/>
    <n v="5642.5333333333338"/>
    <n v="6325.1333333333332"/>
  </r>
  <r>
    <x v="6"/>
    <s v="Bossier Parish Community College"/>
    <m/>
    <n v="158431"/>
    <x v="6"/>
    <s v="sem"/>
    <s v="sem"/>
    <m/>
    <m/>
    <n v="80514"/>
    <n v="81916"/>
    <n v="17606"/>
    <n v="13712"/>
    <n v="85162"/>
    <n v="89127"/>
    <n v="183282"/>
    <n v="6109.4"/>
    <n v="184755"/>
    <n v="6158.5"/>
    <n v="3619"/>
    <n v="4158"/>
    <n v="183282"/>
    <n v="184755"/>
    <m/>
    <m/>
    <m/>
    <m/>
    <m/>
    <m/>
    <m/>
    <m/>
    <n v="0"/>
    <n v="0"/>
    <n v="0"/>
    <n v="0"/>
    <m/>
    <m/>
    <n v="0"/>
    <n v="0"/>
    <m/>
    <m/>
    <m/>
    <m/>
    <m/>
    <m/>
    <m/>
    <m/>
    <n v="0"/>
    <n v="0"/>
    <n v="0"/>
    <n v="0"/>
    <n v="6109.4"/>
    <n v="6158.5"/>
  </r>
  <r>
    <x v="6"/>
    <s v="Delgado Community College "/>
    <m/>
    <n v="158662"/>
    <x v="6"/>
    <s v="sem"/>
    <s v="sem"/>
    <m/>
    <m/>
    <n v="192771"/>
    <n v="173985"/>
    <n v="38177"/>
    <n v="29677"/>
    <n v="172000"/>
    <n v="177459"/>
    <n v="402948"/>
    <n v="13431.6"/>
    <n v="381121"/>
    <n v="12704.033333333333"/>
    <n v="1372"/>
    <n v="1846"/>
    <n v="402948"/>
    <n v="381121"/>
    <m/>
    <m/>
    <m/>
    <m/>
    <m/>
    <m/>
    <m/>
    <m/>
    <n v="0"/>
    <n v="0"/>
    <n v="0"/>
    <n v="0"/>
    <m/>
    <m/>
    <n v="0"/>
    <n v="0"/>
    <m/>
    <m/>
    <m/>
    <m/>
    <m/>
    <m/>
    <m/>
    <m/>
    <n v="0"/>
    <n v="0"/>
    <n v="0"/>
    <n v="0"/>
    <n v="13431.6"/>
    <n v="12704.033333333333"/>
  </r>
  <r>
    <x v="6"/>
    <s v="Louisiana State University at Eunice"/>
    <s v="Met the criteria for Two-Year 3 in 2013-14. "/>
    <n v="159407"/>
    <x v="7"/>
    <s v="sem"/>
    <s v="sem"/>
    <m/>
    <m/>
    <n v="27989"/>
    <n v="26620"/>
    <n v="4969"/>
    <n v="3907"/>
    <n v="29014"/>
    <n v="26138"/>
    <n v="61972"/>
    <n v="2065.7333333333331"/>
    <n v="56665"/>
    <n v="1888.8333333333333"/>
    <n v="3283"/>
    <n v="2950"/>
    <n v="61972"/>
    <n v="56665"/>
    <m/>
    <m/>
    <m/>
    <m/>
    <m/>
    <m/>
    <m/>
    <m/>
    <n v="0"/>
    <n v="0"/>
    <n v="0"/>
    <n v="0"/>
    <m/>
    <m/>
    <n v="0"/>
    <n v="0"/>
    <m/>
    <m/>
    <m/>
    <m/>
    <m/>
    <m/>
    <m/>
    <m/>
    <n v="0"/>
    <n v="0"/>
    <n v="0"/>
    <n v="0"/>
    <n v="2065.7333333333331"/>
    <n v="1888.8333333333333"/>
  </r>
  <r>
    <x v="6"/>
    <s v="South Louisiana Community College"/>
    <m/>
    <n v="434061"/>
    <x v="7"/>
    <s v="sem"/>
    <s v="sem"/>
    <m/>
    <n v="72"/>
    <n v="70353.5"/>
    <n v="57711"/>
    <n v="18151"/>
    <n v="12897"/>
    <n v="71265"/>
    <n v="70397"/>
    <n v="159769.5"/>
    <n v="5325.65"/>
    <n v="141077"/>
    <n v="4702.5666666666666"/>
    <n v="15668"/>
    <n v="17672"/>
    <n v="159769.5"/>
    <n v="141077"/>
    <m/>
    <m/>
    <m/>
    <m/>
    <m/>
    <m/>
    <m/>
    <m/>
    <n v="0"/>
    <n v="0"/>
    <n v="0"/>
    <n v="0"/>
    <m/>
    <m/>
    <n v="0"/>
    <n v="0"/>
    <m/>
    <m/>
    <m/>
    <m/>
    <m/>
    <m/>
    <m/>
    <m/>
    <n v="0"/>
    <n v="0"/>
    <n v="0"/>
    <n v="0"/>
    <n v="5325.65"/>
    <n v="4702.5666666666666"/>
  </r>
  <r>
    <x v="6"/>
    <s v="Louisiana Delta Community College"/>
    <s v="Reclassified: met the criteria for Two-Year 2 in 2011-12, 2012-13, and 2013-14."/>
    <n v="440624"/>
    <x v="7"/>
    <s v="sem"/>
    <s v="sem"/>
    <m/>
    <n v="165"/>
    <n v="43182.5"/>
    <n v="38698"/>
    <n v="11259.5"/>
    <n v="8959"/>
    <n v="37617"/>
    <n v="37370"/>
    <n v="92059"/>
    <n v="3068.6333333333332"/>
    <n v="85192"/>
    <n v="2839.7333333333331"/>
    <n v="5405"/>
    <n v="5316"/>
    <n v="92059"/>
    <n v="85192"/>
    <m/>
    <m/>
    <m/>
    <m/>
    <m/>
    <m/>
    <n v="11"/>
    <m/>
    <n v="11"/>
    <n v="1.2222222222222223E-2"/>
    <n v="0"/>
    <n v="0"/>
    <m/>
    <m/>
    <n v="0"/>
    <n v="0"/>
    <m/>
    <m/>
    <m/>
    <m/>
    <m/>
    <m/>
    <m/>
    <m/>
    <n v="0"/>
    <n v="0"/>
    <n v="0"/>
    <n v="0"/>
    <n v="3068.6455555555553"/>
    <n v="2839.7333333333331"/>
  </r>
  <r>
    <x v="6"/>
    <s v="Nunez Community College"/>
    <m/>
    <n v="158884"/>
    <x v="8"/>
    <s v="sem"/>
    <s v="sem"/>
    <m/>
    <m/>
    <n v="18641"/>
    <n v="18387"/>
    <n v="3734"/>
    <n v="3370"/>
    <n v="19632"/>
    <n v="21724"/>
    <n v="42007"/>
    <n v="1400.2333333333333"/>
    <n v="43481"/>
    <n v="1449.3666666666666"/>
    <n v="5241"/>
    <n v="5762"/>
    <n v="42007"/>
    <n v="43481"/>
    <m/>
    <m/>
    <m/>
    <m/>
    <m/>
    <m/>
    <m/>
    <m/>
    <n v="0"/>
    <n v="0"/>
    <n v="0"/>
    <n v="0"/>
    <m/>
    <m/>
    <n v="0"/>
    <n v="0"/>
    <m/>
    <m/>
    <m/>
    <m/>
    <m/>
    <m/>
    <m/>
    <m/>
    <n v="0"/>
    <n v="0"/>
    <n v="0"/>
    <n v="0"/>
    <n v="1400.2333333333333"/>
    <n v="1449.3666666666666"/>
  </r>
  <r>
    <x v="6"/>
    <s v="River Parishes Community College"/>
    <m/>
    <n v="436304"/>
    <x v="8"/>
    <s v="sem"/>
    <s v="sem"/>
    <m/>
    <m/>
    <n v="21519"/>
    <n v="22269"/>
    <n v="4445"/>
    <n v="3514"/>
    <n v="28080"/>
    <n v="23983"/>
    <n v="54044"/>
    <n v="1801.4666666666667"/>
    <n v="49766"/>
    <n v="1658.8666666666666"/>
    <n v="9861"/>
    <n v="10497"/>
    <n v="54044"/>
    <n v="49766"/>
    <m/>
    <m/>
    <m/>
    <m/>
    <m/>
    <m/>
    <m/>
    <m/>
    <n v="0"/>
    <n v="0"/>
    <n v="0"/>
    <n v="0"/>
    <m/>
    <m/>
    <n v="0"/>
    <n v="0"/>
    <m/>
    <m/>
    <m/>
    <m/>
    <m/>
    <m/>
    <m/>
    <m/>
    <n v="0"/>
    <n v="0"/>
    <n v="0"/>
    <n v="0"/>
    <n v="1801.4666666666667"/>
    <n v="1658.8666666666666"/>
  </r>
  <r>
    <x v="6"/>
    <s v="Southern University in Shreveport"/>
    <s v="Reclassified: met the criteria for Two-Year 2 in 2011-12, 2012-13, and 2013-14."/>
    <n v="160649"/>
    <x v="7"/>
    <s v="sem"/>
    <s v="sem"/>
    <m/>
    <m/>
    <n v="28165"/>
    <n v="29676"/>
    <n v="6743"/>
    <n v="6918"/>
    <n v="31899"/>
    <n v="33358"/>
    <n v="66807"/>
    <n v="2226.9"/>
    <n v="69952"/>
    <n v="2331.7333333333331"/>
    <n v="1458"/>
    <n v="1129"/>
    <n v="66807"/>
    <n v="69952"/>
    <m/>
    <m/>
    <m/>
    <m/>
    <m/>
    <m/>
    <m/>
    <m/>
    <n v="0"/>
    <n v="0"/>
    <n v="0"/>
    <n v="0"/>
    <m/>
    <m/>
    <n v="0"/>
    <n v="0"/>
    <m/>
    <m/>
    <m/>
    <m/>
    <m/>
    <m/>
    <m/>
    <m/>
    <n v="0"/>
    <n v="0"/>
    <n v="0"/>
    <n v="0"/>
    <n v="2226.9"/>
    <n v="2331.7333333333331"/>
  </r>
  <r>
    <x v="6"/>
    <s v="Capital Area Technical College"/>
    <s v="Met the criteria for Technical Institute or College 2 in 2013-14."/>
    <n v="158352"/>
    <x v="9"/>
    <s v="sem"/>
    <s v="sem"/>
    <m/>
    <m/>
    <n v="28776"/>
    <m/>
    <n v="10034"/>
    <m/>
    <n v="51143.5"/>
    <m/>
    <n v="89953.5"/>
    <n v="2998.45"/>
    <n v="0"/>
    <n v="0"/>
    <n v="14004"/>
    <n v="8479"/>
    <n v="89953.5"/>
    <n v="0"/>
    <m/>
    <m/>
    <m/>
    <m/>
    <m/>
    <m/>
    <m/>
    <m/>
    <n v="0"/>
    <n v="0"/>
    <n v="0"/>
    <n v="0"/>
    <m/>
    <m/>
    <n v="0"/>
    <n v="0"/>
    <m/>
    <m/>
    <m/>
    <m/>
    <m/>
    <m/>
    <m/>
    <m/>
    <n v="0"/>
    <n v="0"/>
    <n v="0"/>
    <n v="0"/>
    <n v="2998.45"/>
    <n v="0"/>
  </r>
  <r>
    <x v="6"/>
    <s v="Central LA Technical College"/>
    <m/>
    <n v="158088"/>
    <x v="9"/>
    <s v="sem"/>
    <s v="sem"/>
    <m/>
    <m/>
    <n v="24698.5"/>
    <n v="22288"/>
    <n v="8354"/>
    <n v="6070"/>
    <n v="22115"/>
    <n v="22493"/>
    <n v="55167.5"/>
    <n v="1838.9166666666667"/>
    <n v="50851"/>
    <n v="1695.0333333333333"/>
    <n v="4737"/>
    <n v="5041"/>
    <n v="55167.5"/>
    <n v="50851"/>
    <m/>
    <m/>
    <m/>
    <m/>
    <m/>
    <m/>
    <m/>
    <m/>
    <n v="0"/>
    <n v="0"/>
    <n v="0"/>
    <n v="0"/>
    <m/>
    <m/>
    <n v="0"/>
    <n v="0"/>
    <m/>
    <m/>
    <m/>
    <m/>
    <m/>
    <m/>
    <m/>
    <m/>
    <n v="0"/>
    <n v="0"/>
    <n v="0"/>
    <n v="0"/>
    <n v="1838.9166666666667"/>
    <n v="1695.0333333333333"/>
  </r>
  <r>
    <x v="6"/>
    <s v="L.E. Fletcher Technical Community College"/>
    <m/>
    <n v="160481"/>
    <x v="9"/>
    <s v="sem"/>
    <s v="sem"/>
    <m/>
    <m/>
    <n v="19523"/>
    <n v="18803"/>
    <n v="2905"/>
    <n v="2623"/>
    <n v="23481"/>
    <n v="23173"/>
    <n v="45909"/>
    <n v="1530.3"/>
    <n v="44599"/>
    <n v="1486.6333333333334"/>
    <n v="1428"/>
    <n v="1215"/>
    <n v="45909"/>
    <n v="44599"/>
    <m/>
    <m/>
    <n v="23017"/>
    <n v="19506"/>
    <n v="9897"/>
    <n v="2270"/>
    <n v="17329"/>
    <n v="14114"/>
    <n v="50243"/>
    <n v="55.825555555555553"/>
    <n v="35890"/>
    <n v="39.87777777777778"/>
    <m/>
    <m/>
    <n v="0"/>
    <n v="0"/>
    <m/>
    <m/>
    <m/>
    <m/>
    <m/>
    <m/>
    <m/>
    <m/>
    <n v="0"/>
    <n v="0"/>
    <n v="0"/>
    <n v="0"/>
    <n v="1586.1255555555556"/>
    <n v="1526.5111111111112"/>
  </r>
  <r>
    <x v="6"/>
    <s v="Northshore Technical College"/>
    <m/>
    <n v="160667"/>
    <x v="9"/>
    <s v="sem"/>
    <s v="sem"/>
    <m/>
    <m/>
    <n v="26303.5"/>
    <n v="21427"/>
    <n v="5296"/>
    <n v="3978"/>
    <n v="23479"/>
    <n v="24372"/>
    <n v="55078.5"/>
    <n v="1835.95"/>
    <n v="49777"/>
    <n v="1659.2333333333333"/>
    <n v="9223"/>
    <n v="7148"/>
    <n v="55078.5"/>
    <n v="49777"/>
    <m/>
    <m/>
    <m/>
    <m/>
    <m/>
    <m/>
    <m/>
    <m/>
    <n v="0"/>
    <n v="0"/>
    <n v="0"/>
    <n v="0"/>
    <m/>
    <m/>
    <n v="0"/>
    <n v="0"/>
    <m/>
    <m/>
    <m/>
    <m/>
    <m/>
    <m/>
    <m/>
    <m/>
    <n v="0"/>
    <n v="0"/>
    <n v="0"/>
    <n v="0"/>
    <n v="1835.95"/>
    <n v="1659.2333333333333"/>
  </r>
  <r>
    <x v="6"/>
    <s v="Northwest LA Technical College"/>
    <m/>
    <n v="160010"/>
    <x v="9"/>
    <s v="sem"/>
    <s v="sem"/>
    <m/>
    <m/>
    <n v="25389"/>
    <n v="20928"/>
    <n v="8298"/>
    <n v="6515"/>
    <n v="18412"/>
    <n v="22663"/>
    <n v="52099"/>
    <n v="1736.6333333333334"/>
    <n v="50106"/>
    <n v="1670.2"/>
    <n v="7316"/>
    <n v="7003"/>
    <n v="52099"/>
    <n v="50106"/>
    <m/>
    <m/>
    <m/>
    <m/>
    <m/>
    <m/>
    <m/>
    <m/>
    <n v="0"/>
    <n v="0"/>
    <n v="0"/>
    <n v="0"/>
    <m/>
    <m/>
    <n v="0"/>
    <n v="0"/>
    <m/>
    <m/>
    <m/>
    <m/>
    <m/>
    <m/>
    <m/>
    <m/>
    <n v="0"/>
    <n v="0"/>
    <n v="0"/>
    <n v="0"/>
    <n v="1736.6333333333334"/>
    <n v="1670.2"/>
  </r>
  <r>
    <x v="6"/>
    <s v="South Central LA Technical College"/>
    <m/>
    <n v="160913"/>
    <x v="9"/>
    <s v="sem"/>
    <s v="sem"/>
    <m/>
    <m/>
    <n v="21196"/>
    <n v="18548"/>
    <n v="4624.5"/>
    <n v="3098"/>
    <n v="23576"/>
    <n v="23309"/>
    <n v="49396.5"/>
    <n v="1646.55"/>
    <n v="44955"/>
    <n v="1498.5"/>
    <n v="12077"/>
    <n v="8674"/>
    <n v="49396.5"/>
    <n v="44955"/>
    <m/>
    <m/>
    <n v="31465"/>
    <n v="28023"/>
    <n v="15976"/>
    <n v="13330"/>
    <n v="25223"/>
    <n v="19480"/>
    <n v="72664"/>
    <n v="80.737777777777779"/>
    <n v="60833"/>
    <n v="67.592222222222219"/>
    <m/>
    <m/>
    <n v="0"/>
    <n v="0"/>
    <m/>
    <m/>
    <m/>
    <m/>
    <m/>
    <m/>
    <m/>
    <m/>
    <n v="0"/>
    <n v="0"/>
    <n v="0"/>
    <n v="0"/>
    <n v="1727.2877777777778"/>
    <n v="1566.0922222222223"/>
  </r>
  <r>
    <x v="6"/>
    <s v="Sowela Technical Community College"/>
    <m/>
    <n v="160579"/>
    <x v="9"/>
    <s v="sem"/>
    <s v="sem"/>
    <m/>
    <m/>
    <n v="28256"/>
    <n v="29073"/>
    <n v="5669"/>
    <n v="5297"/>
    <n v="30015"/>
    <n v="34997"/>
    <n v="63940"/>
    <n v="2131.3333333333335"/>
    <n v="69367"/>
    <n v="2312.2333333333331"/>
    <n v="3138"/>
    <n v="4489"/>
    <n v="63940"/>
    <n v="69367"/>
    <m/>
    <m/>
    <m/>
    <m/>
    <m/>
    <m/>
    <n v="42"/>
    <n v="30"/>
    <n v="42"/>
    <n v="4.6666666666666669E-2"/>
    <n v="30"/>
    <n v="3.3333333333333333E-2"/>
    <m/>
    <m/>
    <n v="0"/>
    <n v="0"/>
    <m/>
    <m/>
    <m/>
    <m/>
    <m/>
    <m/>
    <m/>
    <m/>
    <n v="0"/>
    <n v="0"/>
    <n v="0"/>
    <n v="0"/>
    <n v="2131.38"/>
    <n v="2312.2666666666664"/>
  </r>
  <r>
    <x v="7"/>
    <s v="University of Maryland College Park"/>
    <m/>
    <n v="163286"/>
    <x v="0"/>
    <s v="sem"/>
    <s v="sem"/>
    <n v="12014"/>
    <n v="11734"/>
    <n v="366609"/>
    <n v="365727"/>
    <n v="36525"/>
    <n v="34238"/>
    <n v="375427"/>
    <n v="375175"/>
    <n v="790575"/>
    <n v="26352.5"/>
    <n v="786874"/>
    <n v="26229.133333333335"/>
    <m/>
    <m/>
    <n v="0"/>
    <n v="0"/>
    <m/>
    <m/>
    <m/>
    <m/>
    <m/>
    <m/>
    <m/>
    <m/>
    <n v="0"/>
    <n v="0"/>
    <n v="0"/>
    <n v="0"/>
    <m/>
    <m/>
    <n v="0"/>
    <n v="0"/>
    <n v="2737"/>
    <n v="2567"/>
    <n v="69061"/>
    <n v="68887"/>
    <n v="11552"/>
    <n v="9211"/>
    <n v="75812"/>
    <n v="77037"/>
    <n v="159162"/>
    <n v="6631.75"/>
    <n v="157702"/>
    <n v="6570.916666666667"/>
    <n v="32984.25"/>
    <n v="32800.050000000003"/>
  </r>
  <r>
    <x v="7"/>
    <s v="Morgan State University"/>
    <m/>
    <n v="163453"/>
    <x v="1"/>
    <s v="sem"/>
    <s v="sem"/>
    <n v="1605"/>
    <n v="1740"/>
    <n v="85647"/>
    <n v="86889"/>
    <n v="7402"/>
    <n v="5268"/>
    <n v="91104"/>
    <n v="86064"/>
    <n v="185758"/>
    <n v="6191.9333333333334"/>
    <n v="179961"/>
    <n v="5998.7"/>
    <m/>
    <m/>
    <n v="0"/>
    <n v="0"/>
    <m/>
    <m/>
    <m/>
    <m/>
    <m/>
    <m/>
    <m/>
    <m/>
    <n v="0"/>
    <n v="0"/>
    <n v="0"/>
    <n v="0"/>
    <m/>
    <m/>
    <n v="0"/>
    <n v="0"/>
    <n v="0"/>
    <n v="20"/>
    <n v="10811"/>
    <n v="9870"/>
    <n v="987"/>
    <n v="846"/>
    <n v="10400"/>
    <n v="9568"/>
    <n v="22198"/>
    <n v="924.91666666666663"/>
    <n v="20304"/>
    <n v="846"/>
    <n v="7116.85"/>
    <n v="6844.7"/>
  </r>
  <r>
    <x v="7"/>
    <s v="University of Maryland, Baltimore County"/>
    <m/>
    <n v="163268"/>
    <x v="1"/>
    <s v="sem"/>
    <s v="sem"/>
    <n v="5052.5"/>
    <n v="5549"/>
    <n v="137076.5"/>
    <n v="140551"/>
    <n v="18224.5"/>
    <n v="19151.5"/>
    <n v="147568.5"/>
    <n v="150105"/>
    <n v="307922"/>
    <n v="10264.066666666668"/>
    <n v="315356.5"/>
    <n v="10511.883333333333"/>
    <m/>
    <m/>
    <n v="0"/>
    <n v="0"/>
    <m/>
    <m/>
    <m/>
    <m/>
    <m/>
    <m/>
    <m/>
    <m/>
    <n v="0"/>
    <n v="0"/>
    <n v="0"/>
    <n v="0"/>
    <m/>
    <m/>
    <n v="0"/>
    <n v="0"/>
    <n v="116"/>
    <n v="43"/>
    <n v="15328"/>
    <n v="15603"/>
    <n v="2998"/>
    <n v="2917"/>
    <n v="15972"/>
    <n v="16831"/>
    <n v="34414"/>
    <n v="1433.9166666666667"/>
    <n v="35394"/>
    <n v="1474.75"/>
    <n v="11697.983333333334"/>
    <n v="11986.633333333333"/>
  </r>
  <r>
    <x v="7"/>
    <s v="Towson University "/>
    <m/>
    <n v="164076"/>
    <x v="2"/>
    <s v="sem"/>
    <s v="sem"/>
    <n v="7039"/>
    <n v="7350"/>
    <n v="235082"/>
    <n v="239335"/>
    <n v="26279"/>
    <n v="26793"/>
    <n v="247841"/>
    <n v="259025"/>
    <n v="516241"/>
    <n v="17208.033333333333"/>
    <n v="532503"/>
    <n v="17750.099999999999"/>
    <m/>
    <m/>
    <n v="0"/>
    <n v="0"/>
    <m/>
    <m/>
    <m/>
    <m/>
    <m/>
    <m/>
    <m/>
    <m/>
    <n v="0"/>
    <n v="0"/>
    <n v="0"/>
    <n v="0"/>
    <m/>
    <m/>
    <n v="0"/>
    <n v="0"/>
    <n v="1310"/>
    <n v="1116"/>
    <n v="22968"/>
    <n v="21720.5"/>
    <n v="9348"/>
    <n v="8558"/>
    <n v="23222"/>
    <n v="22435"/>
    <n v="56848"/>
    <n v="2368.6666666666665"/>
    <n v="53829.5"/>
    <n v="2242.8958333333335"/>
    <n v="19576.7"/>
    <n v="19992.995833333331"/>
  </r>
  <r>
    <x v="7"/>
    <s v="Bowie State University "/>
    <m/>
    <n v="162007"/>
    <x v="3"/>
    <s v="sem"/>
    <s v="sem"/>
    <n v="1311"/>
    <n v="1157"/>
    <n v="54894"/>
    <n v="52275"/>
    <n v="5391"/>
    <n v="5849"/>
    <n v="56623"/>
    <n v="57791"/>
    <n v="118219"/>
    <n v="3940.6333333333332"/>
    <n v="117072"/>
    <n v="3902.4"/>
    <m/>
    <m/>
    <n v="0"/>
    <n v="0"/>
    <m/>
    <m/>
    <m/>
    <m/>
    <m/>
    <m/>
    <m/>
    <m/>
    <n v="0"/>
    <n v="0"/>
    <n v="0"/>
    <n v="0"/>
    <m/>
    <m/>
    <n v="0"/>
    <n v="0"/>
    <n v="159"/>
    <n v="171"/>
    <n v="7065"/>
    <n v="7271"/>
    <n v="1096"/>
    <n v="1139"/>
    <n v="7507"/>
    <n v="8179"/>
    <n v="15827"/>
    <n v="659.45833333333337"/>
    <n v="16760"/>
    <n v="698.33333333333337"/>
    <n v="4600.0916666666662"/>
    <n v="4600.7333333333336"/>
  </r>
  <r>
    <x v="7"/>
    <s v="Frostburg State University "/>
    <m/>
    <n v="162584"/>
    <x v="3"/>
    <s v="sem"/>
    <s v="sem"/>
    <n v="2314"/>
    <n v="2133.5"/>
    <n v="61273"/>
    <n v="60233"/>
    <n v="5228"/>
    <n v="5527"/>
    <n v="64609.5"/>
    <n v="64841.5"/>
    <n v="133424.5"/>
    <n v="4447.4833333333336"/>
    <n v="132735"/>
    <n v="4424.5"/>
    <m/>
    <m/>
    <n v="0"/>
    <n v="0"/>
    <m/>
    <m/>
    <m/>
    <m/>
    <m/>
    <m/>
    <m/>
    <m/>
    <n v="0"/>
    <n v="0"/>
    <n v="0"/>
    <n v="0"/>
    <m/>
    <m/>
    <n v="0"/>
    <n v="0"/>
    <n v="351"/>
    <n v="454"/>
    <n v="4320.5"/>
    <n v="4688.5"/>
    <n v="2555"/>
    <n v="2581"/>
    <n v="5184"/>
    <n v="4826"/>
    <n v="12410.5"/>
    <n v="517.10416666666663"/>
    <n v="12549.5"/>
    <n v="522.89583333333337"/>
    <n v="4964.5875000000005"/>
    <n v="4947.395833333333"/>
  </r>
  <r>
    <x v="7"/>
    <s v="Salisbury University "/>
    <m/>
    <n v="163851"/>
    <x v="3"/>
    <s v="sem"/>
    <s v="sem"/>
    <n v="6633"/>
    <n v="6562"/>
    <n v="109873"/>
    <n v="109825"/>
    <n v="6883"/>
    <n v="7334"/>
    <n v="114315"/>
    <n v="114866"/>
    <n v="237704"/>
    <n v="7923.4666666666662"/>
    <n v="238587"/>
    <n v="7952.9"/>
    <m/>
    <m/>
    <n v="0"/>
    <n v="0"/>
    <m/>
    <m/>
    <m/>
    <m/>
    <m/>
    <m/>
    <m/>
    <m/>
    <n v="0"/>
    <n v="0"/>
    <n v="0"/>
    <n v="0"/>
    <m/>
    <m/>
    <n v="0"/>
    <n v="0"/>
    <n v="393"/>
    <n v="402"/>
    <n v="4622"/>
    <n v="4470"/>
    <n v="1491"/>
    <n v="1262"/>
    <n v="4873"/>
    <n v="4467"/>
    <n v="11379"/>
    <n v="474.125"/>
    <n v="10601"/>
    <n v="441.70833333333331"/>
    <n v="8397.5916666666672"/>
    <n v="8394.6083333333336"/>
  </r>
  <r>
    <x v="7"/>
    <s v="University of Baltimore"/>
    <m/>
    <n v="161873"/>
    <x v="3"/>
    <s v="sem"/>
    <s v="sem"/>
    <n v="51"/>
    <n v="98"/>
    <n v="32983"/>
    <n v="33698"/>
    <n v="4313"/>
    <n v="4647"/>
    <n v="36346"/>
    <n v="37187"/>
    <n v="73693"/>
    <n v="2456.4333333333334"/>
    <n v="75630"/>
    <n v="2521"/>
    <m/>
    <m/>
    <n v="0"/>
    <n v="0"/>
    <m/>
    <m/>
    <m/>
    <m/>
    <m/>
    <m/>
    <m/>
    <m/>
    <n v="0"/>
    <n v="0"/>
    <n v="0"/>
    <n v="0"/>
    <m/>
    <m/>
    <n v="0"/>
    <n v="0"/>
    <n v="27"/>
    <n v="66"/>
    <n v="25069"/>
    <n v="24767"/>
    <n v="4576"/>
    <n v="4316"/>
    <n v="26178"/>
    <n v="25158"/>
    <n v="55850"/>
    <n v="2327.0833333333335"/>
    <n v="54307"/>
    <n v="2262.7916666666665"/>
    <n v="4783.5166666666664"/>
    <n v="4783.7916666666661"/>
  </r>
  <r>
    <x v="7"/>
    <s v="University of Maryland Eastern Shore "/>
    <m/>
    <n v="163338"/>
    <x v="3"/>
    <s v="sem"/>
    <s v="sem"/>
    <n v="1432.5"/>
    <n v="1329.5"/>
    <n v="50953"/>
    <n v="49996.5"/>
    <n v="4366"/>
    <n v="4028"/>
    <n v="53763"/>
    <n v="50662.5"/>
    <n v="110514.5"/>
    <n v="3683.8166666666666"/>
    <n v="106016.5"/>
    <n v="3533.8833333333332"/>
    <m/>
    <m/>
    <n v="0"/>
    <n v="0"/>
    <m/>
    <m/>
    <m/>
    <m/>
    <m/>
    <m/>
    <m/>
    <m/>
    <n v="0"/>
    <n v="0"/>
    <n v="0"/>
    <n v="0"/>
    <m/>
    <m/>
    <n v="0"/>
    <n v="0"/>
    <n v="341"/>
    <n v="326"/>
    <n v="6952"/>
    <n v="7690.5"/>
    <n v="1334"/>
    <n v="1281"/>
    <n v="7648.5"/>
    <n v="8128.5"/>
    <n v="16275.5"/>
    <n v="678.14583333333337"/>
    <n v="17426"/>
    <n v="726.08333333333337"/>
    <n v="4361.9624999999996"/>
    <n v="4259.9666666666662"/>
  </r>
  <r>
    <x v="7"/>
    <s v="Coppin State University"/>
    <s v="Met the criteria for Four-Year 4 in 2013-14."/>
    <n v="162283"/>
    <x v="4"/>
    <s v="sem"/>
    <s v="sem"/>
    <n v="431"/>
    <n v="542"/>
    <n v="38483"/>
    <n v="36739"/>
    <n v="5144"/>
    <n v="4527"/>
    <n v="41635"/>
    <n v="38863"/>
    <n v="85693"/>
    <n v="2856.4333333333334"/>
    <n v="80671"/>
    <n v="2689.0333333333333"/>
    <m/>
    <m/>
    <n v="0"/>
    <n v="0"/>
    <m/>
    <m/>
    <m/>
    <m/>
    <m/>
    <m/>
    <m/>
    <m/>
    <n v="0"/>
    <n v="0"/>
    <n v="0"/>
    <n v="0"/>
    <m/>
    <m/>
    <n v="0"/>
    <n v="0"/>
    <n v="56"/>
    <n v="87"/>
    <n v="3169"/>
    <n v="2983"/>
    <n v="335"/>
    <n v="517"/>
    <n v="2705"/>
    <n v="2689"/>
    <n v="6265"/>
    <n v="261.04166666666669"/>
    <n v="6276"/>
    <n v="261.5"/>
    <n v="3117.4749999999999"/>
    <n v="2950.5333333333333"/>
  </r>
  <r>
    <x v="7"/>
    <s v="Saint Mary's College of Maryland"/>
    <m/>
    <n v="163912"/>
    <x v="5"/>
    <s v="sem"/>
    <s v="sem"/>
    <m/>
    <n v="0"/>
    <n v="31178"/>
    <n v="27690"/>
    <n v="538"/>
    <n v="338"/>
    <n v="31951"/>
    <n v="27948"/>
    <n v="63667"/>
    <n v="2122.2333333333331"/>
    <n v="55976"/>
    <n v="1865.8666666666666"/>
    <m/>
    <m/>
    <n v="0"/>
    <n v="0"/>
    <m/>
    <m/>
    <m/>
    <m/>
    <m/>
    <m/>
    <m/>
    <m/>
    <n v="0"/>
    <n v="0"/>
    <n v="0"/>
    <n v="0"/>
    <m/>
    <m/>
    <n v="0"/>
    <n v="0"/>
    <m/>
    <n v="0"/>
    <n v="545"/>
    <n v="532"/>
    <n v="85"/>
    <n v="488"/>
    <n v="503"/>
    <n v="393"/>
    <n v="1133"/>
    <n v="47.208333333333336"/>
    <n v="1413"/>
    <n v="58.875"/>
    <n v="2169.4416666666666"/>
    <n v="1924.7416666666666"/>
  </r>
  <r>
    <x v="7"/>
    <s v="Anne Arundel Community College "/>
    <m/>
    <n v="161767"/>
    <x v="6"/>
    <s v="sem"/>
    <s v="sem"/>
    <n v="4135"/>
    <n v="3936"/>
    <n v="137168.5"/>
    <n v="130866"/>
    <n v="34122.5"/>
    <n v="30510.5"/>
    <n v="148857"/>
    <n v="138688"/>
    <n v="324283"/>
    <n v="10809.433333333332"/>
    <n v="304000.5"/>
    <n v="10133.35"/>
    <m/>
    <m/>
    <n v="0"/>
    <n v="0"/>
    <m/>
    <m/>
    <m/>
    <m/>
    <m/>
    <m/>
    <m/>
    <m/>
    <n v="0"/>
    <n v="0"/>
    <n v="0"/>
    <n v="0"/>
    <m/>
    <m/>
    <n v="0"/>
    <n v="0"/>
    <m/>
    <n v="0"/>
    <m/>
    <n v="0"/>
    <m/>
    <n v="0"/>
    <m/>
    <n v="0"/>
    <n v="0"/>
    <n v="0"/>
    <n v="0"/>
    <n v="0"/>
    <n v="10809.433333333332"/>
    <n v="10133.35"/>
  </r>
  <r>
    <x v="7"/>
    <s v="College of Southern Maryland"/>
    <m/>
    <n v="162122"/>
    <x v="6"/>
    <s v="sem"/>
    <s v="sem"/>
    <m/>
    <n v="789"/>
    <n v="74859"/>
    <n v="72505"/>
    <n v="16741"/>
    <n v="16427"/>
    <n v="80518"/>
    <n v="77346"/>
    <n v="172118"/>
    <n v="5737.2666666666664"/>
    <n v="167067"/>
    <n v="5568.9"/>
    <m/>
    <m/>
    <n v="0"/>
    <n v="0"/>
    <m/>
    <m/>
    <m/>
    <m/>
    <m/>
    <m/>
    <m/>
    <m/>
    <n v="0"/>
    <n v="0"/>
    <n v="0"/>
    <n v="0"/>
    <m/>
    <m/>
    <n v="0"/>
    <n v="0"/>
    <m/>
    <n v="0"/>
    <m/>
    <n v="0"/>
    <m/>
    <n v="0"/>
    <m/>
    <n v="0"/>
    <n v="0"/>
    <n v="0"/>
    <n v="0"/>
    <n v="0"/>
    <n v="5737.2666666666664"/>
    <n v="5568.9"/>
  </r>
  <r>
    <x v="7"/>
    <s v="Community College of Baltimore County (all campuses)"/>
    <m/>
    <n v="434672"/>
    <x v="6"/>
    <s v="sem"/>
    <s v="sem"/>
    <n v="11107"/>
    <n v="10274"/>
    <n v="198161"/>
    <n v="189005.5"/>
    <n v="40957.5"/>
    <n v="40920"/>
    <n v="217863.5"/>
    <n v="209872.5"/>
    <n v="468089"/>
    <n v="15602.966666666667"/>
    <n v="450072"/>
    <n v="15002.4"/>
    <m/>
    <m/>
    <n v="0"/>
    <n v="0"/>
    <m/>
    <m/>
    <m/>
    <m/>
    <m/>
    <m/>
    <m/>
    <m/>
    <n v="0"/>
    <n v="0"/>
    <n v="0"/>
    <n v="0"/>
    <m/>
    <m/>
    <n v="0"/>
    <n v="0"/>
    <m/>
    <n v="0"/>
    <m/>
    <n v="0"/>
    <m/>
    <n v="0"/>
    <m/>
    <n v="0"/>
    <n v="0"/>
    <n v="0"/>
    <n v="0"/>
    <n v="0"/>
    <n v="15602.966666666667"/>
    <n v="15002.4"/>
  </r>
  <r>
    <x v="7"/>
    <s v="Howard Community College "/>
    <m/>
    <n v="162779"/>
    <x v="6"/>
    <s v="sem"/>
    <s v="sem"/>
    <n v="6540"/>
    <n v="6220"/>
    <n v="79799"/>
    <n v="81678"/>
    <n v="19276"/>
    <n v="19026"/>
    <n v="88831"/>
    <n v="90266"/>
    <n v="194446"/>
    <n v="6481.5333333333338"/>
    <n v="197190"/>
    <n v="6573"/>
    <m/>
    <m/>
    <n v="0"/>
    <n v="0"/>
    <m/>
    <m/>
    <m/>
    <m/>
    <m/>
    <m/>
    <m/>
    <m/>
    <n v="0"/>
    <n v="0"/>
    <n v="0"/>
    <n v="0"/>
    <m/>
    <m/>
    <n v="0"/>
    <n v="0"/>
    <m/>
    <n v="0"/>
    <m/>
    <n v="0"/>
    <m/>
    <n v="0"/>
    <m/>
    <n v="0"/>
    <n v="0"/>
    <n v="0"/>
    <n v="0"/>
    <n v="0"/>
    <n v="6481.5333333333338"/>
    <n v="6573"/>
  </r>
  <r>
    <x v="7"/>
    <s v="Montgomery College (all campuses)"/>
    <m/>
    <n v="163426"/>
    <x v="6"/>
    <s v="sem"/>
    <s v="sem"/>
    <n v="4482"/>
    <n v="4505"/>
    <n v="302180.2"/>
    <n v="226075"/>
    <n v="163984.6"/>
    <n v="58152"/>
    <n v="315400.7"/>
    <n v="237005"/>
    <n v="786047.5"/>
    <n v="26201.583333333332"/>
    <n v="525737"/>
    <n v="17524.566666666666"/>
    <m/>
    <m/>
    <n v="0"/>
    <n v="0"/>
    <m/>
    <m/>
    <m/>
    <m/>
    <m/>
    <m/>
    <m/>
    <m/>
    <n v="0"/>
    <n v="0"/>
    <n v="0"/>
    <n v="0"/>
    <m/>
    <m/>
    <n v="0"/>
    <n v="0"/>
    <m/>
    <n v="0"/>
    <m/>
    <n v="0"/>
    <m/>
    <n v="0"/>
    <m/>
    <n v="0"/>
    <n v="0"/>
    <n v="0"/>
    <n v="0"/>
    <n v="0"/>
    <n v="26201.583333333332"/>
    <n v="17524.566666666666"/>
  </r>
  <r>
    <x v="7"/>
    <s v="Prince George's Community College "/>
    <m/>
    <n v="163657"/>
    <x v="6"/>
    <s v="sem"/>
    <s v="sem"/>
    <m/>
    <n v="0"/>
    <n v="165584"/>
    <n v="163079"/>
    <n v="52135"/>
    <n v="52655"/>
    <n v="161132"/>
    <n v="157883"/>
    <n v="378851"/>
    <n v="12628.366666666667"/>
    <n v="373617"/>
    <n v="12453.9"/>
    <m/>
    <m/>
    <n v="0"/>
    <n v="0"/>
    <m/>
    <m/>
    <m/>
    <m/>
    <m/>
    <m/>
    <m/>
    <m/>
    <n v="0"/>
    <n v="0"/>
    <n v="0"/>
    <n v="0"/>
    <m/>
    <m/>
    <n v="0"/>
    <n v="0"/>
    <m/>
    <n v="0"/>
    <m/>
    <n v="0"/>
    <m/>
    <n v="0"/>
    <m/>
    <n v="0"/>
    <n v="0"/>
    <n v="0"/>
    <n v="0"/>
    <n v="0"/>
    <n v="12628.366666666667"/>
    <n v="12453.9"/>
  </r>
  <r>
    <x v="7"/>
    <s v="Allegany College of Maryland"/>
    <m/>
    <n v="161688"/>
    <x v="7"/>
    <s v="sem"/>
    <s v="sem"/>
    <m/>
    <n v="0"/>
    <n v="34173"/>
    <n v="31488"/>
    <n v="5196"/>
    <n v="4469"/>
    <n v="36258"/>
    <n v="32736"/>
    <n v="75627"/>
    <n v="2520.9"/>
    <n v="68693"/>
    <n v="2289.7666666666669"/>
    <m/>
    <m/>
    <n v="0"/>
    <n v="0"/>
    <m/>
    <m/>
    <m/>
    <m/>
    <m/>
    <m/>
    <m/>
    <m/>
    <n v="0"/>
    <n v="0"/>
    <n v="0"/>
    <n v="0"/>
    <m/>
    <m/>
    <n v="0"/>
    <n v="0"/>
    <m/>
    <n v="0"/>
    <m/>
    <n v="0"/>
    <m/>
    <n v="0"/>
    <m/>
    <n v="0"/>
    <n v="0"/>
    <n v="0"/>
    <n v="0"/>
    <n v="0"/>
    <n v="2520.9"/>
    <n v="2289.7666666666669"/>
  </r>
  <r>
    <x v="7"/>
    <s v="Baltimore City Community College"/>
    <m/>
    <n v="161864"/>
    <x v="7"/>
    <s v="sem"/>
    <s v="sem"/>
    <n v="1619"/>
    <n v="1577"/>
    <n v="44922"/>
    <n v="48184"/>
    <n v="8584"/>
    <n v="9104"/>
    <n v="50293"/>
    <n v="48087"/>
    <n v="105418"/>
    <n v="3513.9333333333334"/>
    <n v="106952"/>
    <n v="3565.0666666666666"/>
    <m/>
    <m/>
    <n v="0"/>
    <n v="0"/>
    <m/>
    <m/>
    <m/>
    <m/>
    <m/>
    <m/>
    <m/>
    <m/>
    <n v="0"/>
    <n v="0"/>
    <n v="0"/>
    <n v="0"/>
    <m/>
    <m/>
    <n v="0"/>
    <n v="0"/>
    <m/>
    <n v="0"/>
    <m/>
    <n v="0"/>
    <m/>
    <n v="0"/>
    <m/>
    <n v="0"/>
    <n v="0"/>
    <n v="0"/>
    <n v="0"/>
    <n v="0"/>
    <n v="3513.9333333333334"/>
    <n v="3565.0666666666666"/>
  </r>
  <r>
    <x v="7"/>
    <s v="Carroll Community College"/>
    <m/>
    <n v="405872"/>
    <x v="7"/>
    <s v="sem"/>
    <s v="sem"/>
    <n v="2066.5"/>
    <n v="2165"/>
    <n v="33666"/>
    <n v="33416"/>
    <n v="9631.5"/>
    <n v="6118"/>
    <n v="38552"/>
    <n v="35484"/>
    <n v="83916"/>
    <n v="2797.2"/>
    <n v="77183"/>
    <n v="2572.7666666666669"/>
    <m/>
    <m/>
    <n v="0"/>
    <n v="0"/>
    <m/>
    <m/>
    <m/>
    <m/>
    <m/>
    <m/>
    <m/>
    <m/>
    <n v="0"/>
    <n v="0"/>
    <n v="0"/>
    <n v="0"/>
    <m/>
    <m/>
    <n v="0"/>
    <n v="0"/>
    <m/>
    <n v="0"/>
    <m/>
    <n v="0"/>
    <m/>
    <n v="0"/>
    <m/>
    <n v="0"/>
    <n v="0"/>
    <n v="0"/>
    <n v="0"/>
    <n v="0"/>
    <n v="2797.2"/>
    <n v="2572.7666666666669"/>
  </r>
  <r>
    <x v="7"/>
    <s v="Frederick Community College "/>
    <m/>
    <n v="162557"/>
    <x v="7"/>
    <s v="sem"/>
    <s v="sem"/>
    <n v="1892"/>
    <n v="1791"/>
    <n v="52773"/>
    <n v="55302"/>
    <n v="11702"/>
    <n v="8111"/>
    <n v="54083"/>
    <n v="54280"/>
    <n v="120450"/>
    <n v="4015"/>
    <n v="119484"/>
    <n v="3982.8"/>
    <m/>
    <m/>
    <n v="0"/>
    <n v="0"/>
    <m/>
    <m/>
    <m/>
    <m/>
    <m/>
    <m/>
    <m/>
    <m/>
    <n v="0"/>
    <n v="0"/>
    <n v="0"/>
    <n v="0"/>
    <m/>
    <m/>
    <n v="0"/>
    <n v="0"/>
    <m/>
    <n v="0"/>
    <m/>
    <n v="0"/>
    <m/>
    <n v="0"/>
    <m/>
    <n v="0"/>
    <n v="0"/>
    <n v="0"/>
    <n v="0"/>
    <n v="0"/>
    <n v="4015"/>
    <n v="3982.8"/>
  </r>
  <r>
    <x v="7"/>
    <s v="Hagerstown Community College "/>
    <m/>
    <n v="162690"/>
    <x v="7"/>
    <s v="sem"/>
    <s v="sem"/>
    <m/>
    <n v="0"/>
    <n v="40067"/>
    <n v="40377"/>
    <n v="12217"/>
    <n v="12355"/>
    <n v="43516"/>
    <n v="42043"/>
    <n v="95800"/>
    <n v="3193.3333333333335"/>
    <n v="94775"/>
    <n v="3159.1666666666665"/>
    <m/>
    <m/>
    <n v="0"/>
    <n v="0"/>
    <m/>
    <m/>
    <m/>
    <m/>
    <m/>
    <m/>
    <m/>
    <m/>
    <n v="0"/>
    <n v="0"/>
    <n v="0"/>
    <n v="0"/>
    <m/>
    <m/>
    <n v="0"/>
    <n v="0"/>
    <m/>
    <n v="0"/>
    <m/>
    <n v="0"/>
    <m/>
    <n v="0"/>
    <m/>
    <n v="0"/>
    <n v="0"/>
    <n v="0"/>
    <n v="0"/>
    <n v="0"/>
    <n v="3193.3333333333335"/>
    <n v="3159.1666666666665"/>
  </r>
  <r>
    <x v="7"/>
    <s v="Harford Community College "/>
    <m/>
    <n v="162706"/>
    <x v="7"/>
    <s v="sem"/>
    <s v="sem"/>
    <n v="2342"/>
    <n v="2300"/>
    <n v="56942"/>
    <n v="55039.5"/>
    <n v="12123"/>
    <n v="11900"/>
    <n v="64055.5"/>
    <n v="61796"/>
    <n v="135462.5"/>
    <n v="4515.416666666667"/>
    <n v="131035.5"/>
    <n v="4367.8500000000004"/>
    <m/>
    <m/>
    <n v="0"/>
    <n v="0"/>
    <m/>
    <m/>
    <m/>
    <m/>
    <m/>
    <m/>
    <m/>
    <m/>
    <n v="0"/>
    <n v="0"/>
    <n v="0"/>
    <n v="0"/>
    <m/>
    <m/>
    <n v="0"/>
    <n v="0"/>
    <m/>
    <n v="0"/>
    <m/>
    <n v="0"/>
    <m/>
    <n v="0"/>
    <m/>
    <n v="0"/>
    <n v="0"/>
    <n v="0"/>
    <n v="0"/>
    <n v="0"/>
    <n v="4515.416666666667"/>
    <n v="4367.8500000000004"/>
  </r>
  <r>
    <x v="7"/>
    <s v="Wor-Wic Community College "/>
    <m/>
    <n v="164313"/>
    <x v="7"/>
    <s v="sem"/>
    <s v="sem"/>
    <m/>
    <n v="0"/>
    <n v="31440"/>
    <n v="27327.5"/>
    <n v="6593"/>
    <n v="6549"/>
    <n v="33457.5"/>
    <n v="30520.5"/>
    <n v="71490.5"/>
    <n v="2383.0166666666669"/>
    <n v="64397"/>
    <n v="2146.5666666666666"/>
    <m/>
    <m/>
    <n v="0"/>
    <n v="0"/>
    <m/>
    <m/>
    <m/>
    <m/>
    <m/>
    <m/>
    <m/>
    <m/>
    <n v="0"/>
    <n v="0"/>
    <n v="0"/>
    <n v="0"/>
    <m/>
    <m/>
    <n v="0"/>
    <n v="0"/>
    <m/>
    <n v="0"/>
    <m/>
    <n v="0"/>
    <m/>
    <n v="0"/>
    <m/>
    <n v="0"/>
    <n v="0"/>
    <n v="0"/>
    <n v="0"/>
    <n v="0"/>
    <n v="2383.0166666666669"/>
    <n v="2146.5666666666666"/>
  </r>
  <r>
    <x v="7"/>
    <s v="Cecil Community College "/>
    <m/>
    <n v="162104"/>
    <x v="8"/>
    <s v="sem"/>
    <s v="sem"/>
    <m/>
    <n v="0"/>
    <n v="21772"/>
    <n v="21953.5"/>
    <n v="3982"/>
    <n v="3578"/>
    <n v="25100"/>
    <n v="23755"/>
    <n v="50854"/>
    <n v="1695.1333333333334"/>
    <n v="49286.5"/>
    <n v="1642.8833333333334"/>
    <m/>
    <m/>
    <n v="0"/>
    <n v="0"/>
    <m/>
    <m/>
    <m/>
    <m/>
    <m/>
    <m/>
    <m/>
    <m/>
    <n v="0"/>
    <n v="0"/>
    <n v="0"/>
    <n v="0"/>
    <m/>
    <m/>
    <n v="0"/>
    <n v="0"/>
    <m/>
    <n v="0"/>
    <m/>
    <n v="0"/>
    <m/>
    <n v="0"/>
    <m/>
    <n v="0"/>
    <n v="0"/>
    <n v="0"/>
    <n v="0"/>
    <n v="0"/>
    <n v="1695.1333333333334"/>
    <n v="1642.8833333333334"/>
  </r>
  <r>
    <x v="7"/>
    <s v="Chesapeake College "/>
    <m/>
    <n v="162168"/>
    <x v="8"/>
    <s v="sem"/>
    <s v="sem"/>
    <m/>
    <n v="0"/>
    <n v="23661"/>
    <n v="20307"/>
    <n v="2911"/>
    <n v="2704"/>
    <n v="23263"/>
    <n v="22231"/>
    <n v="49835"/>
    <n v="1661.1666666666667"/>
    <n v="45242"/>
    <n v="1508.0666666666666"/>
    <m/>
    <m/>
    <n v="0"/>
    <n v="0"/>
    <m/>
    <m/>
    <m/>
    <m/>
    <m/>
    <m/>
    <m/>
    <m/>
    <n v="0"/>
    <n v="0"/>
    <n v="0"/>
    <n v="0"/>
    <m/>
    <m/>
    <n v="0"/>
    <n v="0"/>
    <m/>
    <n v="0"/>
    <m/>
    <n v="0"/>
    <m/>
    <n v="0"/>
    <m/>
    <n v="0"/>
    <n v="0"/>
    <n v="0"/>
    <n v="0"/>
    <n v="0"/>
    <n v="1661.1666666666667"/>
    <n v="1508.0666666666666"/>
  </r>
  <r>
    <x v="7"/>
    <s v="Garrett College "/>
    <m/>
    <n v="162609"/>
    <x v="8"/>
    <s v="sem"/>
    <s v="sem"/>
    <n v="138"/>
    <n v="81"/>
    <n v="10167"/>
    <n v="9013"/>
    <n v="617"/>
    <n v="596"/>
    <n v="10956"/>
    <n v="9812"/>
    <n v="21878"/>
    <n v="729.26666666666665"/>
    <n v="19502"/>
    <n v="650.06666666666672"/>
    <m/>
    <m/>
    <n v="0"/>
    <n v="0"/>
    <m/>
    <m/>
    <m/>
    <m/>
    <m/>
    <m/>
    <m/>
    <m/>
    <n v="0"/>
    <n v="0"/>
    <n v="0"/>
    <n v="0"/>
    <m/>
    <m/>
    <n v="0"/>
    <n v="0"/>
    <m/>
    <n v="0"/>
    <m/>
    <n v="0"/>
    <m/>
    <n v="0"/>
    <m/>
    <n v="0"/>
    <n v="0"/>
    <n v="0"/>
    <n v="0"/>
    <n v="0"/>
    <n v="729.26666666666665"/>
    <n v="650.06666666666672"/>
  </r>
  <r>
    <x v="8"/>
    <s v="Mississippi State University"/>
    <m/>
    <n v="176080"/>
    <x v="0"/>
    <s v="sem"/>
    <m/>
    <m/>
    <m/>
    <n v="196347"/>
    <n v="195541"/>
    <n v="36323"/>
    <n v="32796"/>
    <n v="216576"/>
    <n v="218812"/>
    <n v="449246"/>
    <n v="14974.866666666667"/>
    <n v="447149"/>
    <n v="14904.966666666667"/>
    <m/>
    <m/>
    <n v="0"/>
    <n v="0"/>
    <m/>
    <m/>
    <m/>
    <m/>
    <m/>
    <m/>
    <m/>
    <m/>
    <n v="0"/>
    <n v="0"/>
    <n v="0"/>
    <n v="0"/>
    <m/>
    <m/>
    <n v="0"/>
    <n v="0"/>
    <m/>
    <m/>
    <n v="24919"/>
    <n v="23516"/>
    <n v="12620"/>
    <n v="11552"/>
    <n v="24917"/>
    <n v="23425"/>
    <n v="62456"/>
    <n v="2602.3333333333335"/>
    <n v="58493"/>
    <n v="2437.2083333333335"/>
    <n v="17577.2"/>
    <n v="17342.174999999999"/>
  </r>
  <r>
    <x v="8"/>
    <s v="University of Southern Mississippi"/>
    <m/>
    <n v="176372"/>
    <x v="0"/>
    <s v="sem"/>
    <m/>
    <m/>
    <m/>
    <n v="150178"/>
    <n v="160644"/>
    <n v="30038"/>
    <n v="29078"/>
    <n v="170608"/>
    <n v="174255"/>
    <n v="350824"/>
    <n v="11694.133333333333"/>
    <n v="363977"/>
    <n v="12132.566666666668"/>
    <m/>
    <m/>
    <n v="0"/>
    <n v="0"/>
    <m/>
    <m/>
    <m/>
    <m/>
    <m/>
    <m/>
    <m/>
    <m/>
    <n v="0"/>
    <n v="0"/>
    <n v="0"/>
    <n v="0"/>
    <m/>
    <m/>
    <n v="0"/>
    <n v="0"/>
    <m/>
    <m/>
    <n v="21686"/>
    <n v="20955"/>
    <n v="11229"/>
    <n v="11220"/>
    <n v="21913"/>
    <n v="23386"/>
    <n v="54828"/>
    <n v="2284.5"/>
    <n v="55561"/>
    <n v="2315.0416666666665"/>
    <n v="13978.633333333333"/>
    <n v="14447.608333333334"/>
  </r>
  <r>
    <x v="8"/>
    <s v="Jackson State University "/>
    <m/>
    <n v="175856"/>
    <x v="1"/>
    <s v="sem"/>
    <m/>
    <m/>
    <m/>
    <n v="75959.5"/>
    <n v="73905"/>
    <n v="13757"/>
    <n v="12104"/>
    <n v="75741"/>
    <n v="78361"/>
    <n v="165457.5"/>
    <n v="5515.25"/>
    <n v="164370"/>
    <n v="5479"/>
    <m/>
    <m/>
    <n v="0"/>
    <n v="0"/>
    <m/>
    <m/>
    <m/>
    <m/>
    <m/>
    <m/>
    <m/>
    <m/>
    <n v="0"/>
    <n v="0"/>
    <n v="0"/>
    <n v="0"/>
    <m/>
    <m/>
    <n v="0"/>
    <n v="0"/>
    <m/>
    <m/>
    <n v="13819.5"/>
    <n v="13982"/>
    <n v="5530.5"/>
    <n v="4814"/>
    <n v="14254"/>
    <n v="14907"/>
    <n v="33604"/>
    <n v="1400.1666666666667"/>
    <n v="33703"/>
    <n v="1404.2916666666667"/>
    <n v="6915.416666666667"/>
    <n v="6883.291666666667"/>
  </r>
  <r>
    <x v="8"/>
    <s v="University of Mississippi"/>
    <m/>
    <n v="176017"/>
    <x v="1"/>
    <s v="sem"/>
    <m/>
    <m/>
    <m/>
    <n v="202880"/>
    <n v="206851"/>
    <n v="43436"/>
    <n v="40669"/>
    <n v="216740"/>
    <n v="224583"/>
    <n v="463056"/>
    <n v="15435.2"/>
    <n v="472103"/>
    <n v="15736.766666666666"/>
    <m/>
    <m/>
    <n v="0"/>
    <n v="0"/>
    <m/>
    <m/>
    <m/>
    <m/>
    <m/>
    <m/>
    <m/>
    <m/>
    <n v="0"/>
    <n v="0"/>
    <n v="0"/>
    <n v="0"/>
    <m/>
    <m/>
    <n v="0"/>
    <n v="0"/>
    <m/>
    <m/>
    <n v="24706"/>
    <n v="27746"/>
    <n v="9335"/>
    <n v="10107"/>
    <n v="24013"/>
    <n v="27276"/>
    <n v="58054"/>
    <n v="2418.9166666666665"/>
    <n v="65129"/>
    <n v="2713.7083333333335"/>
    <n v="17854.116666666669"/>
    <n v="18450.474999999999"/>
  </r>
  <r>
    <x v="8"/>
    <s v="Alcorn State University"/>
    <m/>
    <n v="175342"/>
    <x v="3"/>
    <s v="sem"/>
    <m/>
    <m/>
    <m/>
    <n v="39157"/>
    <n v="38769"/>
    <n v="8426"/>
    <n v="6567"/>
    <n v="42493"/>
    <n v="40951"/>
    <n v="90076"/>
    <n v="3002.5333333333333"/>
    <n v="86287"/>
    <n v="2876.2333333333331"/>
    <m/>
    <m/>
    <n v="0"/>
    <n v="0"/>
    <m/>
    <m/>
    <m/>
    <m/>
    <m/>
    <m/>
    <m/>
    <m/>
    <n v="0"/>
    <n v="0"/>
    <n v="0"/>
    <n v="0"/>
    <m/>
    <m/>
    <n v="0"/>
    <n v="0"/>
    <m/>
    <m/>
    <n v="4792"/>
    <n v="4614"/>
    <n v="1993"/>
    <n v="1408"/>
    <n v="5133"/>
    <n v="4452"/>
    <n v="11918"/>
    <n v="496.58333333333331"/>
    <n v="10474"/>
    <n v="436.41666666666669"/>
    <n v="3499.1166666666668"/>
    <n v="3312.6499999999996"/>
  </r>
  <r>
    <x v="8"/>
    <s v="Delta State University"/>
    <m/>
    <n v="175616"/>
    <x v="3"/>
    <s v="sem"/>
    <m/>
    <m/>
    <m/>
    <n v="32117"/>
    <n v="29971"/>
    <n v="5632"/>
    <n v="4600"/>
    <n v="33378"/>
    <n v="33137"/>
    <n v="71127"/>
    <n v="2370.9"/>
    <n v="67708"/>
    <n v="2256.9333333333334"/>
    <m/>
    <m/>
    <n v="0"/>
    <n v="0"/>
    <m/>
    <m/>
    <m/>
    <m/>
    <m/>
    <m/>
    <m/>
    <m/>
    <n v="0"/>
    <n v="0"/>
    <n v="0"/>
    <n v="0"/>
    <m/>
    <m/>
    <n v="0"/>
    <n v="0"/>
    <m/>
    <m/>
    <n v="5212"/>
    <n v="5627"/>
    <n v="8143"/>
    <n v="9187"/>
    <n v="15237"/>
    <n v="16468"/>
    <n v="28592"/>
    <n v="1191.3333333333333"/>
    <n v="31282"/>
    <n v="1303.4166666666667"/>
    <n v="3562.2333333333336"/>
    <n v="3560.3500000000004"/>
  </r>
  <r>
    <x v="8"/>
    <s v="Mississippi Valley State University"/>
    <m/>
    <n v="176044"/>
    <x v="3"/>
    <s v="sem"/>
    <m/>
    <m/>
    <m/>
    <n v="25107"/>
    <n v="24094"/>
    <n v="5353"/>
    <n v="5855"/>
    <n v="25041"/>
    <n v="25221"/>
    <n v="55501"/>
    <n v="1850.0333333333333"/>
    <n v="55170"/>
    <n v="1839"/>
    <m/>
    <m/>
    <n v="0"/>
    <n v="0"/>
    <m/>
    <m/>
    <m/>
    <m/>
    <m/>
    <m/>
    <m/>
    <m/>
    <n v="0"/>
    <n v="0"/>
    <n v="0"/>
    <n v="0"/>
    <m/>
    <m/>
    <n v="0"/>
    <n v="0"/>
    <m/>
    <m/>
    <n v="2487"/>
    <n v="2142"/>
    <n v="327"/>
    <n v="465"/>
    <n v="2121"/>
    <n v="1950"/>
    <n v="4935"/>
    <n v="205.625"/>
    <n v="4557"/>
    <n v="189.875"/>
    <n v="2055.6583333333333"/>
    <n v="2028.875"/>
  </r>
  <r>
    <x v="8"/>
    <s v="Mississippi University for Women"/>
    <m/>
    <n v="176035"/>
    <x v="4"/>
    <s v="sem"/>
    <m/>
    <m/>
    <m/>
    <n v="28031"/>
    <n v="29570"/>
    <n v="9827"/>
    <n v="8684"/>
    <n v="30461"/>
    <n v="29825"/>
    <n v="68319"/>
    <n v="2277.3000000000002"/>
    <n v="68079"/>
    <n v="2269.3000000000002"/>
    <m/>
    <m/>
    <n v="0"/>
    <n v="0"/>
    <m/>
    <m/>
    <m/>
    <m/>
    <m/>
    <m/>
    <m/>
    <m/>
    <n v="0"/>
    <n v="0"/>
    <n v="0"/>
    <n v="0"/>
    <m/>
    <m/>
    <n v="0"/>
    <n v="0"/>
    <m/>
    <m/>
    <n v="1462"/>
    <n v="1323"/>
    <n v="1155"/>
    <n v="1164"/>
    <n v="1277"/>
    <n v="1704"/>
    <n v="3894"/>
    <n v="162.25"/>
    <n v="4191"/>
    <n v="174.625"/>
    <n v="2439.5500000000002"/>
    <n v="2443.9250000000002"/>
  </r>
  <r>
    <x v="8"/>
    <s v="Hinds Community College "/>
    <m/>
    <n v="175786"/>
    <x v="6"/>
    <s v="sem"/>
    <s v="sem"/>
    <m/>
    <m/>
    <n v="129154"/>
    <n v="124373"/>
    <n v="24987"/>
    <n v="23076"/>
    <n v="143099"/>
    <n v="143579"/>
    <n v="297240"/>
    <n v="9908"/>
    <n v="291028"/>
    <n v="9700.9333333333325"/>
    <n v="6396"/>
    <n v="8787"/>
    <n v="297240"/>
    <n v="291028"/>
    <m/>
    <m/>
    <m/>
    <m/>
    <m/>
    <m/>
    <m/>
    <m/>
    <n v="0"/>
    <n v="0"/>
    <n v="0"/>
    <n v="0"/>
    <m/>
    <m/>
    <n v="0"/>
    <n v="0"/>
    <m/>
    <m/>
    <m/>
    <m/>
    <m/>
    <m/>
    <m/>
    <m/>
    <n v="0"/>
    <n v="0"/>
    <n v="0"/>
    <n v="0"/>
    <n v="9908"/>
    <n v="9700.9333333333325"/>
  </r>
  <r>
    <x v="8"/>
    <s v="Itawamba Community College "/>
    <m/>
    <n v="175829"/>
    <x v="6"/>
    <s v="sem"/>
    <s v="sem"/>
    <m/>
    <m/>
    <n v="77365"/>
    <n v="68038"/>
    <n v="10862"/>
    <n v="8609"/>
    <n v="78218"/>
    <n v="75201"/>
    <n v="166445"/>
    <n v="5548.166666666667"/>
    <n v="151848"/>
    <n v="5061.6000000000004"/>
    <n v="1187"/>
    <n v="1508"/>
    <n v="166445"/>
    <n v="151848"/>
    <m/>
    <m/>
    <m/>
    <m/>
    <m/>
    <m/>
    <m/>
    <m/>
    <n v="0"/>
    <n v="0"/>
    <n v="0"/>
    <n v="0"/>
    <m/>
    <m/>
    <n v="0"/>
    <n v="0"/>
    <m/>
    <m/>
    <m/>
    <m/>
    <m/>
    <m/>
    <m/>
    <m/>
    <n v="0"/>
    <n v="0"/>
    <n v="0"/>
    <n v="0"/>
    <n v="5548.166666666667"/>
    <n v="5061.6000000000004"/>
  </r>
  <r>
    <x v="8"/>
    <s v="Mississippi Gulf Coast Community College "/>
    <m/>
    <n v="176071"/>
    <x v="6"/>
    <s v="sem"/>
    <s v="sem"/>
    <n v="231"/>
    <n v="321"/>
    <n v="109179"/>
    <n v="104386"/>
    <n v="24710"/>
    <n v="22591"/>
    <n v="118537"/>
    <n v="119819"/>
    <n v="252657"/>
    <n v="8421.9"/>
    <n v="247117"/>
    <n v="8237.2333333333336"/>
    <n v="2157"/>
    <n v="2754"/>
    <n v="252657"/>
    <n v="247117"/>
    <m/>
    <m/>
    <m/>
    <m/>
    <m/>
    <m/>
    <m/>
    <m/>
    <n v="0"/>
    <n v="0"/>
    <n v="0"/>
    <n v="0"/>
    <m/>
    <m/>
    <n v="0"/>
    <n v="0"/>
    <m/>
    <m/>
    <m/>
    <m/>
    <m/>
    <m/>
    <m/>
    <m/>
    <n v="0"/>
    <n v="0"/>
    <n v="0"/>
    <n v="0"/>
    <n v="8421.9"/>
    <n v="8237.2333333333336"/>
  </r>
  <r>
    <x v="8"/>
    <s v="Northwest Mississippi Community College "/>
    <m/>
    <n v="176178"/>
    <x v="6"/>
    <s v="sem"/>
    <s v="sem"/>
    <m/>
    <m/>
    <n v="92151"/>
    <n v="87255"/>
    <n v="16932"/>
    <n v="15502"/>
    <n v="96143"/>
    <n v="85751"/>
    <n v="205226"/>
    <n v="6840.8666666666668"/>
    <n v="188508"/>
    <n v="6283.6"/>
    <n v="1327"/>
    <n v="1727"/>
    <n v="205226"/>
    <n v="188508"/>
    <m/>
    <m/>
    <m/>
    <m/>
    <m/>
    <m/>
    <m/>
    <m/>
    <n v="0"/>
    <n v="0"/>
    <n v="0"/>
    <n v="0"/>
    <m/>
    <m/>
    <n v="0"/>
    <n v="0"/>
    <m/>
    <m/>
    <m/>
    <m/>
    <m/>
    <m/>
    <m/>
    <m/>
    <n v="0"/>
    <n v="0"/>
    <n v="0"/>
    <n v="0"/>
    <n v="6840.8666666666668"/>
    <n v="6283.6"/>
  </r>
  <r>
    <x v="8"/>
    <s v="Copiah-Lincoln Community College "/>
    <m/>
    <n v="175573"/>
    <x v="7"/>
    <s v="sem"/>
    <s v="sem"/>
    <m/>
    <m/>
    <n v="39502"/>
    <n v="37195"/>
    <n v="6859"/>
    <n v="6714"/>
    <n v="41919"/>
    <n v="38918"/>
    <n v="88280"/>
    <n v="2942.6666666666665"/>
    <n v="82827"/>
    <n v="2760.9"/>
    <n v="420"/>
    <n v="2437"/>
    <n v="88280"/>
    <n v="82827"/>
    <m/>
    <m/>
    <m/>
    <m/>
    <m/>
    <m/>
    <m/>
    <m/>
    <n v="0"/>
    <n v="0"/>
    <n v="0"/>
    <n v="0"/>
    <m/>
    <m/>
    <n v="0"/>
    <n v="0"/>
    <m/>
    <m/>
    <m/>
    <m/>
    <m/>
    <m/>
    <m/>
    <m/>
    <n v="0"/>
    <n v="0"/>
    <n v="0"/>
    <n v="0"/>
    <n v="2942.6666666666665"/>
    <n v="2760.9"/>
  </r>
  <r>
    <x v="8"/>
    <s v="East Central Community College "/>
    <m/>
    <n v="175643"/>
    <x v="7"/>
    <s v="sem"/>
    <s v="sem"/>
    <m/>
    <m/>
    <n v="29552"/>
    <n v="27838"/>
    <n v="6374"/>
    <n v="4634"/>
    <n v="32007"/>
    <n v="31802"/>
    <n v="67933"/>
    <n v="2264.4333333333334"/>
    <n v="64274"/>
    <n v="2142.4666666666667"/>
    <n v="1251"/>
    <n v="1475"/>
    <n v="67933"/>
    <n v="64274"/>
    <m/>
    <m/>
    <m/>
    <m/>
    <m/>
    <m/>
    <m/>
    <m/>
    <n v="0"/>
    <n v="0"/>
    <n v="0"/>
    <n v="0"/>
    <m/>
    <m/>
    <n v="0"/>
    <n v="0"/>
    <m/>
    <m/>
    <m/>
    <m/>
    <m/>
    <m/>
    <m/>
    <m/>
    <n v="0"/>
    <n v="0"/>
    <n v="0"/>
    <n v="0"/>
    <n v="2264.4333333333334"/>
    <n v="2142.4666666666667"/>
  </r>
  <r>
    <x v="8"/>
    <s v="East Mississippi Community College "/>
    <m/>
    <n v="175652"/>
    <x v="7"/>
    <s v="sem"/>
    <s v="sem"/>
    <m/>
    <m/>
    <n v="50856"/>
    <n v="50935"/>
    <n v="13061"/>
    <n v="12174"/>
    <n v="56450"/>
    <n v="54956"/>
    <n v="120367"/>
    <n v="4012.2333333333331"/>
    <n v="118065"/>
    <n v="3935.5"/>
    <n v="1426"/>
    <n v="1539"/>
    <n v="120367"/>
    <n v="118065"/>
    <m/>
    <m/>
    <m/>
    <m/>
    <m/>
    <m/>
    <m/>
    <m/>
    <n v="0"/>
    <n v="0"/>
    <n v="0"/>
    <n v="0"/>
    <m/>
    <m/>
    <n v="0"/>
    <n v="0"/>
    <m/>
    <m/>
    <m/>
    <m/>
    <m/>
    <m/>
    <m/>
    <m/>
    <n v="0"/>
    <n v="0"/>
    <n v="0"/>
    <n v="0"/>
    <n v="4012.2333333333331"/>
    <n v="3935.5"/>
  </r>
  <r>
    <x v="8"/>
    <s v="Holmes Community College "/>
    <s v="Met criteria for Two-Year 1 in 2012-13 and 2013-14."/>
    <n v="175810"/>
    <x v="7"/>
    <s v="sem"/>
    <s v="sem"/>
    <m/>
    <m/>
    <n v="65335"/>
    <n v="65102"/>
    <n v="16641"/>
    <n v="15814"/>
    <n v="74724"/>
    <n v="70441"/>
    <n v="156700"/>
    <n v="5223.333333333333"/>
    <n v="151357"/>
    <n v="5045.2333333333336"/>
    <n v="1619"/>
    <n v="1892"/>
    <n v="156700"/>
    <n v="151357"/>
    <m/>
    <m/>
    <m/>
    <m/>
    <m/>
    <m/>
    <m/>
    <m/>
    <n v="0"/>
    <n v="0"/>
    <n v="0"/>
    <n v="0"/>
    <m/>
    <m/>
    <n v="0"/>
    <n v="0"/>
    <m/>
    <m/>
    <m/>
    <m/>
    <m/>
    <m/>
    <m/>
    <m/>
    <n v="0"/>
    <n v="0"/>
    <n v="0"/>
    <n v="0"/>
    <n v="5223.333333333333"/>
    <n v="5045.2333333333336"/>
  </r>
  <r>
    <x v="8"/>
    <s v="Jones County Junior College "/>
    <m/>
    <n v="175883"/>
    <x v="7"/>
    <s v="sem"/>
    <s v="sem"/>
    <m/>
    <m/>
    <n v="51242"/>
    <n v="50117"/>
    <n v="10469"/>
    <n v="10557"/>
    <n v="56224"/>
    <n v="60756"/>
    <n v="117935"/>
    <n v="3931.1666666666665"/>
    <n v="121430"/>
    <n v="4047.6666666666665"/>
    <n v="1729"/>
    <n v="2608"/>
    <n v="117935"/>
    <n v="121430"/>
    <m/>
    <m/>
    <m/>
    <m/>
    <m/>
    <m/>
    <m/>
    <m/>
    <n v="0"/>
    <n v="0"/>
    <n v="0"/>
    <n v="0"/>
    <m/>
    <m/>
    <n v="0"/>
    <n v="0"/>
    <m/>
    <m/>
    <m/>
    <m/>
    <m/>
    <m/>
    <m/>
    <m/>
    <n v="0"/>
    <n v="0"/>
    <n v="0"/>
    <n v="0"/>
    <n v="3931.1666666666665"/>
    <n v="4047.6666666666665"/>
  </r>
  <r>
    <x v="8"/>
    <s v="Meridian Community College "/>
    <m/>
    <n v="175935"/>
    <x v="7"/>
    <s v="sem"/>
    <s v="sem"/>
    <m/>
    <m/>
    <n v="43057.5"/>
    <n v="39695"/>
    <n v="7573"/>
    <n v="6673"/>
    <n v="45047.5"/>
    <n v="42458"/>
    <n v="95678"/>
    <n v="3189.2666666666669"/>
    <n v="88826"/>
    <n v="2960.8666666666668"/>
    <n v="663"/>
    <n v="821"/>
    <n v="95678"/>
    <n v="88826"/>
    <m/>
    <m/>
    <m/>
    <m/>
    <m/>
    <m/>
    <m/>
    <m/>
    <n v="0"/>
    <n v="0"/>
    <n v="0"/>
    <n v="0"/>
    <m/>
    <m/>
    <n v="0"/>
    <n v="0"/>
    <m/>
    <m/>
    <m/>
    <m/>
    <m/>
    <m/>
    <m/>
    <m/>
    <n v="0"/>
    <n v="0"/>
    <n v="0"/>
    <n v="0"/>
    <n v="3189.2666666666669"/>
    <n v="2960.8666666666668"/>
  </r>
  <r>
    <x v="8"/>
    <s v="Mississippi Delta Community College "/>
    <m/>
    <n v="176008"/>
    <x v="7"/>
    <s v="sem"/>
    <s v="sem"/>
    <m/>
    <m/>
    <n v="38237"/>
    <n v="35602"/>
    <n v="6047"/>
    <n v="5019"/>
    <n v="38367"/>
    <n v="37699"/>
    <n v="82651"/>
    <n v="2755.0333333333333"/>
    <n v="78320"/>
    <n v="2610.6666666666665"/>
    <n v="1394"/>
    <n v="1127"/>
    <n v="82651"/>
    <n v="78320"/>
    <m/>
    <m/>
    <m/>
    <m/>
    <m/>
    <m/>
    <m/>
    <m/>
    <n v="0"/>
    <n v="0"/>
    <n v="0"/>
    <n v="0"/>
    <m/>
    <m/>
    <n v="0"/>
    <n v="0"/>
    <m/>
    <m/>
    <m/>
    <m/>
    <m/>
    <m/>
    <m/>
    <m/>
    <n v="0"/>
    <n v="0"/>
    <n v="0"/>
    <n v="0"/>
    <n v="2755.0333333333333"/>
    <n v="2610.6666666666665"/>
  </r>
  <r>
    <x v="8"/>
    <s v="Northeast Mississippi Community College "/>
    <m/>
    <n v="176169"/>
    <x v="7"/>
    <s v="sem"/>
    <s v="sem"/>
    <m/>
    <m/>
    <n v="42980"/>
    <n v="39416"/>
    <n v="4311"/>
    <n v="3638"/>
    <n v="44847"/>
    <n v="42213"/>
    <n v="92138"/>
    <n v="3071.2666666666669"/>
    <n v="85267"/>
    <n v="2842.2333333333331"/>
    <n v="954"/>
    <n v="665"/>
    <n v="92138"/>
    <n v="85267"/>
    <m/>
    <m/>
    <m/>
    <m/>
    <m/>
    <m/>
    <m/>
    <m/>
    <n v="0"/>
    <n v="0"/>
    <n v="0"/>
    <n v="0"/>
    <m/>
    <m/>
    <n v="0"/>
    <n v="0"/>
    <m/>
    <m/>
    <m/>
    <m/>
    <m/>
    <m/>
    <m/>
    <m/>
    <n v="0"/>
    <n v="0"/>
    <n v="0"/>
    <n v="0"/>
    <n v="3071.2666666666669"/>
    <n v="2842.2333333333331"/>
  </r>
  <r>
    <x v="8"/>
    <s v="Pearl River Community College "/>
    <m/>
    <n v="176239"/>
    <x v="7"/>
    <s v="sem"/>
    <s v="sem"/>
    <m/>
    <m/>
    <n v="53088"/>
    <n v="49974"/>
    <n v="9651"/>
    <n v="8844"/>
    <n v="55101"/>
    <n v="53674"/>
    <n v="117840"/>
    <n v="3928"/>
    <n v="112492"/>
    <n v="3749.7333333333331"/>
    <n v="1146"/>
    <n v="1871"/>
    <n v="117840"/>
    <n v="112492"/>
    <m/>
    <m/>
    <m/>
    <m/>
    <m/>
    <m/>
    <m/>
    <m/>
    <n v="0"/>
    <n v="0"/>
    <n v="0"/>
    <n v="0"/>
    <m/>
    <m/>
    <n v="0"/>
    <n v="0"/>
    <m/>
    <m/>
    <m/>
    <m/>
    <m/>
    <m/>
    <m/>
    <m/>
    <n v="0"/>
    <n v="0"/>
    <n v="0"/>
    <n v="0"/>
    <n v="3928"/>
    <n v="3749.7333333333331"/>
  </r>
  <r>
    <x v="8"/>
    <s v="Coahoma Community College "/>
    <m/>
    <n v="175519"/>
    <x v="8"/>
    <s v="sem"/>
    <s v="sem"/>
    <m/>
    <m/>
    <n v="27350"/>
    <n v="23742"/>
    <n v="2322"/>
    <n v="1925"/>
    <n v="27665"/>
    <n v="19015"/>
    <n v="57337"/>
    <n v="1911.2333333333333"/>
    <n v="44682"/>
    <n v="1489.4"/>
    <n v="552"/>
    <n v="696"/>
    <n v="57337"/>
    <n v="44682"/>
    <m/>
    <m/>
    <m/>
    <m/>
    <m/>
    <m/>
    <m/>
    <m/>
    <n v="0"/>
    <n v="0"/>
    <n v="0"/>
    <n v="0"/>
    <m/>
    <m/>
    <n v="0"/>
    <n v="0"/>
    <m/>
    <m/>
    <m/>
    <m/>
    <m/>
    <m/>
    <m/>
    <m/>
    <n v="0"/>
    <n v="0"/>
    <n v="0"/>
    <n v="0"/>
    <n v="1911.2333333333333"/>
    <n v="1489.4"/>
  </r>
  <r>
    <x v="8"/>
    <s v="Southwest Mississippi Community College"/>
    <m/>
    <n v="176354"/>
    <x v="8"/>
    <s v="sem"/>
    <s v="sem"/>
    <m/>
    <m/>
    <n v="26090"/>
    <n v="22834"/>
    <n v="3362"/>
    <n v="2538"/>
    <n v="27629"/>
    <n v="27625"/>
    <n v="57081"/>
    <n v="1902.7"/>
    <n v="52997"/>
    <n v="1766.5666666666666"/>
    <n v="728"/>
    <n v="929"/>
    <n v="57081"/>
    <n v="52997"/>
    <m/>
    <m/>
    <m/>
    <m/>
    <m/>
    <m/>
    <m/>
    <m/>
    <n v="0"/>
    <n v="0"/>
    <n v="0"/>
    <n v="0"/>
    <m/>
    <m/>
    <n v="0"/>
    <n v="0"/>
    <m/>
    <m/>
    <m/>
    <m/>
    <m/>
    <m/>
    <m/>
    <m/>
    <n v="0"/>
    <n v="0"/>
    <n v="0"/>
    <n v="0"/>
    <n v="1902.7"/>
    <n v="1766.5666666666666"/>
  </r>
  <r>
    <x v="9"/>
    <s v="North Carolina State University "/>
    <m/>
    <n v="199193"/>
    <x v="0"/>
    <s v="sem"/>
    <s v="sem"/>
    <m/>
    <m/>
    <n v="323964"/>
    <n v="319035"/>
    <n v="57251"/>
    <n v="53302"/>
    <n v="345012"/>
    <n v="341052"/>
    <n v="726227"/>
    <n v="24207.566666666666"/>
    <n v="713389"/>
    <n v="23779.633333333335"/>
    <n v="0"/>
    <n v="283"/>
    <n v="726227"/>
    <n v="713389"/>
    <m/>
    <m/>
    <m/>
    <m/>
    <m/>
    <m/>
    <m/>
    <m/>
    <n v="0"/>
    <n v="0"/>
    <n v="0"/>
    <n v="0"/>
    <m/>
    <m/>
    <n v="0"/>
    <n v="0"/>
    <m/>
    <m/>
    <n v="65636"/>
    <n v="62726"/>
    <n v="9790"/>
    <n v="9297"/>
    <n v="69181"/>
    <n v="68211"/>
    <n v="144607"/>
    <n v="6025.291666666667"/>
    <n v="140234"/>
    <n v="5843.083333333333"/>
    <n v="30232.858333333334"/>
    <n v="29622.716666666667"/>
  </r>
  <r>
    <x v="9"/>
    <s v="University of North Carolina at Chapel Hill "/>
    <m/>
    <n v="199120"/>
    <x v="0"/>
    <s v="sem"/>
    <s v="sem"/>
    <m/>
    <m/>
    <n v="231719"/>
    <n v="232437"/>
    <n v="33400"/>
    <n v="31799"/>
    <n v="246807"/>
    <n v="246731"/>
    <n v="511926"/>
    <n v="17064.2"/>
    <n v="510967"/>
    <n v="17032.233333333334"/>
    <n v="9"/>
    <n v="41"/>
    <n v="511926"/>
    <n v="510967"/>
    <m/>
    <m/>
    <m/>
    <m/>
    <m/>
    <m/>
    <m/>
    <m/>
    <n v="0"/>
    <n v="0"/>
    <n v="0"/>
    <n v="0"/>
    <m/>
    <m/>
    <n v="0"/>
    <n v="0"/>
    <m/>
    <m/>
    <n v="82666"/>
    <n v="87095"/>
    <n v="12708"/>
    <n v="13082"/>
    <n v="95958"/>
    <n v="93594"/>
    <n v="191332"/>
    <n v="7972.166666666667"/>
    <n v="193771"/>
    <n v="8073.791666666667"/>
    <n v="25036.366666666669"/>
    <n v="25106.025000000001"/>
  </r>
  <r>
    <x v="9"/>
    <s v="University of North Carolina at Greensboro"/>
    <m/>
    <n v="199148"/>
    <x v="0"/>
    <s v="sem"/>
    <s v="sem"/>
    <m/>
    <m/>
    <n v="178744"/>
    <n v="182359"/>
    <n v="22682"/>
    <n v="29577"/>
    <n v="195598"/>
    <n v="191314"/>
    <n v="397024"/>
    <n v="13234.133333333333"/>
    <n v="403250"/>
    <n v="13441.666666666666"/>
    <n v="0"/>
    <n v="793"/>
    <n v="397024"/>
    <n v="403250"/>
    <m/>
    <m/>
    <m/>
    <m/>
    <m/>
    <m/>
    <m/>
    <m/>
    <n v="0"/>
    <n v="0"/>
    <n v="0"/>
    <n v="0"/>
    <m/>
    <m/>
    <n v="0"/>
    <n v="0"/>
    <m/>
    <m/>
    <n v="31008"/>
    <n v="30540"/>
    <n v="4749"/>
    <n v="6343"/>
    <n v="31337"/>
    <n v="29915"/>
    <n v="67094"/>
    <n v="2795.5833333333335"/>
    <n v="66798"/>
    <n v="2783.25"/>
    <n v="16029.716666666667"/>
    <n v="16224.916666666666"/>
  </r>
  <r>
    <x v="9"/>
    <s v="East Carolina University "/>
    <m/>
    <n v="198464"/>
    <x v="1"/>
    <s v="sem"/>
    <s v="sem"/>
    <m/>
    <m/>
    <n v="259153"/>
    <n v="253531"/>
    <n v="33163"/>
    <n v="49366"/>
    <n v="277036"/>
    <n v="280838"/>
    <n v="569352"/>
    <n v="18978.400000000001"/>
    <n v="583735"/>
    <n v="19457.833333333332"/>
    <n v="600"/>
    <n v="1254"/>
    <n v="569352"/>
    <n v="583735"/>
    <m/>
    <m/>
    <m/>
    <m/>
    <m/>
    <m/>
    <m/>
    <m/>
    <n v="0"/>
    <n v="0"/>
    <n v="0"/>
    <n v="0"/>
    <m/>
    <m/>
    <n v="0"/>
    <n v="0"/>
    <m/>
    <m/>
    <n v="40980"/>
    <n v="33892"/>
    <n v="12385"/>
    <n v="16525"/>
    <n v="37321"/>
    <n v="34680"/>
    <n v="90686"/>
    <n v="3778.5833333333335"/>
    <n v="85097"/>
    <n v="3545.7083333333335"/>
    <n v="22756.983333333334"/>
    <n v="23003.541666666664"/>
  </r>
  <r>
    <x v="9"/>
    <s v="University of North Carolina at Charlotte"/>
    <s v="Met the criteria for Four-Year 1 in 2012-13 and 2013-14."/>
    <n v="199139"/>
    <x v="1"/>
    <s v="sem"/>
    <s v="sem"/>
    <m/>
    <m/>
    <n v="256102"/>
    <n v="264729"/>
    <n v="42295"/>
    <n v="41891"/>
    <n v="284908"/>
    <n v="289413"/>
    <n v="583305"/>
    <n v="19443.5"/>
    <n v="596033"/>
    <n v="19867.766666666666"/>
    <n v="0"/>
    <n v="0"/>
    <n v="583305"/>
    <n v="596033"/>
    <m/>
    <m/>
    <m/>
    <m/>
    <m/>
    <m/>
    <m/>
    <m/>
    <n v="0"/>
    <n v="0"/>
    <n v="0"/>
    <n v="0"/>
    <m/>
    <m/>
    <n v="0"/>
    <n v="0"/>
    <m/>
    <m/>
    <n v="30187"/>
    <n v="31326"/>
    <n v="9789"/>
    <n v="10021"/>
    <n v="32560"/>
    <n v="34620"/>
    <n v="72536"/>
    <n v="3022.3333333333335"/>
    <n v="75967"/>
    <n v="3165.2916666666665"/>
    <n v="22465.833333333332"/>
    <n v="23033.058333333334"/>
  </r>
  <r>
    <x v="9"/>
    <s v="Appalachian State University "/>
    <m/>
    <n v="197869"/>
    <x v="2"/>
    <s v="sem"/>
    <s v="sem"/>
    <m/>
    <m/>
    <n v="213142"/>
    <n v="215067"/>
    <n v="32298"/>
    <n v="33474"/>
    <n v="229156"/>
    <n v="233852"/>
    <n v="474596"/>
    <n v="15819.866666666667"/>
    <n v="482393"/>
    <n v="16079.766666666666"/>
    <n v="0"/>
    <n v="0"/>
    <n v="474596"/>
    <n v="482393"/>
    <m/>
    <m/>
    <m/>
    <m/>
    <m/>
    <m/>
    <m/>
    <m/>
    <n v="0"/>
    <n v="0"/>
    <n v="0"/>
    <n v="0"/>
    <m/>
    <m/>
    <n v="0"/>
    <n v="0"/>
    <m/>
    <m/>
    <n v="13946"/>
    <n v="13852"/>
    <n v="7312"/>
    <n v="7766"/>
    <n v="14147"/>
    <n v="14208"/>
    <n v="35405"/>
    <n v="1475.2083333333333"/>
    <n v="35826"/>
    <n v="1492.75"/>
    <n v="17295.075000000001"/>
    <n v="17572.516666666666"/>
  </r>
  <r>
    <x v="9"/>
    <s v="North Carolina A&amp;T State University"/>
    <m/>
    <n v="199102"/>
    <x v="2"/>
    <s v="sem"/>
    <s v="sem"/>
    <m/>
    <m/>
    <n v="116005"/>
    <n v="114742"/>
    <n v="18704"/>
    <n v="17414"/>
    <n v="122533"/>
    <n v="122753"/>
    <n v="257242"/>
    <n v="8574.7333333333336"/>
    <n v="254909"/>
    <n v="8496.9666666666672"/>
    <n v="370"/>
    <n v="36"/>
    <n v="257242"/>
    <n v="254909"/>
    <m/>
    <m/>
    <m/>
    <m/>
    <m/>
    <m/>
    <m/>
    <m/>
    <n v="0"/>
    <n v="0"/>
    <n v="0"/>
    <n v="0"/>
    <m/>
    <m/>
    <n v="0"/>
    <n v="0"/>
    <m/>
    <m/>
    <n v="14873"/>
    <n v="14296"/>
    <n v="3905"/>
    <n v="3363"/>
    <n v="14548"/>
    <n v="15085"/>
    <n v="33326"/>
    <n v="1388.5833333333333"/>
    <n v="32744"/>
    <n v="1364.3333333333333"/>
    <n v="9963.3166666666675"/>
    <n v="9861.3000000000011"/>
  </r>
  <r>
    <x v="9"/>
    <s v="North Carolina Central University "/>
    <m/>
    <n v="199157"/>
    <x v="2"/>
    <s v="sem"/>
    <s v="sem"/>
    <m/>
    <m/>
    <n v="80446"/>
    <n v="82055"/>
    <n v="20406"/>
    <n v="20041"/>
    <n v="87385"/>
    <n v="82933"/>
    <n v="188237"/>
    <n v="6274.5666666666666"/>
    <n v="185029"/>
    <n v="6167.6333333333332"/>
    <n v="4031"/>
    <n v="3951"/>
    <n v="188237"/>
    <n v="185029"/>
    <m/>
    <m/>
    <m/>
    <m/>
    <m/>
    <m/>
    <m/>
    <m/>
    <n v="0"/>
    <n v="0"/>
    <n v="0"/>
    <n v="0"/>
    <m/>
    <m/>
    <n v="0"/>
    <n v="0"/>
    <m/>
    <m/>
    <n v="16569"/>
    <n v="17032"/>
    <n v="4720"/>
    <n v="4178"/>
    <n v="18295"/>
    <n v="18058"/>
    <n v="39584"/>
    <n v="1649.3333333333333"/>
    <n v="39268"/>
    <n v="1636.1666666666667"/>
    <n v="7923.9"/>
    <n v="7803.8"/>
  </r>
  <r>
    <x v="9"/>
    <s v="University of North Carolina at Wilmington"/>
    <m/>
    <n v="199218"/>
    <x v="2"/>
    <s v="sem"/>
    <s v="sem"/>
    <m/>
    <m/>
    <n v="155231"/>
    <n v="162385"/>
    <n v="30569"/>
    <n v="31076"/>
    <n v="174508"/>
    <n v="175583"/>
    <n v="360308"/>
    <n v="12010.266666666666"/>
    <n v="369044"/>
    <n v="12301.466666666667"/>
    <n v="2102"/>
    <n v="1993"/>
    <n v="360308"/>
    <n v="369044"/>
    <m/>
    <m/>
    <m/>
    <m/>
    <m/>
    <m/>
    <m/>
    <m/>
    <n v="0"/>
    <n v="0"/>
    <n v="0"/>
    <n v="0"/>
    <m/>
    <m/>
    <n v="0"/>
    <n v="0"/>
    <m/>
    <m/>
    <n v="8473"/>
    <n v="9527"/>
    <n v="2347"/>
    <n v="2962"/>
    <n v="9568"/>
    <n v="10695"/>
    <n v="20388"/>
    <n v="849.5"/>
    <n v="23184"/>
    <n v="966"/>
    <n v="12859.766666666666"/>
    <n v="13267.466666666667"/>
  </r>
  <r>
    <x v="9"/>
    <s v="Western Carolina University "/>
    <m/>
    <n v="200004"/>
    <x v="2"/>
    <s v="sem"/>
    <s v="sem"/>
    <m/>
    <m/>
    <n v="98306"/>
    <n v="102833"/>
    <n v="14850"/>
    <n v="15270"/>
    <n v="108766"/>
    <n v="114489"/>
    <n v="221922"/>
    <n v="7397.4"/>
    <n v="232592"/>
    <n v="7753.0666666666666"/>
    <n v="0"/>
    <n v="0"/>
    <n v="221922"/>
    <n v="232592"/>
    <m/>
    <m/>
    <m/>
    <m/>
    <m/>
    <m/>
    <m/>
    <m/>
    <n v="0"/>
    <n v="0"/>
    <n v="0"/>
    <n v="0"/>
    <m/>
    <m/>
    <n v="0"/>
    <n v="0"/>
    <m/>
    <m/>
    <n v="11963"/>
    <n v="11708"/>
    <n v="5550"/>
    <n v="5583"/>
    <n v="12320"/>
    <n v="12728"/>
    <n v="29833"/>
    <n v="1243.0416666666667"/>
    <n v="30019"/>
    <n v="1250.7916666666667"/>
    <n v="8640.4416666666657"/>
    <n v="9003.8583333333336"/>
  </r>
  <r>
    <x v="9"/>
    <s v="Fayetteville State University "/>
    <m/>
    <n v="198543"/>
    <x v="3"/>
    <s v="sem"/>
    <s v="sem"/>
    <m/>
    <m/>
    <n v="60826"/>
    <n v="59950"/>
    <n v="19319"/>
    <n v="19490"/>
    <n v="68677"/>
    <n v="69561"/>
    <n v="148822"/>
    <n v="4960.7333333333336"/>
    <n v="149001"/>
    <n v="4966.7"/>
    <n v="2538"/>
    <n v="3200"/>
    <n v="148822"/>
    <n v="149001"/>
    <m/>
    <m/>
    <m/>
    <m/>
    <m/>
    <m/>
    <m/>
    <m/>
    <n v="0"/>
    <n v="0"/>
    <n v="0"/>
    <n v="0"/>
    <m/>
    <m/>
    <n v="0"/>
    <n v="0"/>
    <m/>
    <m/>
    <n v="4607"/>
    <n v="4992"/>
    <n v="1713"/>
    <n v="1771"/>
    <n v="5052"/>
    <n v="5811"/>
    <n v="11372"/>
    <n v="473.83333333333331"/>
    <n v="12574"/>
    <n v="523.91666666666663"/>
    <n v="5434.5666666666666"/>
    <n v="5490.6166666666668"/>
  </r>
  <r>
    <x v="9"/>
    <s v="University of North Carolina at Pembroke"/>
    <m/>
    <n v="199281"/>
    <x v="4"/>
    <s v="sem"/>
    <s v="sem"/>
    <m/>
    <m/>
    <n v="64653"/>
    <n v="63968"/>
    <n v="16862"/>
    <n v="17871"/>
    <n v="70795"/>
    <n v="68851"/>
    <n v="152310"/>
    <n v="5077"/>
    <n v="150690"/>
    <n v="5023"/>
    <n v="0"/>
    <n v="0"/>
    <n v="152310"/>
    <n v="150690"/>
    <m/>
    <m/>
    <m/>
    <m/>
    <m/>
    <m/>
    <m/>
    <m/>
    <n v="0"/>
    <n v="0"/>
    <n v="0"/>
    <n v="0"/>
    <m/>
    <m/>
    <n v="0"/>
    <n v="0"/>
    <m/>
    <m/>
    <n v="4368"/>
    <n v="4538"/>
    <n v="2796"/>
    <n v="2402"/>
    <n v="4689"/>
    <n v="5311"/>
    <n v="11853"/>
    <n v="493.875"/>
    <n v="12251"/>
    <n v="510.45833333333331"/>
    <n v="5570.875"/>
    <n v="5533.458333333333"/>
  </r>
  <r>
    <x v="9"/>
    <s v="Winston-Salem State University "/>
    <m/>
    <n v="199999"/>
    <x v="4"/>
    <s v="sem"/>
    <s v="sem"/>
    <m/>
    <m/>
    <n v="70916"/>
    <n v="68156"/>
    <n v="13800"/>
    <n v="11503"/>
    <n v="70763"/>
    <n v="67143"/>
    <n v="155479"/>
    <n v="5182.6333333333332"/>
    <n v="146802"/>
    <n v="4893.3999999999996"/>
    <n v="0"/>
    <n v="0"/>
    <n v="155479"/>
    <n v="146802"/>
    <m/>
    <m/>
    <m/>
    <m/>
    <m/>
    <m/>
    <m/>
    <m/>
    <n v="0"/>
    <n v="0"/>
    <n v="0"/>
    <n v="0"/>
    <m/>
    <m/>
    <n v="0"/>
    <n v="0"/>
    <m/>
    <m/>
    <n v="4665"/>
    <n v="4357"/>
    <n v="2195"/>
    <n v="2230"/>
    <n v="4157"/>
    <n v="4612"/>
    <n v="11017"/>
    <n v="459.04166666666669"/>
    <n v="11199"/>
    <n v="466.625"/>
    <n v="5641.6750000000002"/>
    <n v="5360.0249999999996"/>
  </r>
  <r>
    <x v="9"/>
    <s v="Elizabeth City State University "/>
    <s v="Met the criteria for Four-Year 5 in 2013-14."/>
    <n v="198507"/>
    <x v="5"/>
    <s v="sem"/>
    <s v="sem"/>
    <m/>
    <m/>
    <n v="37173"/>
    <n v="34765"/>
    <n v="8111"/>
    <n v="6993"/>
    <n v="39528"/>
    <n v="33748"/>
    <n v="84812"/>
    <n v="2827.0666666666666"/>
    <n v="75506"/>
    <n v="2516.8666666666668"/>
    <n v="0"/>
    <n v="0"/>
    <n v="84812"/>
    <n v="75506"/>
    <m/>
    <m/>
    <m/>
    <m/>
    <m/>
    <m/>
    <m/>
    <m/>
    <n v="0"/>
    <n v="0"/>
    <n v="0"/>
    <n v="0"/>
    <m/>
    <m/>
    <n v="0"/>
    <n v="0"/>
    <m/>
    <m/>
    <n v="768"/>
    <n v="597"/>
    <n v="637"/>
    <n v="451"/>
    <n v="685"/>
    <n v="459"/>
    <n v="2090"/>
    <n v="87.083333333333329"/>
    <n v="1507"/>
    <n v="62.791666666666664"/>
    <n v="2914.15"/>
    <n v="2579.6583333333333"/>
  </r>
  <r>
    <x v="9"/>
    <s v="University of North Carolina at Asheville"/>
    <m/>
    <n v="199111"/>
    <x v="5"/>
    <s v="sem"/>
    <s v="sem"/>
    <m/>
    <m/>
    <n v="45490"/>
    <n v="45032"/>
    <n v="5120"/>
    <n v="4594"/>
    <n v="47102"/>
    <n v="48904"/>
    <n v="97712"/>
    <n v="3257.0666666666666"/>
    <n v="98530"/>
    <n v="3284.3333333333335"/>
    <n v="0"/>
    <n v="0"/>
    <n v="97712"/>
    <n v="98530"/>
    <m/>
    <m/>
    <m/>
    <m/>
    <m/>
    <m/>
    <m/>
    <m/>
    <n v="0"/>
    <n v="0"/>
    <n v="0"/>
    <n v="0"/>
    <m/>
    <m/>
    <n v="0"/>
    <n v="0"/>
    <m/>
    <m/>
    <n v="236"/>
    <n v="249"/>
    <n v="3"/>
    <n v="3"/>
    <n v="252"/>
    <n v="236"/>
    <n v="491"/>
    <n v="20.458333333333332"/>
    <n v="488"/>
    <n v="20.333333333333332"/>
    <n v="3277.5250000000001"/>
    <n v="3304.666666666667"/>
  </r>
  <r>
    <x v="9"/>
    <s v="Asheville-Buncombe Technical Community College"/>
    <m/>
    <n v="197887"/>
    <x v="6"/>
    <s v="sem"/>
    <m/>
    <m/>
    <m/>
    <n v="69136"/>
    <n v="69995"/>
    <n v="17198"/>
    <n v="16476"/>
    <n v="70508"/>
    <n v="72995"/>
    <n v="156842"/>
    <n v="5228.0666666666666"/>
    <n v="159466"/>
    <n v="5315.5333333333338"/>
    <n v="12314"/>
    <n v="10027"/>
    <n v="156842"/>
    <n v="159466"/>
    <m/>
    <m/>
    <n v="297168"/>
    <n v="281887"/>
    <n v="216090"/>
    <n v="210050"/>
    <n v="317643"/>
    <n v="278080"/>
    <n v="830901"/>
    <n v="923.22333333333336"/>
    <n v="770017"/>
    <n v="855.57444444444445"/>
    <m/>
    <m/>
    <n v="0"/>
    <n v="0"/>
    <m/>
    <m/>
    <m/>
    <m/>
    <m/>
    <m/>
    <m/>
    <m/>
    <n v="0"/>
    <n v="0"/>
    <n v="0"/>
    <n v="0"/>
    <n v="6151.29"/>
    <n v="6171.1077777777782"/>
  </r>
  <r>
    <x v="9"/>
    <s v="Cape Fear Community College"/>
    <m/>
    <n v="198154"/>
    <x v="6"/>
    <s v="sem"/>
    <m/>
    <m/>
    <m/>
    <n v="91258"/>
    <n v="89333"/>
    <n v="22082"/>
    <n v="22006"/>
    <n v="96721"/>
    <n v="93195"/>
    <n v="210061"/>
    <n v="7002.0333333333338"/>
    <n v="204534"/>
    <n v="6817.8"/>
    <n v="6511"/>
    <n v="5417"/>
    <n v="210061"/>
    <n v="204534"/>
    <m/>
    <m/>
    <n v="382873"/>
    <n v="359779"/>
    <n v="205771"/>
    <n v="203012"/>
    <n v="427387"/>
    <n v="390950"/>
    <n v="1016031"/>
    <n v="1128.9233333333334"/>
    <n v="953741"/>
    <n v="1059.7122222222222"/>
    <m/>
    <m/>
    <n v="0"/>
    <n v="0"/>
    <m/>
    <m/>
    <m/>
    <m/>
    <m/>
    <m/>
    <m/>
    <m/>
    <n v="0"/>
    <n v="0"/>
    <n v="0"/>
    <n v="0"/>
    <n v="8130.9566666666669"/>
    <n v="7877.5122222222226"/>
  </r>
  <r>
    <x v="9"/>
    <s v="Central Piedmont Community College "/>
    <m/>
    <n v="198260"/>
    <x v="6"/>
    <s v="sem"/>
    <m/>
    <m/>
    <m/>
    <n v="173581"/>
    <n v="175633"/>
    <n v="47577"/>
    <n v="48695"/>
    <n v="176942"/>
    <n v="172352"/>
    <n v="398100"/>
    <n v="13270"/>
    <n v="396680"/>
    <n v="13222.666666666666"/>
    <n v="4922"/>
    <n v="3823"/>
    <n v="398100"/>
    <n v="396680"/>
    <m/>
    <m/>
    <n v="736360"/>
    <n v="750559"/>
    <n v="320976"/>
    <n v="302224"/>
    <n v="774775"/>
    <n v="705421"/>
    <n v="1832111"/>
    <n v="2035.6788888888889"/>
    <n v="1758204"/>
    <n v="1953.56"/>
    <m/>
    <m/>
    <n v="0"/>
    <n v="0"/>
    <m/>
    <m/>
    <m/>
    <m/>
    <m/>
    <m/>
    <m/>
    <m/>
    <n v="0"/>
    <n v="0"/>
    <n v="0"/>
    <n v="0"/>
    <n v="15305.67888888889"/>
    <n v="15176.226666666666"/>
  </r>
  <r>
    <x v="9"/>
    <s v="Fayetteville Technical Community College"/>
    <m/>
    <n v="198534"/>
    <x v="6"/>
    <s v="sem"/>
    <m/>
    <m/>
    <m/>
    <n v="112408"/>
    <n v="115607"/>
    <n v="29835"/>
    <n v="28527"/>
    <n v="108229"/>
    <n v="115452"/>
    <n v="250472"/>
    <n v="8349.0666666666675"/>
    <n v="259586"/>
    <n v="8652.8666666666668"/>
    <n v="4736"/>
    <n v="4407"/>
    <n v="250472"/>
    <n v="259586"/>
    <m/>
    <m/>
    <n v="746911"/>
    <n v="762025"/>
    <n v="607552"/>
    <n v="584456"/>
    <n v="786134"/>
    <n v="920098"/>
    <n v="2140597"/>
    <n v="2378.4411111111112"/>
    <n v="2266579"/>
    <n v="2518.4211111111113"/>
    <m/>
    <m/>
    <n v="0"/>
    <n v="0"/>
    <m/>
    <m/>
    <m/>
    <m/>
    <m/>
    <m/>
    <m/>
    <m/>
    <n v="0"/>
    <n v="0"/>
    <n v="0"/>
    <n v="0"/>
    <n v="10727.507777777779"/>
    <n v="11171.287777777778"/>
  </r>
  <r>
    <x v="9"/>
    <s v="Forsyth Technical Community College"/>
    <m/>
    <n v="198552"/>
    <x v="6"/>
    <s v="sem"/>
    <m/>
    <m/>
    <m/>
    <n v="97225"/>
    <n v="92142"/>
    <n v="25496"/>
    <n v="25179"/>
    <n v="102925"/>
    <n v="95657"/>
    <n v="225646"/>
    <n v="7521.5333333333338"/>
    <n v="212978"/>
    <n v="7099.2666666666664"/>
    <n v="7310"/>
    <n v="8373"/>
    <n v="225646"/>
    <n v="212978"/>
    <m/>
    <m/>
    <n v="429484"/>
    <n v="438431"/>
    <n v="298463"/>
    <n v="255613"/>
    <n v="507932"/>
    <n v="456910"/>
    <n v="1235879"/>
    <n v="1373.1988888888889"/>
    <n v="1150954"/>
    <n v="1278.8377777777778"/>
    <m/>
    <m/>
    <n v="0"/>
    <n v="0"/>
    <m/>
    <m/>
    <m/>
    <m/>
    <m/>
    <m/>
    <m/>
    <m/>
    <n v="0"/>
    <n v="0"/>
    <n v="0"/>
    <n v="0"/>
    <n v="8894.7322222222228"/>
    <n v="8378.1044444444451"/>
  </r>
  <r>
    <x v="9"/>
    <s v="Gaston College "/>
    <s v="Reclassified: met the criteria for Two-Year 2 in 2011-12, 2012-13, and 2013-14."/>
    <n v="198570"/>
    <x v="7"/>
    <s v="sem"/>
    <m/>
    <m/>
    <m/>
    <n v="58933"/>
    <n v="56522"/>
    <n v="11536"/>
    <n v="12209"/>
    <n v="62327"/>
    <n v="60793"/>
    <n v="132796"/>
    <n v="4426.5333333333338"/>
    <n v="129524"/>
    <n v="4317.4666666666662"/>
    <n v="3388"/>
    <n v="873"/>
    <n v="132796"/>
    <n v="129524"/>
    <m/>
    <m/>
    <n v="204396"/>
    <n v="194774"/>
    <n v="117792"/>
    <n v="116332"/>
    <n v="189290"/>
    <n v="167692"/>
    <n v="511478"/>
    <n v="568.30888888888887"/>
    <n v="478798"/>
    <n v="531.99777777777774"/>
    <m/>
    <m/>
    <n v="0"/>
    <n v="0"/>
    <m/>
    <m/>
    <m/>
    <m/>
    <m/>
    <m/>
    <m/>
    <m/>
    <n v="0"/>
    <n v="0"/>
    <n v="0"/>
    <n v="0"/>
    <n v="4994.8422222222225"/>
    <n v="4849.4644444444439"/>
  </r>
  <r>
    <x v="9"/>
    <s v="Guilford Technical Community College"/>
    <m/>
    <n v="198622"/>
    <x v="6"/>
    <s v="sem"/>
    <m/>
    <m/>
    <m/>
    <n v="153384"/>
    <n v="149680"/>
    <n v="33401"/>
    <n v="32545"/>
    <n v="159423"/>
    <n v="151139"/>
    <n v="346208"/>
    <n v="11540.266666666666"/>
    <n v="333364"/>
    <n v="11112.133333333333"/>
    <n v="4737"/>
    <n v="4587"/>
    <n v="346208"/>
    <n v="333364"/>
    <m/>
    <m/>
    <n v="566303"/>
    <n v="610806"/>
    <n v="309291"/>
    <n v="299257"/>
    <n v="553629"/>
    <n v="587662"/>
    <n v="1429223"/>
    <n v="1588.0255555555555"/>
    <n v="1497725"/>
    <n v="1664.1388888888889"/>
    <m/>
    <m/>
    <n v="0"/>
    <n v="0"/>
    <m/>
    <m/>
    <m/>
    <m/>
    <m/>
    <m/>
    <m/>
    <m/>
    <n v="0"/>
    <n v="0"/>
    <n v="0"/>
    <n v="0"/>
    <n v="13128.292222222222"/>
    <n v="12776.272222222222"/>
  </r>
  <r>
    <x v="9"/>
    <s v="Pitt Community College"/>
    <m/>
    <n v="199333"/>
    <x v="6"/>
    <s v="sem"/>
    <m/>
    <m/>
    <m/>
    <n v="84596"/>
    <n v="88952"/>
    <n v="24011"/>
    <n v="24019"/>
    <n v="87378"/>
    <n v="93043"/>
    <n v="195985"/>
    <n v="6532.833333333333"/>
    <n v="206014"/>
    <n v="6867.1333333333332"/>
    <n v="2404"/>
    <n v="2602"/>
    <n v="195985"/>
    <n v="206014"/>
    <m/>
    <m/>
    <n v="256942"/>
    <n v="272979"/>
    <n v="192545"/>
    <n v="187275"/>
    <n v="300179"/>
    <n v="343192"/>
    <n v="749666"/>
    <n v="832.96222222222218"/>
    <n v="803446"/>
    <n v="892.71777777777777"/>
    <m/>
    <m/>
    <n v="0"/>
    <n v="0"/>
    <m/>
    <m/>
    <m/>
    <m/>
    <m/>
    <m/>
    <m/>
    <m/>
    <n v="0"/>
    <n v="0"/>
    <n v="0"/>
    <n v="0"/>
    <n v="7365.7955555555554"/>
    <n v="7759.8511111111111"/>
  </r>
  <r>
    <x v="9"/>
    <s v="Rowan-Cabarrus Community College"/>
    <m/>
    <n v="199494"/>
    <x v="6"/>
    <s v="sem"/>
    <m/>
    <m/>
    <m/>
    <n v="62869"/>
    <n v="62635"/>
    <n v="16118"/>
    <n v="16117"/>
    <n v="67507"/>
    <n v="63486"/>
    <n v="146494"/>
    <n v="4883.1333333333332"/>
    <n v="142238"/>
    <n v="4741.2666666666664"/>
    <n v="7256"/>
    <n v="7714"/>
    <n v="146494"/>
    <n v="142238"/>
    <m/>
    <m/>
    <n v="277100"/>
    <n v="310621"/>
    <n v="201755"/>
    <n v="198095"/>
    <n v="305452"/>
    <n v="308373"/>
    <n v="784307"/>
    <n v="871.45222222222219"/>
    <n v="817089"/>
    <n v="907.87666666666667"/>
    <m/>
    <m/>
    <n v="0"/>
    <n v="0"/>
    <m/>
    <m/>
    <m/>
    <m/>
    <m/>
    <m/>
    <m/>
    <m/>
    <n v="0"/>
    <n v="0"/>
    <n v="0"/>
    <n v="0"/>
    <n v="5754.5855555555554"/>
    <n v="5649.1433333333334"/>
  </r>
  <r>
    <x v="9"/>
    <s v="Wake Technical Community College"/>
    <m/>
    <n v="199856"/>
    <x v="6"/>
    <s v="sem"/>
    <m/>
    <m/>
    <m/>
    <n v="174894"/>
    <n v="189405"/>
    <n v="40427"/>
    <n v="43674"/>
    <n v="179588"/>
    <n v="193128"/>
    <n v="394909"/>
    <n v="13163.633333333333"/>
    <n v="426207"/>
    <n v="14206.9"/>
    <n v="5011"/>
    <n v="4544"/>
    <n v="394909"/>
    <n v="426207"/>
    <m/>
    <m/>
    <n v="848662"/>
    <n v="883579"/>
    <n v="559989"/>
    <n v="601042"/>
    <n v="839804"/>
    <n v="851247"/>
    <n v="2248455"/>
    <n v="2498.2833333333333"/>
    <n v="2335868"/>
    <n v="2595.4088888888887"/>
    <m/>
    <m/>
    <n v="0"/>
    <n v="0"/>
    <m/>
    <m/>
    <m/>
    <m/>
    <m/>
    <m/>
    <m/>
    <m/>
    <n v="0"/>
    <n v="0"/>
    <n v="0"/>
    <n v="0"/>
    <n v="15661.916666666666"/>
    <n v="16802.308888888889"/>
  </r>
  <r>
    <x v="9"/>
    <s v="Alamance Community College"/>
    <m/>
    <n v="199786"/>
    <x v="7"/>
    <s v="sem"/>
    <m/>
    <m/>
    <m/>
    <n v="44880"/>
    <n v="41603"/>
    <n v="9029"/>
    <n v="8837"/>
    <n v="48022"/>
    <n v="43082"/>
    <n v="101931"/>
    <n v="3397.7"/>
    <n v="93522"/>
    <n v="3117.4"/>
    <n v="4687"/>
    <n v="4101"/>
    <n v="101931"/>
    <n v="93522"/>
    <m/>
    <m/>
    <n v="177274"/>
    <n v="199190"/>
    <n v="127954"/>
    <n v="118396"/>
    <n v="215302"/>
    <n v="195242"/>
    <n v="520530"/>
    <n v="578.36666666666667"/>
    <n v="512828"/>
    <n v="569.80888888888887"/>
    <m/>
    <m/>
    <n v="0"/>
    <n v="0"/>
    <m/>
    <m/>
    <m/>
    <m/>
    <m/>
    <m/>
    <m/>
    <m/>
    <n v="0"/>
    <n v="0"/>
    <n v="0"/>
    <n v="0"/>
    <n v="3976.0666666666666"/>
    <n v="3687.2088888888889"/>
  </r>
  <r>
    <x v="9"/>
    <s v="Caldwell Community College &amp; Technical Institute"/>
    <m/>
    <n v="198118"/>
    <x v="7"/>
    <s v="sem"/>
    <m/>
    <m/>
    <m/>
    <n v="41910"/>
    <n v="38756"/>
    <n v="10531"/>
    <n v="8700"/>
    <n v="44408"/>
    <n v="42316"/>
    <n v="96849"/>
    <n v="3228.3"/>
    <n v="89772"/>
    <n v="2992.4"/>
    <n v="8134"/>
    <n v="6958"/>
    <n v="96849"/>
    <n v="89772"/>
    <m/>
    <m/>
    <n v="193972"/>
    <n v="209854"/>
    <n v="147355"/>
    <n v="126257"/>
    <n v="259194"/>
    <n v="242717"/>
    <n v="600521"/>
    <n v="667.2455555555556"/>
    <n v="578828"/>
    <n v="643.14222222222224"/>
    <m/>
    <m/>
    <n v="0"/>
    <n v="0"/>
    <m/>
    <m/>
    <m/>
    <m/>
    <m/>
    <m/>
    <m/>
    <m/>
    <n v="0"/>
    <n v="0"/>
    <n v="0"/>
    <n v="0"/>
    <n v="3895.5455555555559"/>
    <n v="3635.5422222222223"/>
  </r>
  <r>
    <x v="9"/>
    <s v="Catawba Valley Community College"/>
    <m/>
    <n v="198233"/>
    <x v="7"/>
    <s v="sem"/>
    <m/>
    <m/>
    <m/>
    <n v="44845"/>
    <n v="39837"/>
    <n v="11758"/>
    <n v="9901"/>
    <n v="47396"/>
    <n v="42550"/>
    <n v="103999"/>
    <n v="3466.6333333333332"/>
    <n v="92288"/>
    <n v="3076.2666666666669"/>
    <n v="8491"/>
    <n v="8767"/>
    <n v="103999"/>
    <n v="92288"/>
    <m/>
    <m/>
    <n v="247588"/>
    <n v="267016"/>
    <n v="150779"/>
    <n v="171483"/>
    <n v="260008"/>
    <n v="276350"/>
    <n v="658375"/>
    <n v="731.52777777777783"/>
    <n v="714849"/>
    <n v="794.27666666666664"/>
    <m/>
    <m/>
    <n v="0"/>
    <n v="0"/>
    <m/>
    <m/>
    <m/>
    <m/>
    <m/>
    <m/>
    <m/>
    <m/>
    <n v="0"/>
    <n v="0"/>
    <n v="0"/>
    <n v="0"/>
    <n v="4198.1611111111106"/>
    <n v="3870.5433333333335"/>
  </r>
  <r>
    <x v="9"/>
    <s v="Central Carolina Commuity College"/>
    <m/>
    <n v="198251"/>
    <x v="7"/>
    <s v="sem"/>
    <m/>
    <m/>
    <m/>
    <n v="39235"/>
    <n v="39011"/>
    <n v="6982"/>
    <n v="7264"/>
    <n v="41427"/>
    <n v="44323"/>
    <n v="87644"/>
    <n v="2921.4666666666667"/>
    <n v="90598"/>
    <n v="3019.9333333333334"/>
    <n v="9327"/>
    <n v="6777"/>
    <n v="87644"/>
    <n v="90598"/>
    <m/>
    <m/>
    <n v="434372"/>
    <n v="480583"/>
    <n v="285076"/>
    <n v="268358"/>
    <n v="476844"/>
    <n v="472646"/>
    <n v="1196292"/>
    <n v="1329.2133333333334"/>
    <n v="1221587"/>
    <n v="1357.318888888889"/>
    <m/>
    <m/>
    <n v="0"/>
    <n v="0"/>
    <m/>
    <m/>
    <m/>
    <m/>
    <m/>
    <m/>
    <m/>
    <m/>
    <n v="0"/>
    <n v="0"/>
    <n v="0"/>
    <n v="0"/>
    <n v="4250.68"/>
    <n v="4377.2522222222224"/>
  </r>
  <r>
    <x v="9"/>
    <s v="Cleveland Community College"/>
    <m/>
    <n v="198321"/>
    <x v="7"/>
    <s v="sem"/>
    <m/>
    <m/>
    <m/>
    <n v="28243"/>
    <n v="28569"/>
    <n v="3792"/>
    <n v="3323"/>
    <n v="31082"/>
    <n v="29453"/>
    <n v="63117"/>
    <n v="2103.9"/>
    <n v="61345"/>
    <n v="2044.8333333333333"/>
    <n v="7598"/>
    <n v="9518"/>
    <n v="63117"/>
    <n v="61345"/>
    <m/>
    <m/>
    <n v="150090"/>
    <n v="169786"/>
    <n v="91102"/>
    <n v="97552"/>
    <n v="151566"/>
    <n v="171928"/>
    <n v="392758"/>
    <n v="436.39777777777778"/>
    <n v="439266"/>
    <n v="488.07333333333332"/>
    <m/>
    <m/>
    <n v="0"/>
    <n v="0"/>
    <m/>
    <m/>
    <m/>
    <m/>
    <m/>
    <m/>
    <m/>
    <m/>
    <n v="0"/>
    <n v="0"/>
    <n v="0"/>
    <n v="0"/>
    <n v="2540.2977777777778"/>
    <n v="2532.9066666666668"/>
  </r>
  <r>
    <x v="9"/>
    <s v="Coastal Carolina Community College "/>
    <m/>
    <n v="198330"/>
    <x v="7"/>
    <s v="sem"/>
    <m/>
    <m/>
    <m/>
    <n v="46872"/>
    <n v="45960"/>
    <n v="19332"/>
    <n v="18275"/>
    <n v="47944"/>
    <n v="47646"/>
    <n v="114148"/>
    <n v="3804.9333333333334"/>
    <n v="111881"/>
    <n v="3729.3666666666668"/>
    <n v="664"/>
    <n v="716"/>
    <n v="114148"/>
    <n v="111881"/>
    <m/>
    <m/>
    <n v="258569"/>
    <n v="225220"/>
    <n v="194891"/>
    <n v="162642"/>
    <n v="314904"/>
    <n v="301784"/>
    <n v="768364"/>
    <n v="853.73777777777775"/>
    <n v="689646"/>
    <n v="766.27333333333331"/>
    <m/>
    <m/>
    <n v="0"/>
    <n v="0"/>
    <m/>
    <m/>
    <m/>
    <m/>
    <m/>
    <m/>
    <m/>
    <m/>
    <n v="0"/>
    <n v="0"/>
    <n v="0"/>
    <n v="0"/>
    <n v="4658.6711111111108"/>
    <n v="4495.6400000000003"/>
  </r>
  <r>
    <x v="9"/>
    <s v="Craven Community College "/>
    <m/>
    <n v="198367"/>
    <x v="7"/>
    <s v="sem"/>
    <m/>
    <m/>
    <m/>
    <n v="31385"/>
    <n v="28636"/>
    <n v="7294"/>
    <n v="7496"/>
    <n v="32837"/>
    <n v="28787"/>
    <n v="71516"/>
    <n v="2383.8666666666668"/>
    <n v="64919"/>
    <n v="2163.9666666666667"/>
    <n v="4375"/>
    <n v="4513"/>
    <n v="71516"/>
    <n v="64919"/>
    <m/>
    <m/>
    <n v="148437"/>
    <n v="130010"/>
    <n v="86014"/>
    <n v="90935"/>
    <n v="136842"/>
    <n v="163808"/>
    <n v="371293"/>
    <n v="412.54777777777775"/>
    <n v="384753"/>
    <n v="427.50333333333333"/>
    <m/>
    <m/>
    <n v="0"/>
    <n v="0"/>
    <m/>
    <m/>
    <m/>
    <m/>
    <m/>
    <m/>
    <m/>
    <m/>
    <n v="0"/>
    <n v="0"/>
    <n v="0"/>
    <n v="0"/>
    <n v="2796.4144444444446"/>
    <n v="2591.4700000000003"/>
  </r>
  <r>
    <x v="9"/>
    <s v="Davidson County Community College "/>
    <m/>
    <n v="198376"/>
    <x v="7"/>
    <s v="sem"/>
    <m/>
    <m/>
    <m/>
    <n v="38027"/>
    <n v="36069"/>
    <n v="8257"/>
    <n v="7707"/>
    <n v="40368"/>
    <n v="38066"/>
    <n v="86652"/>
    <n v="2888.4"/>
    <n v="81842"/>
    <n v="2728.0666666666666"/>
    <n v="5860"/>
    <n v="5361"/>
    <n v="86652"/>
    <n v="81842"/>
    <m/>
    <m/>
    <n v="231630"/>
    <n v="238351"/>
    <n v="162517"/>
    <n v="153545"/>
    <n v="264415"/>
    <n v="251878"/>
    <n v="658562"/>
    <n v="731.73555555555561"/>
    <n v="643774"/>
    <n v="715.30444444444447"/>
    <m/>
    <m/>
    <n v="0"/>
    <n v="0"/>
    <m/>
    <m/>
    <m/>
    <m/>
    <m/>
    <m/>
    <m/>
    <m/>
    <n v="0"/>
    <n v="0"/>
    <n v="0"/>
    <n v="0"/>
    <n v="3620.1355555555556"/>
    <n v="3443.3711111111111"/>
  </r>
  <r>
    <x v="9"/>
    <s v="Durham Technical Community College"/>
    <m/>
    <n v="198455"/>
    <x v="7"/>
    <s v="sem"/>
    <m/>
    <m/>
    <m/>
    <n v="45879"/>
    <n v="46216"/>
    <n v="11437"/>
    <n v="11149"/>
    <n v="43958"/>
    <n v="46419"/>
    <n v="101274"/>
    <n v="3375.8"/>
    <n v="103784"/>
    <n v="3459.4666666666667"/>
    <n v="2205"/>
    <n v="2494"/>
    <n v="101274"/>
    <n v="103784"/>
    <m/>
    <m/>
    <n v="313043"/>
    <n v="260976"/>
    <n v="160151"/>
    <n v="154465"/>
    <n v="340806"/>
    <n v="298399"/>
    <n v="814000"/>
    <n v="904.44444444444446"/>
    <n v="713840"/>
    <n v="793.15555555555557"/>
    <m/>
    <m/>
    <n v="0"/>
    <n v="0"/>
    <m/>
    <m/>
    <m/>
    <m/>
    <m/>
    <m/>
    <m/>
    <m/>
    <n v="0"/>
    <n v="0"/>
    <n v="0"/>
    <n v="0"/>
    <n v="4280.2444444444445"/>
    <n v="4252.6222222222223"/>
  </r>
  <r>
    <x v="9"/>
    <s v="Edgecombe Community College"/>
    <m/>
    <n v="198491"/>
    <x v="7"/>
    <s v="sem"/>
    <m/>
    <m/>
    <m/>
    <n v="29892"/>
    <n v="27315"/>
    <n v="7234"/>
    <n v="7489"/>
    <n v="32198"/>
    <n v="29678"/>
    <n v="69324"/>
    <n v="2310.8000000000002"/>
    <n v="64482"/>
    <n v="2149.4"/>
    <n v="2308"/>
    <n v="2490"/>
    <n v="69324"/>
    <n v="64482"/>
    <m/>
    <m/>
    <n v="119519"/>
    <n v="132143"/>
    <n v="89501"/>
    <n v="83011"/>
    <n v="150571"/>
    <n v="147140"/>
    <n v="359591"/>
    <n v="399.54555555555555"/>
    <n v="362294"/>
    <n v="402.54888888888888"/>
    <m/>
    <m/>
    <n v="0"/>
    <n v="0"/>
    <m/>
    <m/>
    <m/>
    <m/>
    <m/>
    <m/>
    <m/>
    <m/>
    <n v="0"/>
    <n v="0"/>
    <n v="0"/>
    <n v="0"/>
    <n v="2710.3455555555556"/>
    <n v="2551.9488888888891"/>
  </r>
  <r>
    <x v="9"/>
    <s v="Haywood Community College"/>
    <s v="Reclassified: met the criteria for Two-Year 3 in 2011-12, 2012-13, and 2013-14."/>
    <n v="198668"/>
    <x v="8"/>
    <s v="sem"/>
    <m/>
    <m/>
    <m/>
    <n v="19532"/>
    <n v="19319"/>
    <n v="4231"/>
    <n v="5043"/>
    <n v="20642"/>
    <n v="19110"/>
    <n v="44405"/>
    <n v="1480.1666666666667"/>
    <n v="43472"/>
    <n v="1449.0666666666666"/>
    <n v="5749"/>
    <n v="2689"/>
    <n v="44405"/>
    <n v="43472"/>
    <m/>
    <m/>
    <n v="88369"/>
    <n v="90555"/>
    <n v="52725"/>
    <n v="48824"/>
    <n v="85233"/>
    <n v="92000"/>
    <n v="226327"/>
    <n v="251.47444444444446"/>
    <n v="231379"/>
    <n v="257.08777777777777"/>
    <m/>
    <m/>
    <n v="0"/>
    <n v="0"/>
    <m/>
    <m/>
    <m/>
    <m/>
    <m/>
    <m/>
    <m/>
    <m/>
    <n v="0"/>
    <n v="0"/>
    <n v="0"/>
    <n v="0"/>
    <n v="1731.6411111111113"/>
    <n v="1706.1544444444444"/>
  </r>
  <r>
    <x v="9"/>
    <s v="Isothermal Community College "/>
    <s v="Met the criteria for Two-Year 3 in 2012-13 and 2013-14."/>
    <n v="198710"/>
    <x v="7"/>
    <s v="sem"/>
    <m/>
    <m/>
    <m/>
    <n v="21146"/>
    <n v="21366"/>
    <n v="6322"/>
    <n v="5733"/>
    <n v="21459"/>
    <n v="20842"/>
    <n v="48927"/>
    <n v="1630.9"/>
    <n v="47941"/>
    <n v="1598.0333333333333"/>
    <n v="6839"/>
    <n v="7841"/>
    <n v="48927"/>
    <n v="47941"/>
    <m/>
    <m/>
    <n v="127170"/>
    <n v="101981"/>
    <n v="66493"/>
    <n v="76609"/>
    <n v="114935"/>
    <n v="108870"/>
    <n v="308598"/>
    <n v="342.88666666666666"/>
    <n v="287460"/>
    <n v="319.39999999999998"/>
    <m/>
    <m/>
    <n v="0"/>
    <n v="0"/>
    <m/>
    <m/>
    <m/>
    <m/>
    <m/>
    <m/>
    <m/>
    <m/>
    <n v="0"/>
    <n v="0"/>
    <n v="0"/>
    <n v="0"/>
    <n v="1973.7866666666669"/>
    <n v="1917.4333333333334"/>
  </r>
  <r>
    <x v="9"/>
    <s v="Johnston Community College"/>
    <m/>
    <n v="198774"/>
    <x v="7"/>
    <s v="sem"/>
    <m/>
    <m/>
    <m/>
    <n v="40985"/>
    <n v="38794"/>
    <n v="1370"/>
    <n v="1207"/>
    <n v="44735"/>
    <n v="41534"/>
    <n v="87090"/>
    <n v="2903"/>
    <n v="81535"/>
    <n v="2717.8333333333335"/>
    <n v="5612"/>
    <n v="6481"/>
    <n v="87090"/>
    <n v="81535"/>
    <m/>
    <m/>
    <n v="217187"/>
    <n v="220829"/>
    <n v="161699"/>
    <n v="125839"/>
    <n v="218120"/>
    <n v="230929"/>
    <n v="597006"/>
    <n v="663.34"/>
    <n v="577597"/>
    <n v="641.7744444444445"/>
    <m/>
    <m/>
    <n v="0"/>
    <n v="0"/>
    <m/>
    <m/>
    <m/>
    <m/>
    <m/>
    <m/>
    <m/>
    <m/>
    <n v="0"/>
    <n v="0"/>
    <n v="0"/>
    <n v="0"/>
    <n v="3566.34"/>
    <n v="3359.6077777777782"/>
  </r>
  <r>
    <x v="9"/>
    <s v="Lenoir Community College "/>
    <m/>
    <n v="198817"/>
    <x v="7"/>
    <s v="sem"/>
    <m/>
    <m/>
    <m/>
    <n v="25590"/>
    <n v="23958"/>
    <n v="8167"/>
    <n v="8053"/>
    <n v="28644"/>
    <n v="25776"/>
    <n v="62401"/>
    <n v="2080.0333333333333"/>
    <n v="57787"/>
    <n v="1926.2333333333333"/>
    <n v="8958"/>
    <n v="7276"/>
    <n v="62401"/>
    <n v="57787"/>
    <m/>
    <m/>
    <n v="505253"/>
    <n v="511387"/>
    <n v="392470"/>
    <n v="327882"/>
    <n v="506646"/>
    <n v="515016"/>
    <n v="1404369"/>
    <n v="1560.41"/>
    <n v="1354285"/>
    <n v="1504.7611111111112"/>
    <m/>
    <m/>
    <n v="0"/>
    <n v="0"/>
    <m/>
    <m/>
    <m/>
    <m/>
    <m/>
    <m/>
    <m/>
    <m/>
    <n v="0"/>
    <n v="0"/>
    <n v="0"/>
    <n v="0"/>
    <n v="3640.4433333333336"/>
    <n v="3430.9944444444445"/>
  </r>
  <r>
    <x v="9"/>
    <s v="Mitchell Community College "/>
    <m/>
    <n v="198987"/>
    <x v="7"/>
    <s v="sem"/>
    <m/>
    <m/>
    <m/>
    <n v="30610"/>
    <n v="29266"/>
    <n v="6549"/>
    <n v="7182"/>
    <n v="32407"/>
    <n v="28939"/>
    <n v="69566"/>
    <n v="2318.8666666666668"/>
    <n v="65387"/>
    <n v="2179.5666666666666"/>
    <n v="7841"/>
    <n v="7254"/>
    <n v="69566"/>
    <n v="65387"/>
    <m/>
    <m/>
    <n v="131564"/>
    <n v="146248"/>
    <n v="98867"/>
    <n v="88536"/>
    <n v="140325"/>
    <n v="159867"/>
    <n v="370756"/>
    <n v="411.95111111111112"/>
    <n v="394651"/>
    <n v="438.50111111111113"/>
    <m/>
    <m/>
    <n v="0"/>
    <n v="0"/>
    <m/>
    <m/>
    <m/>
    <m/>
    <m/>
    <m/>
    <m/>
    <m/>
    <n v="0"/>
    <n v="0"/>
    <n v="0"/>
    <n v="0"/>
    <n v="2730.8177777777778"/>
    <n v="2618.0677777777778"/>
  </r>
  <r>
    <x v="9"/>
    <s v="Nash Community College"/>
    <m/>
    <n v="199087"/>
    <x v="7"/>
    <s v="sem"/>
    <m/>
    <m/>
    <m/>
    <n v="29552"/>
    <n v="28591"/>
    <n v="4699"/>
    <n v="5503"/>
    <n v="29577"/>
    <n v="29273"/>
    <n v="63828"/>
    <n v="2127.6"/>
    <n v="63367"/>
    <n v="2112.2333333333331"/>
    <n v="5774"/>
    <n v="5142"/>
    <n v="63828"/>
    <n v="63367"/>
    <m/>
    <m/>
    <n v="158437"/>
    <n v="144602"/>
    <n v="93385"/>
    <n v="96972"/>
    <n v="154894"/>
    <n v="177632"/>
    <n v="406716"/>
    <n v="451.90666666666669"/>
    <n v="419206"/>
    <n v="465.78444444444443"/>
    <m/>
    <m/>
    <n v="0"/>
    <n v="0"/>
    <m/>
    <m/>
    <m/>
    <m/>
    <m/>
    <m/>
    <m/>
    <m/>
    <n v="0"/>
    <n v="0"/>
    <n v="0"/>
    <n v="0"/>
    <n v="2579.5066666666667"/>
    <n v="2578.0177777777776"/>
  </r>
  <r>
    <x v="9"/>
    <s v="Randolph Community College"/>
    <m/>
    <n v="199421"/>
    <x v="7"/>
    <s v="sem"/>
    <m/>
    <m/>
    <m/>
    <n v="25747"/>
    <n v="26163"/>
    <n v="4510"/>
    <n v="4807"/>
    <n v="27540"/>
    <n v="26896"/>
    <n v="57797"/>
    <n v="1926.5666666666666"/>
    <n v="57866"/>
    <n v="1928.8666666666666"/>
    <n v="4981"/>
    <n v="5025"/>
    <n v="57797"/>
    <n v="57866"/>
    <m/>
    <m/>
    <n v="189578"/>
    <n v="186550"/>
    <n v="92936"/>
    <n v="88413"/>
    <n v="166359"/>
    <n v="173436"/>
    <n v="448873"/>
    <n v="498.7477777777778"/>
    <n v="448399"/>
    <n v="498.2211111111111"/>
    <m/>
    <m/>
    <n v="0"/>
    <n v="0"/>
    <m/>
    <m/>
    <m/>
    <m/>
    <m/>
    <m/>
    <m/>
    <m/>
    <n v="0"/>
    <n v="0"/>
    <n v="0"/>
    <n v="0"/>
    <n v="2425.3144444444442"/>
    <n v="2427.0877777777778"/>
  </r>
  <r>
    <x v="9"/>
    <s v="Robeson Community College"/>
    <m/>
    <n v="199476"/>
    <x v="7"/>
    <s v="sem"/>
    <m/>
    <m/>
    <m/>
    <n v="24532"/>
    <n v="25810"/>
    <n v="4537"/>
    <n v="4991"/>
    <n v="28227"/>
    <n v="29902"/>
    <n v="57296"/>
    <n v="1909.8666666666666"/>
    <n v="60703"/>
    <n v="2023.4333333333334"/>
    <n v="2217"/>
    <n v="2845"/>
    <n v="57296"/>
    <n v="60703"/>
    <m/>
    <m/>
    <n v="387360"/>
    <n v="321775"/>
    <n v="181675"/>
    <n v="149860"/>
    <n v="404657"/>
    <n v="334175"/>
    <n v="973692"/>
    <n v="1081.8800000000001"/>
    <n v="805810"/>
    <n v="895.34444444444443"/>
    <m/>
    <m/>
    <n v="0"/>
    <n v="0"/>
    <m/>
    <m/>
    <m/>
    <m/>
    <m/>
    <m/>
    <m/>
    <m/>
    <n v="0"/>
    <n v="0"/>
    <n v="0"/>
    <n v="0"/>
    <n v="2991.7466666666669"/>
    <n v="2918.7777777777778"/>
  </r>
  <r>
    <x v="9"/>
    <s v="Sandhills Community College "/>
    <m/>
    <n v="199634"/>
    <x v="7"/>
    <s v="sem"/>
    <m/>
    <m/>
    <m/>
    <n v="36985"/>
    <n v="34583"/>
    <n v="10644"/>
    <n v="9850"/>
    <n v="39601"/>
    <n v="38102"/>
    <n v="87230"/>
    <n v="2907.6666666666665"/>
    <n v="82535"/>
    <n v="2751.1666666666665"/>
    <n v="4505"/>
    <n v="6355"/>
    <n v="87230"/>
    <n v="82535"/>
    <m/>
    <m/>
    <n v="192210"/>
    <n v="207304"/>
    <n v="101747"/>
    <n v="140216"/>
    <n v="198274"/>
    <n v="205471"/>
    <n v="492231"/>
    <n v="546.92333333333329"/>
    <n v="552991"/>
    <n v="614.43444444444447"/>
    <m/>
    <m/>
    <n v="0"/>
    <n v="0"/>
    <m/>
    <m/>
    <m/>
    <m/>
    <m/>
    <m/>
    <m/>
    <m/>
    <n v="0"/>
    <n v="0"/>
    <n v="0"/>
    <n v="0"/>
    <n v="3454.5899999999997"/>
    <n v="3365.6011111111111"/>
  </r>
  <r>
    <x v="9"/>
    <s v="Stanly Community College"/>
    <m/>
    <n v="199740"/>
    <x v="7"/>
    <s v="sem"/>
    <m/>
    <m/>
    <m/>
    <n v="26836"/>
    <n v="24885"/>
    <n v="6140"/>
    <n v="5686"/>
    <n v="29688"/>
    <n v="26799"/>
    <n v="62664"/>
    <n v="2088.8000000000002"/>
    <n v="57370"/>
    <n v="1912.3333333333333"/>
    <n v="2788"/>
    <n v="2841"/>
    <n v="62664"/>
    <n v="57370"/>
    <m/>
    <m/>
    <n v="218877"/>
    <n v="173832"/>
    <n v="103485"/>
    <n v="102133"/>
    <n v="212632"/>
    <n v="168467"/>
    <n v="534994"/>
    <n v="594.4377777777778"/>
    <n v="444432"/>
    <n v="493.81333333333333"/>
    <m/>
    <m/>
    <n v="0"/>
    <n v="0"/>
    <m/>
    <m/>
    <m/>
    <m/>
    <m/>
    <m/>
    <m/>
    <m/>
    <n v="0"/>
    <n v="0"/>
    <n v="0"/>
    <n v="0"/>
    <n v="2683.2377777777779"/>
    <n v="2406.1466666666665"/>
  </r>
  <r>
    <x v="9"/>
    <s v="Surry Community College "/>
    <m/>
    <n v="199768"/>
    <x v="7"/>
    <s v="sem"/>
    <m/>
    <m/>
    <m/>
    <n v="22310"/>
    <n v="29523"/>
    <n v="3786"/>
    <n v="5325"/>
    <n v="24425"/>
    <n v="22461"/>
    <n v="50521"/>
    <n v="1684.0333333333333"/>
    <n v="57309"/>
    <n v="1910.3"/>
    <n v="6194"/>
    <n v="6533"/>
    <n v="50521"/>
    <n v="57309"/>
    <m/>
    <m/>
    <n v="151490"/>
    <n v="155915"/>
    <n v="147580"/>
    <n v="157302"/>
    <n v="206788"/>
    <n v="241002"/>
    <n v="505858"/>
    <n v="562.06444444444446"/>
    <n v="554219"/>
    <n v="615.79888888888888"/>
    <m/>
    <m/>
    <n v="0"/>
    <n v="0"/>
    <m/>
    <m/>
    <m/>
    <m/>
    <m/>
    <m/>
    <m/>
    <m/>
    <n v="0"/>
    <n v="0"/>
    <n v="0"/>
    <n v="0"/>
    <n v="2246.097777777778"/>
    <n v="2526.0988888888887"/>
  </r>
  <r>
    <x v="9"/>
    <s v="Vance-Granville Community College "/>
    <m/>
    <n v="199838"/>
    <x v="7"/>
    <s v="sem"/>
    <m/>
    <m/>
    <m/>
    <n v="32390"/>
    <n v="30088"/>
    <n v="6548"/>
    <n v="5805"/>
    <n v="36047"/>
    <n v="32466"/>
    <n v="74985"/>
    <n v="2499.5"/>
    <n v="68359"/>
    <n v="2278.6333333333332"/>
    <n v="8210"/>
    <n v="9355"/>
    <n v="74985"/>
    <n v="68359"/>
    <m/>
    <m/>
    <n v="285456"/>
    <n v="280728"/>
    <n v="164413"/>
    <n v="157458"/>
    <n v="309488"/>
    <n v="315190"/>
    <n v="759357"/>
    <n v="843.73"/>
    <n v="753376"/>
    <n v="837.08444444444444"/>
    <m/>
    <m/>
    <n v="0"/>
    <n v="0"/>
    <m/>
    <m/>
    <m/>
    <m/>
    <m/>
    <m/>
    <m/>
    <m/>
    <n v="0"/>
    <n v="0"/>
    <n v="0"/>
    <n v="0"/>
    <n v="3343.23"/>
    <n v="3115.7177777777779"/>
  </r>
  <r>
    <x v="9"/>
    <s v="Wayne Community College"/>
    <m/>
    <n v="199892"/>
    <x v="7"/>
    <s v="sem"/>
    <m/>
    <m/>
    <m/>
    <n v="34964"/>
    <n v="35155"/>
    <n v="6438"/>
    <n v="6895"/>
    <n v="36131"/>
    <n v="36745"/>
    <n v="77533"/>
    <n v="2584.4333333333334"/>
    <n v="78795"/>
    <n v="2626.5"/>
    <n v="5990"/>
    <n v="6860"/>
    <n v="77533"/>
    <n v="78795"/>
    <m/>
    <m/>
    <n v="224501"/>
    <n v="221882"/>
    <n v="122371"/>
    <n v="130050"/>
    <n v="220392"/>
    <n v="206126"/>
    <n v="567264"/>
    <n v="630.29333333333329"/>
    <n v="558058"/>
    <n v="620.06444444444446"/>
    <m/>
    <m/>
    <n v="0"/>
    <n v="0"/>
    <m/>
    <m/>
    <m/>
    <m/>
    <m/>
    <m/>
    <m/>
    <m/>
    <n v="0"/>
    <n v="0"/>
    <n v="0"/>
    <n v="0"/>
    <n v="3214.7266666666665"/>
    <n v="3246.5644444444442"/>
  </r>
  <r>
    <x v="9"/>
    <s v="Western Piedmont Community College "/>
    <m/>
    <n v="199908"/>
    <x v="7"/>
    <s v="sem"/>
    <m/>
    <m/>
    <m/>
    <n v="26851"/>
    <n v="22926"/>
    <n v="5764"/>
    <n v="5338"/>
    <n v="30842"/>
    <n v="25456"/>
    <n v="63457"/>
    <n v="2115.2333333333331"/>
    <n v="53720"/>
    <n v="1790.6666666666667"/>
    <n v="4056"/>
    <n v="3944"/>
    <n v="63457"/>
    <n v="53720"/>
    <m/>
    <m/>
    <n v="212405"/>
    <n v="225022"/>
    <n v="135555"/>
    <n v="126540"/>
    <n v="219557"/>
    <n v="206846"/>
    <n v="567517"/>
    <n v="630.57444444444445"/>
    <n v="558408"/>
    <n v="620.45333333333338"/>
    <m/>
    <m/>
    <n v="0"/>
    <n v="0"/>
    <m/>
    <m/>
    <m/>
    <m/>
    <m/>
    <m/>
    <m/>
    <m/>
    <n v="0"/>
    <n v="0"/>
    <n v="0"/>
    <n v="0"/>
    <n v="2745.8077777777776"/>
    <n v="2411.12"/>
  </r>
  <r>
    <x v="9"/>
    <s v="Wilkes Community College "/>
    <m/>
    <n v="199926"/>
    <x v="7"/>
    <s v="sem"/>
    <m/>
    <m/>
    <m/>
    <n v="25522"/>
    <n v="26201"/>
    <n v="4216"/>
    <n v="4141"/>
    <n v="27165"/>
    <n v="26575"/>
    <n v="56903"/>
    <n v="1896.7666666666667"/>
    <n v="56917"/>
    <n v="1897.2333333333333"/>
    <n v="3238"/>
    <n v="4398"/>
    <n v="56903"/>
    <n v="56917"/>
    <m/>
    <m/>
    <n v="179547"/>
    <n v="203063"/>
    <n v="144074"/>
    <n v="117703"/>
    <n v="192181"/>
    <n v="226628"/>
    <n v="515802"/>
    <n v="573.11333333333334"/>
    <n v="547394"/>
    <n v="608.21555555555551"/>
    <m/>
    <m/>
    <n v="0"/>
    <n v="0"/>
    <m/>
    <m/>
    <m/>
    <m/>
    <m/>
    <m/>
    <m/>
    <m/>
    <n v="0"/>
    <n v="0"/>
    <n v="0"/>
    <n v="0"/>
    <n v="2469.88"/>
    <n v="2505.4488888888891"/>
  </r>
  <r>
    <x v="9"/>
    <s v="Beaufort County Community College "/>
    <m/>
    <n v="197966"/>
    <x v="8"/>
    <s v="sem"/>
    <m/>
    <m/>
    <m/>
    <n v="17203"/>
    <n v="17342"/>
    <n v="2066"/>
    <n v="3291"/>
    <n v="18021"/>
    <n v="17029"/>
    <n v="37290"/>
    <n v="1243"/>
    <n v="37662"/>
    <n v="1255.4000000000001"/>
    <n v="2787"/>
    <n v="3929"/>
    <n v="37290"/>
    <n v="37662"/>
    <m/>
    <m/>
    <n v="104478"/>
    <n v="83005"/>
    <n v="75950"/>
    <n v="65945"/>
    <n v="93261"/>
    <n v="95216"/>
    <n v="273689"/>
    <n v="304.09888888888889"/>
    <n v="244166"/>
    <n v="271.29555555555555"/>
    <m/>
    <m/>
    <n v="0"/>
    <n v="0"/>
    <m/>
    <m/>
    <m/>
    <m/>
    <m/>
    <m/>
    <m/>
    <m/>
    <n v="0"/>
    <n v="0"/>
    <n v="0"/>
    <n v="0"/>
    <n v="1547.098888888889"/>
    <n v="1526.6955555555555"/>
  </r>
  <r>
    <x v="9"/>
    <s v="Bladen Community College"/>
    <m/>
    <n v="198011"/>
    <x v="8"/>
    <s v="sem"/>
    <m/>
    <m/>
    <m/>
    <n v="16492"/>
    <n v="13448"/>
    <n v="2899"/>
    <n v="2498"/>
    <n v="17733"/>
    <n v="14873"/>
    <n v="37124"/>
    <n v="1237.4666666666667"/>
    <n v="30819"/>
    <n v="1027.3"/>
    <n v="296"/>
    <n v="1165"/>
    <n v="37124"/>
    <n v="30819"/>
    <m/>
    <m/>
    <n v="91483"/>
    <n v="84433"/>
    <n v="50617"/>
    <n v="42740"/>
    <n v="81999"/>
    <n v="82761"/>
    <n v="224099"/>
    <n v="248.9988888888889"/>
    <n v="209934"/>
    <n v="233.26"/>
    <m/>
    <m/>
    <n v="0"/>
    <n v="0"/>
    <m/>
    <m/>
    <m/>
    <m/>
    <m/>
    <m/>
    <m/>
    <m/>
    <n v="0"/>
    <n v="0"/>
    <n v="0"/>
    <n v="0"/>
    <n v="1486.4655555555555"/>
    <n v="1260.56"/>
  </r>
  <r>
    <x v="9"/>
    <s v="Blue Ridge Community College"/>
    <m/>
    <n v="198039"/>
    <x v="8"/>
    <s v="sem"/>
    <m/>
    <m/>
    <m/>
    <n v="18070"/>
    <n v="17514"/>
    <n v="4135"/>
    <n v="3949"/>
    <n v="17684"/>
    <n v="19078"/>
    <n v="39889"/>
    <n v="1329.6333333333334"/>
    <n v="40541"/>
    <n v="1351.3666666666666"/>
    <n v="4042"/>
    <n v="3726"/>
    <n v="39889"/>
    <n v="40541"/>
    <m/>
    <m/>
    <n v="193732"/>
    <n v="193397"/>
    <n v="99423"/>
    <n v="108473"/>
    <n v="190331"/>
    <n v="188787"/>
    <n v="483486"/>
    <n v="537.20666666666671"/>
    <n v="490657"/>
    <n v="545.17444444444448"/>
    <m/>
    <m/>
    <n v="0"/>
    <n v="0"/>
    <m/>
    <m/>
    <m/>
    <m/>
    <m/>
    <m/>
    <m/>
    <m/>
    <n v="0"/>
    <n v="0"/>
    <n v="0"/>
    <n v="0"/>
    <n v="1866.8400000000001"/>
    <n v="1896.5411111111111"/>
  </r>
  <r>
    <x v="9"/>
    <s v="Brunswick Community College"/>
    <m/>
    <n v="198084"/>
    <x v="8"/>
    <s v="sem"/>
    <m/>
    <m/>
    <m/>
    <n v="13284"/>
    <n v="12595"/>
    <n v="2187"/>
    <n v="2490"/>
    <n v="14782"/>
    <n v="13387"/>
    <n v="30253"/>
    <n v="1008.4333333333333"/>
    <n v="28472"/>
    <n v="949.06666666666672"/>
    <n v="3939"/>
    <n v="5000"/>
    <n v="30253"/>
    <n v="28472"/>
    <m/>
    <m/>
    <n v="135862"/>
    <n v="143491"/>
    <n v="90871"/>
    <n v="103148"/>
    <n v="153167"/>
    <n v="163765"/>
    <n v="379900"/>
    <n v="422.11111111111109"/>
    <n v="410404"/>
    <n v="456.00444444444446"/>
    <m/>
    <m/>
    <n v="0"/>
    <n v="0"/>
    <m/>
    <m/>
    <m/>
    <m/>
    <m/>
    <m/>
    <m/>
    <m/>
    <n v="0"/>
    <n v="0"/>
    <n v="0"/>
    <n v="0"/>
    <n v="1430.5444444444443"/>
    <n v="1405.0711111111111"/>
  </r>
  <r>
    <x v="9"/>
    <s v="Carteret Community College"/>
    <m/>
    <n v="198206"/>
    <x v="8"/>
    <s v="sem"/>
    <m/>
    <m/>
    <m/>
    <n v="16372"/>
    <n v="15525"/>
    <n v="3268"/>
    <n v="3347"/>
    <n v="16783"/>
    <n v="16257"/>
    <n v="36423"/>
    <n v="1214.0999999999999"/>
    <n v="35129"/>
    <n v="1170.9666666666667"/>
    <n v="690"/>
    <n v="489"/>
    <n v="36423"/>
    <n v="35129"/>
    <m/>
    <m/>
    <n v="131202"/>
    <n v="140200"/>
    <n v="83691"/>
    <n v="66513"/>
    <n v="124710"/>
    <n v="131173"/>
    <n v="339603"/>
    <n v="377.33666666666664"/>
    <n v="337886"/>
    <n v="375.42888888888888"/>
    <m/>
    <m/>
    <n v="0"/>
    <n v="0"/>
    <m/>
    <m/>
    <m/>
    <m/>
    <m/>
    <m/>
    <m/>
    <m/>
    <n v="0"/>
    <n v="0"/>
    <n v="0"/>
    <n v="0"/>
    <n v="1591.4366666666665"/>
    <n v="1546.3955555555556"/>
  </r>
  <r>
    <x v="9"/>
    <s v="College of the Albemarle"/>
    <m/>
    <n v="197814"/>
    <x v="8"/>
    <s v="sem"/>
    <m/>
    <m/>
    <m/>
    <n v="23574"/>
    <n v="20689"/>
    <n v="3858"/>
    <n v="3754"/>
    <n v="26541"/>
    <n v="22817"/>
    <n v="53973"/>
    <n v="1799.1"/>
    <n v="47260"/>
    <n v="1575.3333333333333"/>
    <n v="4820"/>
    <n v="4643"/>
    <n v="53973"/>
    <n v="47260"/>
    <m/>
    <m/>
    <n v="141875"/>
    <n v="129581"/>
    <n v="81230"/>
    <n v="56967"/>
    <n v="125580"/>
    <n v="132712"/>
    <n v="348685"/>
    <n v="387.42777777777781"/>
    <n v="319260"/>
    <n v="354.73333333333335"/>
    <m/>
    <m/>
    <n v="0"/>
    <n v="0"/>
    <m/>
    <m/>
    <m/>
    <m/>
    <m/>
    <m/>
    <m/>
    <m/>
    <n v="0"/>
    <n v="0"/>
    <n v="0"/>
    <n v="0"/>
    <n v="2186.5277777777778"/>
    <n v="1930.0666666666666"/>
  </r>
  <r>
    <x v="9"/>
    <s v="Halifax Community College "/>
    <m/>
    <n v="198640"/>
    <x v="8"/>
    <s v="sem"/>
    <m/>
    <m/>
    <m/>
    <n v="16344"/>
    <n v="15218"/>
    <n v="1586"/>
    <n v="1629"/>
    <n v="17138"/>
    <n v="15989"/>
    <n v="35068"/>
    <n v="1168.9333333333334"/>
    <n v="32836"/>
    <n v="1094.5333333333333"/>
    <n v="1028"/>
    <n v="1819"/>
    <n v="35068"/>
    <n v="32836"/>
    <m/>
    <m/>
    <n v="134468"/>
    <n v="111407"/>
    <n v="72182"/>
    <n v="47307"/>
    <n v="122318"/>
    <n v="124636"/>
    <n v="328968"/>
    <n v="365.52"/>
    <n v="283350"/>
    <n v="314.83333333333331"/>
    <m/>
    <m/>
    <n v="0"/>
    <n v="0"/>
    <m/>
    <m/>
    <m/>
    <m/>
    <m/>
    <m/>
    <m/>
    <m/>
    <n v="0"/>
    <n v="0"/>
    <n v="0"/>
    <n v="0"/>
    <n v="1534.4533333333334"/>
    <n v="1409.3666666666666"/>
  </r>
  <r>
    <x v="9"/>
    <s v="James Sprunt Community College"/>
    <m/>
    <n v="198729"/>
    <x v="8"/>
    <s v="sem"/>
    <m/>
    <m/>
    <m/>
    <n v="13964"/>
    <n v="14239"/>
    <n v="1648"/>
    <n v="1618"/>
    <n v="13575"/>
    <n v="15230"/>
    <n v="29187"/>
    <n v="972.9"/>
    <n v="31087"/>
    <n v="1036.2333333333333"/>
    <n v="3270"/>
    <n v="2688"/>
    <n v="29187"/>
    <n v="31087"/>
    <m/>
    <m/>
    <n v="109336"/>
    <n v="92352"/>
    <n v="102367"/>
    <n v="52778"/>
    <n v="97915"/>
    <n v="100354"/>
    <n v="309618"/>
    <n v="344.02"/>
    <n v="245484"/>
    <n v="272.76"/>
    <m/>
    <m/>
    <n v="0"/>
    <n v="0"/>
    <m/>
    <m/>
    <m/>
    <m/>
    <m/>
    <m/>
    <m/>
    <m/>
    <n v="0"/>
    <n v="0"/>
    <n v="0"/>
    <n v="0"/>
    <n v="1316.92"/>
    <n v="1308.9933333333333"/>
  </r>
  <r>
    <x v="9"/>
    <s v="Martin Community College "/>
    <m/>
    <n v="198905"/>
    <x v="8"/>
    <s v="sem"/>
    <m/>
    <m/>
    <m/>
    <n v="7602"/>
    <n v="6580"/>
    <n v="395"/>
    <n v="529"/>
    <n v="8054"/>
    <n v="7273"/>
    <n v="16051"/>
    <n v="535.0333333333333"/>
    <n v="14382"/>
    <n v="479.4"/>
    <n v="1102"/>
    <n v="1712"/>
    <n v="16051"/>
    <n v="14382"/>
    <m/>
    <m/>
    <n v="91402"/>
    <n v="90567"/>
    <n v="55043"/>
    <n v="54738"/>
    <n v="87818"/>
    <n v="86532"/>
    <n v="234263"/>
    <n v="260.29222222222222"/>
    <n v="231837"/>
    <n v="257.59666666666669"/>
    <m/>
    <m/>
    <n v="0"/>
    <n v="0"/>
    <m/>
    <m/>
    <m/>
    <m/>
    <m/>
    <m/>
    <m/>
    <m/>
    <n v="0"/>
    <n v="0"/>
    <n v="0"/>
    <n v="0"/>
    <n v="795.32555555555552"/>
    <n v="736.99666666666667"/>
  </r>
  <r>
    <x v="9"/>
    <s v="Mayland Community College"/>
    <m/>
    <n v="198914"/>
    <x v="8"/>
    <s v="sem"/>
    <m/>
    <m/>
    <m/>
    <n v="10171"/>
    <n v="9206"/>
    <n v="774"/>
    <n v="723"/>
    <n v="8736"/>
    <n v="9283"/>
    <n v="19681"/>
    <n v="656.0333333333333"/>
    <n v="19212"/>
    <n v="640.4"/>
    <n v="3140"/>
    <n v="4800"/>
    <n v="19681"/>
    <n v="19212"/>
    <m/>
    <m/>
    <n v="207942"/>
    <n v="178983"/>
    <n v="150919"/>
    <n v="121325"/>
    <n v="192831"/>
    <n v="181986"/>
    <n v="551692"/>
    <n v="612.99111111111108"/>
    <n v="482294"/>
    <n v="535.88222222222225"/>
    <m/>
    <m/>
    <n v="0"/>
    <n v="0"/>
    <m/>
    <m/>
    <m/>
    <m/>
    <m/>
    <m/>
    <m/>
    <m/>
    <n v="0"/>
    <n v="0"/>
    <n v="0"/>
    <n v="0"/>
    <n v="1269.0244444444443"/>
    <n v="1176.2822222222221"/>
  </r>
  <r>
    <x v="9"/>
    <s v="McDowell Technical Community College"/>
    <m/>
    <n v="198923"/>
    <x v="8"/>
    <s v="sem"/>
    <m/>
    <m/>
    <m/>
    <n v="11194"/>
    <n v="9988"/>
    <n v="3416"/>
    <n v="2979"/>
    <n v="11437"/>
    <n v="10539"/>
    <n v="26047"/>
    <n v="868.23333333333335"/>
    <n v="23506"/>
    <n v="783.5333333333333"/>
    <n v="2662"/>
    <n v="4114"/>
    <n v="26047"/>
    <n v="23506"/>
    <m/>
    <m/>
    <n v="118266"/>
    <n v="141771"/>
    <n v="72034"/>
    <n v="66827"/>
    <n v="102041"/>
    <n v="110053"/>
    <n v="292341"/>
    <n v="324.82333333333332"/>
    <n v="318651"/>
    <n v="354.05666666666667"/>
    <m/>
    <m/>
    <n v="0"/>
    <n v="0"/>
    <m/>
    <m/>
    <m/>
    <m/>
    <m/>
    <m/>
    <m/>
    <m/>
    <n v="0"/>
    <n v="0"/>
    <n v="0"/>
    <n v="0"/>
    <n v="1193.0566666666666"/>
    <n v="1137.5899999999999"/>
  </r>
  <r>
    <x v="9"/>
    <s v="Montgomery Community College"/>
    <m/>
    <n v="199023"/>
    <x v="8"/>
    <s v="sem"/>
    <m/>
    <m/>
    <m/>
    <n v="7548"/>
    <n v="7090"/>
    <n v="1731"/>
    <n v="1335"/>
    <n v="7589"/>
    <n v="7101"/>
    <n v="16868"/>
    <n v="562.26666666666665"/>
    <n v="15526"/>
    <n v="517.5333333333333"/>
    <n v="473"/>
    <n v="1056"/>
    <n v="16868"/>
    <n v="15526"/>
    <m/>
    <m/>
    <n v="97923"/>
    <n v="85612"/>
    <n v="54352"/>
    <n v="53769"/>
    <n v="99652"/>
    <n v="90262"/>
    <n v="251927"/>
    <n v="279.91888888888889"/>
    <n v="229643"/>
    <n v="255.1588888888889"/>
    <m/>
    <m/>
    <n v="0"/>
    <n v="0"/>
    <m/>
    <m/>
    <m/>
    <m/>
    <m/>
    <m/>
    <m/>
    <m/>
    <n v="0"/>
    <n v="0"/>
    <n v="0"/>
    <n v="0"/>
    <n v="842.18555555555554"/>
    <n v="772.6922222222222"/>
  </r>
  <r>
    <x v="9"/>
    <s v="Pamlico Community College"/>
    <m/>
    <n v="199263"/>
    <x v="8"/>
    <s v="sem"/>
    <m/>
    <m/>
    <m/>
    <n v="2909"/>
    <n v="4313"/>
    <n v="275"/>
    <n v="478"/>
    <n v="3516"/>
    <n v="4293"/>
    <n v="6700"/>
    <n v="223.33333333333334"/>
    <n v="9084"/>
    <n v="302.8"/>
    <n v="2239"/>
    <n v="3002"/>
    <n v="6700"/>
    <n v="9084"/>
    <m/>
    <m/>
    <n v="86416"/>
    <n v="58485"/>
    <n v="45399"/>
    <n v="54488"/>
    <n v="52000"/>
    <n v="50698"/>
    <n v="183815"/>
    <n v="204.23888888888888"/>
    <n v="163671"/>
    <n v="181.85666666666665"/>
    <m/>
    <m/>
    <n v="0"/>
    <n v="0"/>
    <m/>
    <m/>
    <m/>
    <m/>
    <m/>
    <m/>
    <m/>
    <m/>
    <n v="0"/>
    <n v="0"/>
    <n v="0"/>
    <n v="0"/>
    <n v="427.57222222222219"/>
    <n v="484.65666666666664"/>
  </r>
  <r>
    <x v="9"/>
    <s v="Piedmont Community College"/>
    <m/>
    <n v="199324"/>
    <x v="8"/>
    <s v="sem"/>
    <m/>
    <m/>
    <m/>
    <n v="17467"/>
    <n v="15599"/>
    <n v="2340"/>
    <n v="2184"/>
    <n v="18852"/>
    <n v="16206"/>
    <n v="38659"/>
    <n v="1288.6333333333334"/>
    <n v="33989"/>
    <n v="1132.9666666666667"/>
    <n v="4912"/>
    <n v="2256"/>
    <n v="38659"/>
    <n v="33989"/>
    <m/>
    <m/>
    <n v="209670"/>
    <n v="206857"/>
    <n v="112376"/>
    <n v="120301"/>
    <n v="203081"/>
    <n v="211673"/>
    <n v="525127"/>
    <n v="583.47444444444443"/>
    <n v="538831"/>
    <n v="598.70111111111112"/>
    <m/>
    <m/>
    <n v="0"/>
    <n v="0"/>
    <m/>
    <m/>
    <m/>
    <m/>
    <m/>
    <m/>
    <m/>
    <m/>
    <n v="0"/>
    <n v="0"/>
    <n v="0"/>
    <n v="0"/>
    <n v="1872.1077777777778"/>
    <n v="1731.6677777777777"/>
  </r>
  <r>
    <x v="9"/>
    <s v="Richmond Community College"/>
    <s v="Met the criteria for Two-Year 2 in 2012-13 and 2013-14."/>
    <n v="199449"/>
    <x v="8"/>
    <s v="sem"/>
    <m/>
    <m/>
    <m/>
    <n v="21833"/>
    <n v="21332"/>
    <n v="4236"/>
    <n v="3556"/>
    <n v="23413"/>
    <n v="22926"/>
    <n v="49482"/>
    <n v="1649.4"/>
    <n v="47814"/>
    <n v="1593.8"/>
    <n v="5980"/>
    <n v="6326"/>
    <n v="49482"/>
    <n v="47814"/>
    <m/>
    <m/>
    <n v="194240"/>
    <n v="203311"/>
    <n v="142381"/>
    <n v="154154"/>
    <n v="208897"/>
    <n v="220409"/>
    <n v="545518"/>
    <n v="606.13111111111107"/>
    <n v="577874"/>
    <n v="642.08222222222219"/>
    <m/>
    <m/>
    <n v="0"/>
    <n v="0"/>
    <m/>
    <m/>
    <m/>
    <m/>
    <m/>
    <m/>
    <m/>
    <m/>
    <n v="0"/>
    <n v="0"/>
    <n v="0"/>
    <n v="0"/>
    <n v="2255.5311111111114"/>
    <n v="2235.882222222222"/>
  </r>
  <r>
    <x v="9"/>
    <s v="Roanoke-Chowan Community College"/>
    <m/>
    <n v="199467"/>
    <x v="8"/>
    <s v="sem"/>
    <m/>
    <m/>
    <m/>
    <n v="7716"/>
    <n v="7162"/>
    <n v="0"/>
    <n v="786"/>
    <n v="8566"/>
    <n v="8129"/>
    <n v="16282"/>
    <n v="542.73333333333335"/>
    <n v="16077"/>
    <n v="535.9"/>
    <n v="2172"/>
    <n v="1927"/>
    <n v="16282"/>
    <n v="16077"/>
    <m/>
    <m/>
    <n v="74253"/>
    <n v="69633"/>
    <n v="46554"/>
    <n v="42006"/>
    <n v="63832"/>
    <n v="73600"/>
    <n v="184639"/>
    <n v="205.15444444444444"/>
    <n v="185239"/>
    <n v="205.82111111111112"/>
    <m/>
    <m/>
    <n v="0"/>
    <n v="0"/>
    <m/>
    <m/>
    <m/>
    <m/>
    <m/>
    <m/>
    <m/>
    <m/>
    <n v="0"/>
    <n v="0"/>
    <n v="0"/>
    <n v="0"/>
    <n v="747.88777777777773"/>
    <n v="741.7211111111111"/>
  </r>
  <r>
    <x v="9"/>
    <s v="Rockingham Community College "/>
    <m/>
    <n v="199485"/>
    <x v="8"/>
    <s v="sem"/>
    <m/>
    <m/>
    <m/>
    <n v="19300"/>
    <n v="17281"/>
    <n v="3816"/>
    <n v="3310"/>
    <n v="21803"/>
    <n v="18989"/>
    <n v="44919"/>
    <n v="1497.3"/>
    <n v="39580"/>
    <n v="1319.3333333333333"/>
    <n v="2597"/>
    <n v="3185"/>
    <n v="44919"/>
    <n v="39580"/>
    <m/>
    <m/>
    <n v="111454"/>
    <n v="96993"/>
    <n v="65301"/>
    <n v="62819"/>
    <n v="113318"/>
    <n v="109074"/>
    <n v="290073"/>
    <n v="322.30333333333334"/>
    <n v="268886"/>
    <n v="298.76222222222225"/>
    <m/>
    <m/>
    <n v="0"/>
    <n v="0"/>
    <m/>
    <m/>
    <m/>
    <m/>
    <m/>
    <m/>
    <m/>
    <m/>
    <n v="0"/>
    <n v="0"/>
    <n v="0"/>
    <n v="0"/>
    <n v="1819.6033333333332"/>
    <n v="1618.0955555555556"/>
  </r>
  <r>
    <x v="9"/>
    <s v="Sampson Community College"/>
    <m/>
    <n v="199625"/>
    <x v="8"/>
    <s v="sem"/>
    <m/>
    <m/>
    <m/>
    <n v="13272"/>
    <n v="11926"/>
    <n v="863"/>
    <n v="1378"/>
    <n v="13836"/>
    <n v="12394"/>
    <n v="27971"/>
    <n v="932.36666666666667"/>
    <n v="25698"/>
    <n v="856.6"/>
    <n v="3462"/>
    <n v="4699"/>
    <n v="27971"/>
    <n v="25698"/>
    <m/>
    <m/>
    <n v="143346"/>
    <n v="152630"/>
    <n v="113581"/>
    <n v="121777"/>
    <n v="205855"/>
    <n v="203727"/>
    <n v="462782"/>
    <n v="514.20222222222219"/>
    <n v="478134"/>
    <n v="531.26"/>
    <m/>
    <m/>
    <n v="0"/>
    <n v="0"/>
    <m/>
    <m/>
    <m/>
    <m/>
    <m/>
    <m/>
    <m/>
    <m/>
    <n v="0"/>
    <n v="0"/>
    <n v="0"/>
    <n v="0"/>
    <n v="1446.568888888889"/>
    <n v="1387.8600000000001"/>
  </r>
  <r>
    <x v="9"/>
    <s v="South Piedmont Community College"/>
    <s v="Met the criteria for Two-Year 2 in 2012-13 and 2013-14."/>
    <n v="197850"/>
    <x v="8"/>
    <s v="sem"/>
    <m/>
    <m/>
    <m/>
    <n v="17968"/>
    <n v="17932"/>
    <n v="3430"/>
    <n v="3771"/>
    <n v="20086"/>
    <n v="19009"/>
    <n v="41484"/>
    <n v="1382.8"/>
    <n v="40712"/>
    <n v="1357.0666666666666"/>
    <n v="6889"/>
    <n v="7588"/>
    <n v="41484"/>
    <n v="40712"/>
    <m/>
    <m/>
    <n v="249826"/>
    <n v="263576"/>
    <n v="171283"/>
    <n v="147723"/>
    <n v="271279"/>
    <n v="286970"/>
    <n v="692388"/>
    <n v="769.32"/>
    <n v="698269"/>
    <n v="775.85444444444443"/>
    <m/>
    <m/>
    <n v="0"/>
    <n v="0"/>
    <m/>
    <m/>
    <m/>
    <m/>
    <m/>
    <m/>
    <m/>
    <m/>
    <n v="0"/>
    <n v="0"/>
    <n v="0"/>
    <n v="0"/>
    <n v="2152.12"/>
    <n v="2132.9211111111108"/>
  </r>
  <r>
    <x v="9"/>
    <s v="Southeastern Community College "/>
    <m/>
    <n v="199722"/>
    <x v="8"/>
    <s v="sem"/>
    <m/>
    <m/>
    <m/>
    <n v="16228"/>
    <n v="14263"/>
    <n v="4842"/>
    <n v="4134"/>
    <n v="19135"/>
    <n v="16423"/>
    <n v="40205"/>
    <n v="1340.1666666666667"/>
    <n v="34820"/>
    <n v="1160.6666666666667"/>
    <n v="3032"/>
    <n v="2537"/>
    <n v="40205"/>
    <n v="34820"/>
    <m/>
    <m/>
    <n v="265023"/>
    <n v="286647"/>
    <n v="167311"/>
    <n v="164927"/>
    <n v="307655"/>
    <n v="268246"/>
    <n v="739989"/>
    <n v="822.21"/>
    <n v="719820"/>
    <n v="799.8"/>
    <m/>
    <m/>
    <n v="0"/>
    <n v="0"/>
    <m/>
    <m/>
    <m/>
    <m/>
    <m/>
    <m/>
    <m/>
    <m/>
    <n v="0"/>
    <n v="0"/>
    <n v="0"/>
    <n v="0"/>
    <n v="2162.376666666667"/>
    <n v="1960.4666666666667"/>
  </r>
  <r>
    <x v="9"/>
    <s v="Southwestern Community College "/>
    <s v="Met the criteria for Two-Year 2 in 2012-13 and 2013-14."/>
    <n v="199731"/>
    <x v="8"/>
    <s v="sem"/>
    <m/>
    <m/>
    <m/>
    <n v="21882"/>
    <n v="21459"/>
    <n v="5625"/>
    <n v="5266"/>
    <n v="21977"/>
    <n v="22885"/>
    <n v="49484"/>
    <n v="1649.4666666666667"/>
    <n v="49610"/>
    <n v="1653.6666666666667"/>
    <n v="6882"/>
    <n v="6616"/>
    <n v="49484"/>
    <n v="49610"/>
    <m/>
    <m/>
    <n v="166775"/>
    <n v="166096"/>
    <n v="71369"/>
    <n v="97013"/>
    <n v="164413"/>
    <n v="158398"/>
    <n v="402557"/>
    <n v="447.28555555555556"/>
    <n v="421507"/>
    <n v="468.3411111111111"/>
    <m/>
    <m/>
    <n v="0"/>
    <n v="0"/>
    <m/>
    <m/>
    <m/>
    <m/>
    <m/>
    <m/>
    <m/>
    <m/>
    <n v="0"/>
    <n v="0"/>
    <n v="0"/>
    <n v="0"/>
    <n v="2096.7522222222224"/>
    <n v="2122.0077777777778"/>
  </r>
  <r>
    <x v="9"/>
    <s v="Tri-County Community College "/>
    <m/>
    <n v="199795"/>
    <x v="8"/>
    <s v="sem"/>
    <m/>
    <m/>
    <m/>
    <n v="11742"/>
    <n v="12607"/>
    <n v="1808"/>
    <n v="1701"/>
    <n v="12576"/>
    <n v="12624"/>
    <n v="26126"/>
    <n v="870.86666666666667"/>
    <n v="26932"/>
    <n v="897.73333333333335"/>
    <n v="4048"/>
    <n v="4136"/>
    <n v="26126"/>
    <n v="26932"/>
    <m/>
    <m/>
    <n v="49211"/>
    <n v="53598"/>
    <n v="34904"/>
    <n v="28788"/>
    <n v="78978"/>
    <n v="68734"/>
    <n v="163093"/>
    <n v="181.21444444444444"/>
    <n v="151120"/>
    <n v="167.9111111111111"/>
    <m/>
    <m/>
    <n v="0"/>
    <n v="0"/>
    <m/>
    <m/>
    <m/>
    <m/>
    <m/>
    <m/>
    <m/>
    <m/>
    <n v="0"/>
    <n v="0"/>
    <n v="0"/>
    <n v="0"/>
    <n v="1052.0811111111111"/>
    <n v="1065.6444444444444"/>
  </r>
  <r>
    <x v="9"/>
    <s v="Wilson Community College"/>
    <m/>
    <n v="199953"/>
    <x v="8"/>
    <s v="sem"/>
    <m/>
    <m/>
    <m/>
    <n v="17037"/>
    <n v="16516"/>
    <n v="6508"/>
    <n v="6822"/>
    <n v="17755"/>
    <n v="16794"/>
    <n v="41300"/>
    <n v="1376.6666666666667"/>
    <n v="40132"/>
    <n v="1337.7333333333333"/>
    <n v="2185"/>
    <n v="3405"/>
    <n v="41300"/>
    <n v="40132"/>
    <m/>
    <m/>
    <n v="142061"/>
    <n v="162045"/>
    <n v="86191"/>
    <n v="81957"/>
    <n v="138636"/>
    <n v="153064"/>
    <n v="366888"/>
    <n v="407.65333333333331"/>
    <n v="397066"/>
    <n v="441.18444444444447"/>
    <m/>
    <m/>
    <n v="0"/>
    <n v="0"/>
    <m/>
    <m/>
    <m/>
    <m/>
    <m/>
    <m/>
    <m/>
    <m/>
    <n v="0"/>
    <n v="0"/>
    <n v="0"/>
    <n v="0"/>
    <n v="1784.3200000000002"/>
    <n v="1778.9177777777777"/>
  </r>
  <r>
    <x v="10"/>
    <s v="Oklahoma State University Main Campus"/>
    <m/>
    <n v="207388"/>
    <x v="0"/>
    <s v="sem"/>
    <s v="sem"/>
    <m/>
    <m/>
    <n v="259507"/>
    <n v="274206"/>
    <n v="33526"/>
    <n v="32382"/>
    <n v="294208"/>
    <n v="302098"/>
    <n v="587241"/>
    <n v="19574.7"/>
    <n v="608686"/>
    <n v="20289.533333333333"/>
    <n v="998"/>
    <n v="824"/>
    <n v="587241"/>
    <n v="608686"/>
    <m/>
    <m/>
    <m/>
    <m/>
    <m/>
    <m/>
    <m/>
    <m/>
    <n v="0"/>
    <n v="0"/>
    <n v="0"/>
    <n v="0"/>
    <m/>
    <m/>
    <n v="0"/>
    <n v="0"/>
    <m/>
    <m/>
    <n v="24070"/>
    <n v="47452"/>
    <n v="9234"/>
    <n v="13718"/>
    <n v="27049"/>
    <n v="50450"/>
    <n v="60353"/>
    <n v="2514.7083333333335"/>
    <n v="111620"/>
    <n v="4650.833333333333"/>
    <n v="22089.408333333333"/>
    <n v="24940.366666666665"/>
  </r>
  <r>
    <x v="10"/>
    <s v="University of Oklahoma Norman Campus"/>
    <m/>
    <n v="207500"/>
    <x v="0"/>
    <s v="sem"/>
    <s v="sem"/>
    <m/>
    <m/>
    <n v="314245"/>
    <n v="312399"/>
    <n v="52379"/>
    <n v="54256"/>
    <n v="337875"/>
    <n v="341164"/>
    <n v="704499"/>
    <n v="23483.3"/>
    <n v="707819"/>
    <n v="23593.966666666667"/>
    <n v="616"/>
    <n v="607"/>
    <n v="704499"/>
    <n v="707819"/>
    <m/>
    <m/>
    <m/>
    <m/>
    <m/>
    <m/>
    <m/>
    <m/>
    <n v="0"/>
    <n v="0"/>
    <n v="0"/>
    <n v="0"/>
    <m/>
    <m/>
    <n v="0"/>
    <n v="0"/>
    <m/>
    <m/>
    <n v="38127"/>
    <n v="82580"/>
    <n v="12748"/>
    <n v="25928"/>
    <n v="35622"/>
    <n v="86875"/>
    <n v="86497"/>
    <n v="3604.0416666666665"/>
    <n v="195383"/>
    <n v="8140.958333333333"/>
    <n v="27087.341666666667"/>
    <n v="31734.924999999999"/>
  </r>
  <r>
    <x v="10"/>
    <s v="Northeastern State University"/>
    <m/>
    <n v="207263"/>
    <x v="2"/>
    <s v="sem"/>
    <s v="sem"/>
    <m/>
    <m/>
    <n v="86831"/>
    <n v="83094"/>
    <n v="15474"/>
    <n v="15205"/>
    <n v="90882"/>
    <n v="89357"/>
    <n v="193187"/>
    <n v="6439.5666666666666"/>
    <n v="187656"/>
    <n v="6255.2"/>
    <n v="1300"/>
    <n v="1704"/>
    <n v="193187"/>
    <n v="187656"/>
    <m/>
    <m/>
    <m/>
    <m/>
    <m/>
    <m/>
    <m/>
    <m/>
    <n v="0"/>
    <n v="0"/>
    <n v="0"/>
    <n v="0"/>
    <m/>
    <m/>
    <n v="0"/>
    <n v="0"/>
    <m/>
    <m/>
    <n v="7492"/>
    <n v="8563"/>
    <n v="3335"/>
    <n v="3299"/>
    <n v="7431"/>
    <n v="8824"/>
    <n v="18258"/>
    <n v="760.75"/>
    <n v="20686"/>
    <n v="861.91666666666663"/>
    <n v="7200.3166666666666"/>
    <n v="7117.1166666666668"/>
  </r>
  <r>
    <x v="10"/>
    <s v="University of Central Oklahoma"/>
    <m/>
    <n v="206941"/>
    <x v="2"/>
    <s v="sem"/>
    <s v="sem"/>
    <m/>
    <m/>
    <n v="163897"/>
    <n v="166295"/>
    <n v="28595"/>
    <n v="28644"/>
    <n v="180666"/>
    <n v="179066"/>
    <n v="373158"/>
    <n v="12438.6"/>
    <n v="374005"/>
    <n v="12466.833333333334"/>
    <n v="2519"/>
    <n v="4204"/>
    <n v="373158"/>
    <n v="374005"/>
    <m/>
    <m/>
    <m/>
    <m/>
    <m/>
    <m/>
    <m/>
    <m/>
    <n v="0"/>
    <n v="0"/>
    <n v="0"/>
    <n v="0"/>
    <m/>
    <m/>
    <n v="0"/>
    <n v="0"/>
    <m/>
    <m/>
    <n v="11539"/>
    <n v="12128"/>
    <n v="4218"/>
    <n v="4293"/>
    <n v="11757"/>
    <n v="25306"/>
    <n v="27514"/>
    <n v="1146.4166666666667"/>
    <n v="41727"/>
    <n v="1738.625"/>
    <n v="13585.016666666666"/>
    <n v="14205.458333333334"/>
  </r>
  <r>
    <x v="10"/>
    <s v="Southeastern Oklahoma State University "/>
    <m/>
    <n v="207847"/>
    <x v="3"/>
    <s v="sem"/>
    <s v="sem"/>
    <m/>
    <m/>
    <n v="41811"/>
    <n v="39690"/>
    <n v="8004"/>
    <n v="7040"/>
    <n v="45411"/>
    <n v="43037"/>
    <n v="95226"/>
    <n v="3174.2"/>
    <n v="89767"/>
    <n v="2992.2333333333331"/>
    <n v="1448"/>
    <n v="1599"/>
    <n v="95226"/>
    <n v="89767"/>
    <m/>
    <m/>
    <m/>
    <m/>
    <m/>
    <m/>
    <m/>
    <m/>
    <n v="0"/>
    <n v="0"/>
    <n v="0"/>
    <n v="0"/>
    <m/>
    <m/>
    <n v="0"/>
    <n v="0"/>
    <m/>
    <m/>
    <n v="2410"/>
    <n v="2602"/>
    <n v="1174"/>
    <n v="941"/>
    <n v="2530"/>
    <n v="2202"/>
    <n v="6114"/>
    <n v="254.75"/>
    <n v="5745"/>
    <n v="239.375"/>
    <n v="3428.95"/>
    <n v="3231.6083333333331"/>
  </r>
  <r>
    <x v="10"/>
    <s v="Cameron University "/>
    <m/>
    <n v="206914"/>
    <x v="4"/>
    <s v="sem"/>
    <s v="sem"/>
    <m/>
    <m/>
    <n v="60635"/>
    <n v="57607"/>
    <n v="11716"/>
    <n v="10535"/>
    <n v="61744"/>
    <n v="59374"/>
    <n v="134095"/>
    <n v="4469.833333333333"/>
    <n v="127516"/>
    <n v="4250.5333333333338"/>
    <n v="2445"/>
    <n v="2477"/>
    <n v="134095"/>
    <n v="127516"/>
    <m/>
    <m/>
    <m/>
    <m/>
    <m/>
    <m/>
    <m/>
    <m/>
    <n v="0"/>
    <n v="0"/>
    <n v="0"/>
    <n v="0"/>
    <m/>
    <m/>
    <n v="0"/>
    <n v="0"/>
    <m/>
    <m/>
    <n v="3347"/>
    <n v="3457"/>
    <n v="988"/>
    <n v="1314"/>
    <n v="3504"/>
    <n v="3571"/>
    <n v="7839"/>
    <n v="326.625"/>
    <n v="8342"/>
    <n v="347.58333333333331"/>
    <n v="4796.458333333333"/>
    <n v="4598.1166666666668"/>
  </r>
  <r>
    <x v="10"/>
    <s v="East Central University "/>
    <m/>
    <n v="207041"/>
    <x v="4"/>
    <s v="sem"/>
    <s v="sem"/>
    <m/>
    <m/>
    <n v="46720"/>
    <n v="45015"/>
    <n v="8024"/>
    <n v="7497"/>
    <n v="48635"/>
    <n v="48502"/>
    <n v="103379"/>
    <n v="3445.9666666666667"/>
    <n v="101014"/>
    <n v="3367.1333333333332"/>
    <n v="1027"/>
    <n v="1190"/>
    <n v="103379"/>
    <n v="101014"/>
    <m/>
    <m/>
    <m/>
    <m/>
    <m/>
    <m/>
    <m/>
    <m/>
    <n v="0"/>
    <n v="0"/>
    <n v="0"/>
    <n v="0"/>
    <m/>
    <m/>
    <n v="0"/>
    <n v="0"/>
    <m/>
    <m/>
    <n v="5990"/>
    <n v="5885"/>
    <n v="3661"/>
    <n v="3533"/>
    <n v="5950"/>
    <n v="5542"/>
    <n v="15601"/>
    <n v="650.04166666666663"/>
    <n v="14960"/>
    <n v="623.33333333333337"/>
    <n v="4096.0083333333332"/>
    <n v="3990.4666666666667"/>
  </r>
  <r>
    <x v="10"/>
    <s v="Langston University"/>
    <m/>
    <n v="207209"/>
    <x v="4"/>
    <s v="sem"/>
    <s v="sem"/>
    <m/>
    <m/>
    <n v="27455"/>
    <n v="23523"/>
    <n v="3351"/>
    <n v="2939"/>
    <n v="26789"/>
    <n v="28053"/>
    <n v="57595"/>
    <n v="1919.8333333333333"/>
    <n v="54515"/>
    <n v="1817.1666666666667"/>
    <n v="0"/>
    <n v="20"/>
    <n v="57595"/>
    <n v="54515"/>
    <m/>
    <m/>
    <m/>
    <m/>
    <m/>
    <m/>
    <m/>
    <m/>
    <n v="0"/>
    <n v="0"/>
    <n v="0"/>
    <n v="0"/>
    <m/>
    <m/>
    <n v="0"/>
    <n v="0"/>
    <m/>
    <m/>
    <n v="3637"/>
    <n v="3380"/>
    <n v="2034"/>
    <n v="1388"/>
    <n v="3351"/>
    <n v="3194"/>
    <n v="9022"/>
    <n v="375.91666666666669"/>
    <n v="7962"/>
    <n v="331.75"/>
    <n v="2295.75"/>
    <n v="2148.916666666667"/>
  </r>
  <r>
    <x v="10"/>
    <s v="Northwestern Oklahoma State University "/>
    <m/>
    <n v="207306"/>
    <x v="4"/>
    <s v="sem"/>
    <s v="sem"/>
    <m/>
    <m/>
    <n v="22497"/>
    <n v="23196"/>
    <n v="3327"/>
    <n v="3559"/>
    <n v="25327"/>
    <n v="25394"/>
    <n v="51151"/>
    <n v="1705.0333333333333"/>
    <n v="52149"/>
    <n v="1738.3"/>
    <n v="547"/>
    <n v="558"/>
    <n v="51151"/>
    <n v="52149"/>
    <m/>
    <m/>
    <m/>
    <m/>
    <m/>
    <m/>
    <m/>
    <m/>
    <n v="0"/>
    <n v="0"/>
    <n v="0"/>
    <n v="0"/>
    <m/>
    <m/>
    <n v="0"/>
    <n v="0"/>
    <m/>
    <m/>
    <n v="1025"/>
    <n v="1766"/>
    <n v="830"/>
    <n v="897"/>
    <n v="1127"/>
    <n v="1555"/>
    <n v="2982"/>
    <n v="124.25"/>
    <n v="4218"/>
    <n v="175.75"/>
    <n v="1829.2833333333333"/>
    <n v="1914.05"/>
  </r>
  <r>
    <x v="10"/>
    <s v="Southwestern Oklahoma State University"/>
    <m/>
    <n v="207865"/>
    <x v="4"/>
    <s v="sem"/>
    <s v="sem"/>
    <m/>
    <m/>
    <n v="53247"/>
    <n v="51998"/>
    <n v="8776"/>
    <n v="8139"/>
    <n v="58520"/>
    <n v="57130"/>
    <n v="120543"/>
    <n v="4018.1"/>
    <n v="117267"/>
    <n v="3908.9"/>
    <n v="1482"/>
    <n v="1599"/>
    <n v="120543"/>
    <n v="117267"/>
    <m/>
    <m/>
    <m/>
    <m/>
    <m/>
    <m/>
    <m/>
    <m/>
    <n v="0"/>
    <n v="0"/>
    <n v="0"/>
    <n v="0"/>
    <m/>
    <m/>
    <n v="0"/>
    <n v="0"/>
    <m/>
    <m/>
    <n v="5807"/>
    <n v="8477"/>
    <n v="2350"/>
    <n v="2083"/>
    <n v="5241"/>
    <n v="8477"/>
    <n v="13398"/>
    <n v="558.25"/>
    <n v="19037"/>
    <n v="793.20833333333337"/>
    <n v="4576.3500000000004"/>
    <n v="4702.1083333333336"/>
  </r>
  <r>
    <x v="10"/>
    <s v="Oklahoma Panhandle State University "/>
    <m/>
    <n v="207351"/>
    <x v="5"/>
    <s v="sem"/>
    <s v="sem"/>
    <m/>
    <m/>
    <n v="19721"/>
    <n v="18177"/>
    <n v="1777"/>
    <n v="1811"/>
    <n v="21010"/>
    <n v="17572"/>
    <n v="42508"/>
    <n v="1416.9333333333334"/>
    <n v="37560"/>
    <n v="1252"/>
    <n v="445"/>
    <n v="675"/>
    <n v="42508"/>
    <n v="37560"/>
    <m/>
    <m/>
    <m/>
    <m/>
    <m/>
    <m/>
    <m/>
    <m/>
    <n v="0"/>
    <n v="0"/>
    <n v="0"/>
    <n v="0"/>
    <m/>
    <m/>
    <n v="0"/>
    <n v="0"/>
    <m/>
    <m/>
    <m/>
    <m/>
    <m/>
    <m/>
    <m/>
    <m/>
    <n v="0"/>
    <n v="0"/>
    <n v="0"/>
    <n v="0"/>
    <n v="1416.9333333333334"/>
    <n v="1252"/>
  </r>
  <r>
    <x v="10"/>
    <s v="Rogers State University"/>
    <m/>
    <n v="207661"/>
    <x v="5"/>
    <s v="sem"/>
    <s v="sem"/>
    <m/>
    <m/>
    <n v="47320"/>
    <n v="45591"/>
    <n v="7856"/>
    <n v="6673"/>
    <n v="51001"/>
    <n v="47061"/>
    <n v="106177"/>
    <n v="3539.2333333333331"/>
    <n v="99325"/>
    <n v="3310.8333333333335"/>
    <n v="4409"/>
    <n v="4634"/>
    <n v="106177"/>
    <n v="99325"/>
    <m/>
    <m/>
    <m/>
    <m/>
    <m/>
    <m/>
    <m/>
    <m/>
    <n v="0"/>
    <n v="0"/>
    <n v="0"/>
    <n v="0"/>
    <m/>
    <m/>
    <n v="0"/>
    <n v="0"/>
    <m/>
    <m/>
    <m/>
    <m/>
    <m/>
    <m/>
    <m/>
    <m/>
    <n v="0"/>
    <n v="0"/>
    <n v="0"/>
    <n v="0"/>
    <n v="3539.2333333333331"/>
    <n v="3310.8333333333335"/>
  </r>
  <r>
    <x v="10"/>
    <s v="University of Science and Arts of Oklahoma"/>
    <m/>
    <n v="207722"/>
    <x v="5"/>
    <s v="sem"/>
    <s v="sem"/>
    <m/>
    <m/>
    <n v="11408"/>
    <n v="10801"/>
    <n v="4533"/>
    <n v="3799"/>
    <n v="12452"/>
    <n v="12070"/>
    <n v="28393"/>
    <n v="946.43333333333328"/>
    <n v="26670"/>
    <n v="889"/>
    <n v="81"/>
    <n v="92"/>
    <n v="28393"/>
    <n v="26670"/>
    <m/>
    <m/>
    <m/>
    <m/>
    <m/>
    <m/>
    <m/>
    <m/>
    <n v="0"/>
    <n v="0"/>
    <n v="0"/>
    <n v="0"/>
    <m/>
    <m/>
    <n v="0"/>
    <n v="0"/>
    <m/>
    <m/>
    <m/>
    <m/>
    <m/>
    <m/>
    <m/>
    <m/>
    <n v="0"/>
    <n v="0"/>
    <n v="0"/>
    <n v="0"/>
    <n v="946.43333333333328"/>
    <n v="889"/>
  </r>
  <r>
    <x v="10"/>
    <s v="Oklahoma State University Technical Branch-Okmulgee "/>
    <s v="Met the criteria for Two-Year 2 institution in 2012-13 and 2013-14."/>
    <n v="207564"/>
    <x v="11"/>
    <s v="sem"/>
    <s v="sem"/>
    <m/>
    <m/>
    <n v="35923"/>
    <n v="36881"/>
    <n v="23086"/>
    <n v="22316"/>
    <n v="37331"/>
    <n v="40087"/>
    <n v="96340"/>
    <n v="3211.3333333333335"/>
    <n v="99284"/>
    <n v="3309.4666666666667"/>
    <n v="6299"/>
    <n v="7349"/>
    <n v="96340"/>
    <n v="99284"/>
    <m/>
    <m/>
    <m/>
    <m/>
    <m/>
    <m/>
    <m/>
    <m/>
    <n v="0"/>
    <n v="0"/>
    <n v="0"/>
    <n v="0"/>
    <m/>
    <m/>
    <n v="0"/>
    <n v="0"/>
    <m/>
    <m/>
    <m/>
    <m/>
    <m/>
    <m/>
    <m/>
    <m/>
    <n v="0"/>
    <n v="0"/>
    <n v="0"/>
    <n v="0"/>
    <n v="3211.3333333333335"/>
    <n v="3309.4666666666667"/>
  </r>
  <r>
    <x v="10"/>
    <s v="Oklahoma State University-Oklahoma City "/>
    <s v="Met the criteria for Two-Year 2 institution in 2013-14."/>
    <n v="207397"/>
    <x v="11"/>
    <s v="sem"/>
    <s v="sem"/>
    <m/>
    <m/>
    <n v="71210"/>
    <n v="65941"/>
    <n v="20919"/>
    <n v="17400"/>
    <n v="75625"/>
    <n v="66651"/>
    <n v="167754"/>
    <n v="5591.8"/>
    <n v="149992"/>
    <n v="4999.7333333333336"/>
    <n v="3336"/>
    <n v="3609"/>
    <n v="167754"/>
    <n v="149992"/>
    <m/>
    <m/>
    <m/>
    <m/>
    <m/>
    <m/>
    <m/>
    <m/>
    <n v="0"/>
    <n v="0"/>
    <n v="0"/>
    <n v="0"/>
    <m/>
    <m/>
    <n v="0"/>
    <n v="0"/>
    <m/>
    <m/>
    <m/>
    <m/>
    <m/>
    <m/>
    <m/>
    <m/>
    <n v="0"/>
    <n v="0"/>
    <n v="0"/>
    <n v="0"/>
    <n v="5591.8"/>
    <n v="4999.7333333333336"/>
  </r>
  <r>
    <x v="10"/>
    <s v="Oklahoma City Community College "/>
    <m/>
    <n v="207449"/>
    <x v="6"/>
    <s v="sem"/>
    <s v="sem"/>
    <m/>
    <m/>
    <n v="120354"/>
    <n v="111438"/>
    <n v="30470"/>
    <n v="29459"/>
    <n v="122469"/>
    <n v="117292"/>
    <n v="273293"/>
    <n v="9109.7666666666664"/>
    <n v="258189"/>
    <n v="8606.2999999999993"/>
    <n v="17241"/>
    <n v="10753"/>
    <n v="273293"/>
    <n v="258189"/>
    <m/>
    <m/>
    <m/>
    <m/>
    <m/>
    <m/>
    <m/>
    <m/>
    <n v="0"/>
    <n v="0"/>
    <n v="0"/>
    <n v="0"/>
    <m/>
    <m/>
    <n v="0"/>
    <n v="0"/>
    <m/>
    <m/>
    <m/>
    <m/>
    <m/>
    <m/>
    <m/>
    <m/>
    <n v="0"/>
    <n v="0"/>
    <n v="0"/>
    <n v="0"/>
    <n v="9109.7666666666664"/>
    <n v="8606.2999999999993"/>
  </r>
  <r>
    <x v="10"/>
    <s v="Rose State College "/>
    <s v="Met the criteria for Two-Year 2 institution in 2013-14."/>
    <n v="207670"/>
    <x v="6"/>
    <s v="sem"/>
    <s v="sem"/>
    <m/>
    <m/>
    <n v="67236"/>
    <n v="61126"/>
    <n v="15835"/>
    <n v="14302"/>
    <n v="69916"/>
    <n v="63154"/>
    <n v="152987"/>
    <n v="5099.5666666666666"/>
    <n v="138582"/>
    <n v="4619.3999999999996"/>
    <n v="4292"/>
    <n v="4158"/>
    <n v="152987"/>
    <n v="138582"/>
    <m/>
    <m/>
    <m/>
    <m/>
    <m/>
    <m/>
    <m/>
    <m/>
    <n v="0"/>
    <n v="0"/>
    <n v="0"/>
    <n v="0"/>
    <m/>
    <m/>
    <n v="0"/>
    <n v="0"/>
    <m/>
    <m/>
    <m/>
    <m/>
    <m/>
    <m/>
    <m/>
    <m/>
    <n v="0"/>
    <n v="0"/>
    <n v="0"/>
    <n v="0"/>
    <n v="5099.5666666666666"/>
    <n v="4619.3999999999996"/>
  </r>
  <r>
    <x v="10"/>
    <s v="Tulsa Community College "/>
    <m/>
    <n v="207935"/>
    <x v="6"/>
    <s v="sem"/>
    <s v="sem"/>
    <m/>
    <m/>
    <n v="165422"/>
    <n v="156923"/>
    <n v="47856"/>
    <n v="42359"/>
    <n v="169640"/>
    <n v="159214"/>
    <n v="382918"/>
    <n v="12763.933333333332"/>
    <n v="358496"/>
    <n v="11949.866666666667"/>
    <n v="14531"/>
    <n v="16922"/>
    <n v="382918"/>
    <n v="358496"/>
    <m/>
    <m/>
    <m/>
    <m/>
    <m/>
    <m/>
    <m/>
    <m/>
    <n v="0"/>
    <n v="0"/>
    <n v="0"/>
    <n v="0"/>
    <m/>
    <m/>
    <n v="0"/>
    <n v="0"/>
    <m/>
    <m/>
    <m/>
    <m/>
    <m/>
    <m/>
    <m/>
    <m/>
    <n v="0"/>
    <n v="0"/>
    <n v="0"/>
    <n v="0"/>
    <n v="12763.933333333332"/>
    <n v="11949.866666666667"/>
  </r>
  <r>
    <x v="10"/>
    <s v="Carl Albert State College"/>
    <s v="Met the criteria for Two-Year 3 institution in 2013-14."/>
    <n v="206923"/>
    <x v="7"/>
    <s v="sem"/>
    <s v="sem"/>
    <m/>
    <m/>
    <n v="28774"/>
    <n v="27088"/>
    <n v="4168"/>
    <n v="4360"/>
    <n v="29971"/>
    <n v="28007"/>
    <n v="62913"/>
    <n v="2097.1"/>
    <n v="59455"/>
    <n v="1981.8333333333333"/>
    <n v="2361"/>
    <n v="2455"/>
    <n v="62913"/>
    <n v="59455"/>
    <m/>
    <m/>
    <m/>
    <m/>
    <m/>
    <m/>
    <m/>
    <m/>
    <n v="0"/>
    <n v="0"/>
    <n v="0"/>
    <n v="0"/>
    <m/>
    <m/>
    <n v="0"/>
    <n v="0"/>
    <m/>
    <m/>
    <m/>
    <m/>
    <m/>
    <m/>
    <m/>
    <m/>
    <n v="0"/>
    <n v="0"/>
    <n v="0"/>
    <n v="0"/>
    <n v="2097.1"/>
    <n v="1981.8333333333333"/>
  </r>
  <r>
    <x v="10"/>
    <s v="Northern Oklahoma College "/>
    <m/>
    <n v="207281"/>
    <x v="7"/>
    <s v="sem"/>
    <s v="sem"/>
    <m/>
    <m/>
    <n v="49789"/>
    <n v="45161"/>
    <n v="6950"/>
    <n v="6514"/>
    <n v="50260"/>
    <n v="47501"/>
    <n v="106999"/>
    <n v="3566.6333333333332"/>
    <n v="99176"/>
    <n v="3305.8666666666668"/>
    <n v="6756"/>
    <n v="5639"/>
    <n v="106999"/>
    <n v="99176"/>
    <m/>
    <m/>
    <m/>
    <m/>
    <m/>
    <m/>
    <m/>
    <m/>
    <n v="0"/>
    <n v="0"/>
    <n v="0"/>
    <n v="0"/>
    <m/>
    <m/>
    <n v="0"/>
    <n v="0"/>
    <m/>
    <m/>
    <m/>
    <m/>
    <m/>
    <m/>
    <m/>
    <m/>
    <n v="0"/>
    <n v="0"/>
    <n v="0"/>
    <n v="0"/>
    <n v="3566.6333333333332"/>
    <n v="3305.8666666666668"/>
  </r>
  <r>
    <x v="10"/>
    <s v="Connors State College "/>
    <m/>
    <n v="206996"/>
    <x v="8"/>
    <s v="sem"/>
    <s v="sem"/>
    <m/>
    <m/>
    <n v="29393"/>
    <n v="23101"/>
    <n v="4136"/>
    <n v="4484"/>
    <n v="25914"/>
    <n v="26315"/>
    <n v="59443"/>
    <n v="1981.4333333333334"/>
    <n v="53900"/>
    <n v="1796.6666666666667"/>
    <n v="4904"/>
    <n v="7379"/>
    <n v="59443"/>
    <n v="53900"/>
    <m/>
    <m/>
    <m/>
    <m/>
    <m/>
    <m/>
    <m/>
    <m/>
    <n v="0"/>
    <n v="0"/>
    <n v="0"/>
    <n v="0"/>
    <m/>
    <m/>
    <n v="0"/>
    <n v="0"/>
    <m/>
    <m/>
    <m/>
    <m/>
    <m/>
    <m/>
    <m/>
    <m/>
    <n v="0"/>
    <n v="0"/>
    <n v="0"/>
    <n v="0"/>
    <n v="1981.4333333333334"/>
    <n v="1796.6666666666667"/>
  </r>
  <r>
    <x v="10"/>
    <s v="Eastern Oklahoma State College "/>
    <m/>
    <n v="207050"/>
    <x v="8"/>
    <s v="sem"/>
    <s v="sem"/>
    <m/>
    <m/>
    <n v="19429"/>
    <n v="18677"/>
    <n v="3195"/>
    <n v="2786"/>
    <n v="20574"/>
    <n v="19190"/>
    <n v="43198"/>
    <n v="1439.9333333333334"/>
    <n v="40653"/>
    <n v="1355.1"/>
    <n v="3369"/>
    <n v="3703"/>
    <n v="43198"/>
    <n v="40653"/>
    <m/>
    <m/>
    <m/>
    <m/>
    <m/>
    <m/>
    <m/>
    <m/>
    <n v="0"/>
    <n v="0"/>
    <n v="0"/>
    <n v="0"/>
    <m/>
    <m/>
    <n v="0"/>
    <n v="0"/>
    <m/>
    <m/>
    <m/>
    <m/>
    <m/>
    <m/>
    <m/>
    <m/>
    <n v="0"/>
    <n v="0"/>
    <n v="0"/>
    <n v="0"/>
    <n v="1439.9333333333334"/>
    <n v="1355.1"/>
  </r>
  <r>
    <x v="10"/>
    <s v="Murray State College "/>
    <m/>
    <n v="207236"/>
    <x v="8"/>
    <s v="sem"/>
    <s v="sem"/>
    <m/>
    <m/>
    <n v="25180"/>
    <n v="23159"/>
    <n v="4778"/>
    <n v="3755"/>
    <n v="26273"/>
    <n v="22967"/>
    <n v="56231"/>
    <n v="1874.3666666666666"/>
    <n v="49881"/>
    <n v="1662.7"/>
    <n v="4697"/>
    <n v="4481"/>
    <n v="56231"/>
    <n v="49881"/>
    <m/>
    <m/>
    <m/>
    <m/>
    <m/>
    <m/>
    <m/>
    <m/>
    <n v="0"/>
    <n v="0"/>
    <n v="0"/>
    <n v="0"/>
    <m/>
    <m/>
    <n v="0"/>
    <n v="0"/>
    <m/>
    <m/>
    <m/>
    <m/>
    <m/>
    <m/>
    <m/>
    <m/>
    <n v="0"/>
    <n v="0"/>
    <n v="0"/>
    <n v="0"/>
    <n v="1874.3666666666666"/>
    <n v="1662.7"/>
  </r>
  <r>
    <x v="10"/>
    <s v="Northeastern Oklahoma A &amp; M College "/>
    <m/>
    <n v="207290"/>
    <x v="8"/>
    <s v="sem"/>
    <s v="sem"/>
    <m/>
    <m/>
    <n v="27681"/>
    <n v="26860"/>
    <n v="3957"/>
    <n v="3519"/>
    <n v="31427"/>
    <n v="29479"/>
    <n v="63065"/>
    <n v="2102.1666666666665"/>
    <n v="59858"/>
    <n v="1995.2666666666667"/>
    <n v="2105"/>
    <n v="2183"/>
    <n v="63065"/>
    <n v="59858"/>
    <m/>
    <m/>
    <m/>
    <m/>
    <m/>
    <m/>
    <m/>
    <m/>
    <n v="0"/>
    <n v="0"/>
    <n v="0"/>
    <n v="0"/>
    <m/>
    <m/>
    <n v="0"/>
    <n v="0"/>
    <m/>
    <m/>
    <m/>
    <m/>
    <m/>
    <m/>
    <m/>
    <m/>
    <n v="0"/>
    <n v="0"/>
    <n v="0"/>
    <n v="0"/>
    <n v="2102.1666666666665"/>
    <n v="1995.2666666666667"/>
  </r>
  <r>
    <x v="10"/>
    <s v="Redlands Community College"/>
    <m/>
    <n v="207069"/>
    <x v="8"/>
    <s v="sem"/>
    <s v="sem"/>
    <m/>
    <m/>
    <n v="20375"/>
    <n v="18941"/>
    <n v="3849"/>
    <n v="3665"/>
    <n v="21220"/>
    <n v="21178"/>
    <n v="45444"/>
    <n v="1514.8"/>
    <n v="43784"/>
    <n v="1459.4666666666667"/>
    <n v="7165"/>
    <n v="9354"/>
    <n v="45444"/>
    <n v="43784"/>
    <m/>
    <m/>
    <m/>
    <m/>
    <m/>
    <m/>
    <m/>
    <m/>
    <n v="0"/>
    <n v="0"/>
    <n v="0"/>
    <n v="0"/>
    <m/>
    <m/>
    <n v="0"/>
    <n v="0"/>
    <m/>
    <m/>
    <m/>
    <m/>
    <m/>
    <m/>
    <m/>
    <m/>
    <n v="0"/>
    <n v="0"/>
    <n v="0"/>
    <n v="0"/>
    <n v="1514.8"/>
    <n v="1459.4666666666667"/>
  </r>
  <r>
    <x v="10"/>
    <s v="Seminole State College "/>
    <m/>
    <n v="207740"/>
    <x v="8"/>
    <s v="sem"/>
    <s v="sem"/>
    <m/>
    <m/>
    <n v="19994"/>
    <n v="18344"/>
    <n v="2802"/>
    <n v="3642"/>
    <n v="21107"/>
    <n v="19006"/>
    <n v="43903"/>
    <n v="1463.4333333333334"/>
    <n v="40992"/>
    <n v="1366.4"/>
    <n v="3673"/>
    <n v="3900"/>
    <n v="43903"/>
    <n v="40992"/>
    <m/>
    <m/>
    <m/>
    <m/>
    <m/>
    <m/>
    <m/>
    <m/>
    <n v="0"/>
    <n v="0"/>
    <n v="0"/>
    <n v="0"/>
    <m/>
    <m/>
    <n v="0"/>
    <n v="0"/>
    <m/>
    <m/>
    <m/>
    <m/>
    <m/>
    <m/>
    <m/>
    <m/>
    <n v="0"/>
    <n v="0"/>
    <n v="0"/>
    <n v="0"/>
    <n v="1463.4333333333334"/>
    <n v="1366.4"/>
  </r>
  <r>
    <x v="10"/>
    <s v="Western Oklahoma State College "/>
    <m/>
    <n v="208035"/>
    <x v="8"/>
    <s v="sem"/>
    <s v="sem"/>
    <m/>
    <m/>
    <n v="20607"/>
    <n v="17595"/>
    <n v="12945"/>
    <n v="1401"/>
    <n v="31032"/>
    <n v="15644"/>
    <n v="64584"/>
    <n v="2152.8000000000002"/>
    <n v="34640"/>
    <n v="1154.6666666666667"/>
    <n v="3694"/>
    <n v="3237"/>
    <n v="64584"/>
    <n v="34640"/>
    <m/>
    <m/>
    <m/>
    <m/>
    <m/>
    <m/>
    <m/>
    <m/>
    <n v="0"/>
    <n v="0"/>
    <n v="0"/>
    <n v="0"/>
    <m/>
    <m/>
    <n v="0"/>
    <n v="0"/>
    <m/>
    <m/>
    <m/>
    <m/>
    <m/>
    <m/>
    <m/>
    <m/>
    <n v="0"/>
    <n v="0"/>
    <n v="0"/>
    <n v="0"/>
    <n v="2152.8000000000002"/>
    <n v="1154.6666666666667"/>
  </r>
  <r>
    <x v="10"/>
    <s v="Canadian Valley Technology Center                 "/>
    <m/>
    <n v="365374"/>
    <x v="9"/>
    <m/>
    <m/>
    <m/>
    <m/>
    <m/>
    <m/>
    <m/>
    <m/>
    <m/>
    <m/>
    <n v="0"/>
    <n v="0"/>
    <n v="0"/>
    <n v="0"/>
    <m/>
    <m/>
    <n v="0"/>
    <n v="0"/>
    <m/>
    <m/>
    <m/>
    <m/>
    <m/>
    <m/>
    <n v="1005412"/>
    <n v="1079552.3799999999"/>
    <n v="1005412"/>
    <n v="1117.1244444444444"/>
    <n v="1079552.3799999999"/>
    <n v="1199.5026444444443"/>
    <m/>
    <m/>
    <n v="0"/>
    <n v="0"/>
    <m/>
    <m/>
    <m/>
    <m/>
    <m/>
    <m/>
    <m/>
    <m/>
    <n v="0"/>
    <n v="0"/>
    <n v="0"/>
    <n v="0"/>
    <n v="1117.1244444444444"/>
    <n v="1199.5026444444443"/>
  </r>
  <r>
    <x v="10"/>
    <s v="Francis Tuttle Technology Center                  "/>
    <m/>
    <n v="245999"/>
    <x v="9"/>
    <m/>
    <m/>
    <m/>
    <m/>
    <m/>
    <m/>
    <m/>
    <m/>
    <m/>
    <m/>
    <n v="0"/>
    <n v="0"/>
    <n v="0"/>
    <n v="0"/>
    <m/>
    <m/>
    <n v="0"/>
    <n v="0"/>
    <m/>
    <m/>
    <m/>
    <m/>
    <m/>
    <m/>
    <n v="1452946"/>
    <n v="1421155.25"/>
    <n v="1452946"/>
    <n v="1614.3844444444444"/>
    <n v="1421155.25"/>
    <n v="1579.0613888888888"/>
    <m/>
    <m/>
    <n v="0"/>
    <n v="0"/>
    <m/>
    <m/>
    <m/>
    <m/>
    <m/>
    <m/>
    <m/>
    <m/>
    <n v="0"/>
    <n v="0"/>
    <n v="0"/>
    <n v="0"/>
    <n v="1614.3844444444444"/>
    <n v="1579.0613888888888"/>
  </r>
  <r>
    <x v="10"/>
    <s v="Metro Technology Centers                          "/>
    <m/>
    <n v="363165"/>
    <x v="9"/>
    <m/>
    <m/>
    <m/>
    <m/>
    <m/>
    <m/>
    <m/>
    <m/>
    <m/>
    <m/>
    <n v="0"/>
    <n v="0"/>
    <n v="0"/>
    <n v="0"/>
    <m/>
    <m/>
    <n v="0"/>
    <n v="0"/>
    <m/>
    <m/>
    <m/>
    <m/>
    <m/>
    <m/>
    <n v="1183530"/>
    <n v="977438.41"/>
    <n v="1183530"/>
    <n v="1315.0333333333333"/>
    <n v="977438.41"/>
    <n v="1086.0426777777777"/>
    <m/>
    <m/>
    <n v="0"/>
    <n v="0"/>
    <m/>
    <m/>
    <m/>
    <m/>
    <m/>
    <m/>
    <m/>
    <m/>
    <n v="0"/>
    <n v="0"/>
    <n v="0"/>
    <n v="0"/>
    <n v="1315.0333333333333"/>
    <n v="1086.0426777777777"/>
  </r>
  <r>
    <x v="10"/>
    <s v="Autry Technology Center                           "/>
    <m/>
    <n v="365213"/>
    <x v="10"/>
    <m/>
    <m/>
    <m/>
    <m/>
    <m/>
    <m/>
    <m/>
    <m/>
    <m/>
    <m/>
    <n v="0"/>
    <n v="0"/>
    <n v="0"/>
    <n v="0"/>
    <m/>
    <m/>
    <n v="0"/>
    <n v="0"/>
    <m/>
    <m/>
    <m/>
    <m/>
    <m/>
    <m/>
    <n v="487914"/>
    <n v="497102.38"/>
    <n v="487914"/>
    <n v="542.12666666666667"/>
    <n v="497102.38"/>
    <n v="552.33597777777777"/>
    <m/>
    <m/>
    <n v="0"/>
    <n v="0"/>
    <m/>
    <m/>
    <m/>
    <m/>
    <m/>
    <m/>
    <m/>
    <m/>
    <n v="0"/>
    <n v="0"/>
    <n v="0"/>
    <n v="0"/>
    <n v="542.12666666666667"/>
    <n v="552.33597777777777"/>
  </r>
  <r>
    <x v="10"/>
    <s v="Caddo Kiowa Technology Center                     "/>
    <m/>
    <n v="364946"/>
    <x v="10"/>
    <m/>
    <m/>
    <m/>
    <m/>
    <m/>
    <m/>
    <m/>
    <m/>
    <m/>
    <m/>
    <n v="0"/>
    <n v="0"/>
    <n v="0"/>
    <n v="0"/>
    <m/>
    <m/>
    <n v="0"/>
    <n v="0"/>
    <m/>
    <m/>
    <m/>
    <m/>
    <m/>
    <m/>
    <n v="324735"/>
    <n v="280227"/>
    <n v="324735"/>
    <n v="360.81666666666666"/>
    <n v="280227"/>
    <n v="311.36333333333334"/>
    <m/>
    <m/>
    <n v="0"/>
    <n v="0"/>
    <m/>
    <m/>
    <m/>
    <m/>
    <m/>
    <m/>
    <m/>
    <m/>
    <n v="0"/>
    <n v="0"/>
    <n v="0"/>
    <n v="0"/>
    <n v="360.81666666666666"/>
    <n v="311.36333333333334"/>
  </r>
  <r>
    <x v="10"/>
    <s v="Central Technology Center                         "/>
    <m/>
    <n v="246017"/>
    <x v="10"/>
    <m/>
    <m/>
    <m/>
    <m/>
    <m/>
    <m/>
    <m/>
    <m/>
    <m/>
    <m/>
    <n v="0"/>
    <n v="0"/>
    <n v="0"/>
    <n v="0"/>
    <m/>
    <m/>
    <n v="0"/>
    <n v="0"/>
    <m/>
    <m/>
    <m/>
    <m/>
    <m/>
    <m/>
    <n v="786172"/>
    <n v="717669.75"/>
    <n v="786172"/>
    <n v="873.5244444444445"/>
    <n v="717669.75"/>
    <n v="797.41083333333336"/>
    <m/>
    <m/>
    <n v="0"/>
    <n v="0"/>
    <m/>
    <m/>
    <m/>
    <m/>
    <m/>
    <m/>
    <m/>
    <m/>
    <n v="0"/>
    <n v="0"/>
    <n v="0"/>
    <n v="0"/>
    <n v="873.5244444444445"/>
    <n v="797.41083333333336"/>
  </r>
  <r>
    <x v="10"/>
    <s v="Chisholm Trail Technology Center                  "/>
    <m/>
    <n v="375656"/>
    <x v="10"/>
    <m/>
    <m/>
    <m/>
    <m/>
    <m/>
    <m/>
    <m/>
    <m/>
    <m/>
    <m/>
    <n v="0"/>
    <n v="0"/>
    <n v="0"/>
    <n v="0"/>
    <m/>
    <m/>
    <n v="0"/>
    <n v="0"/>
    <m/>
    <m/>
    <m/>
    <m/>
    <m/>
    <m/>
    <n v="92664"/>
    <n v="84706.74"/>
    <n v="92664"/>
    <n v="102.96"/>
    <n v="84706.74"/>
    <n v="94.118600000000001"/>
    <m/>
    <m/>
    <n v="0"/>
    <n v="0"/>
    <m/>
    <m/>
    <m/>
    <m/>
    <m/>
    <m/>
    <m/>
    <m/>
    <n v="0"/>
    <n v="0"/>
    <n v="0"/>
    <n v="0"/>
    <n v="102.96"/>
    <n v="94.118600000000001"/>
  </r>
  <r>
    <x v="10"/>
    <s v="Eastern Oklahoma County Technology Center         "/>
    <m/>
    <n v="418348"/>
    <x v="10"/>
    <m/>
    <m/>
    <m/>
    <m/>
    <m/>
    <m/>
    <m/>
    <m/>
    <m/>
    <m/>
    <n v="0"/>
    <n v="0"/>
    <n v="0"/>
    <n v="0"/>
    <m/>
    <m/>
    <n v="0"/>
    <n v="0"/>
    <m/>
    <m/>
    <m/>
    <m/>
    <m/>
    <m/>
    <n v="326980"/>
    <n v="310003.78999999998"/>
    <n v="326980"/>
    <n v="363.31111111111113"/>
    <n v="310003.78999999998"/>
    <n v="344.44865555555555"/>
    <m/>
    <m/>
    <n v="0"/>
    <n v="0"/>
    <m/>
    <m/>
    <m/>
    <m/>
    <m/>
    <m/>
    <m/>
    <m/>
    <n v="0"/>
    <n v="0"/>
    <n v="0"/>
    <n v="0"/>
    <n v="363.31111111111113"/>
    <n v="344.44865555555555"/>
  </r>
  <r>
    <x v="10"/>
    <s v="Gordon Cooper Technology Center                   "/>
    <m/>
    <n v="375683"/>
    <x v="10"/>
    <m/>
    <m/>
    <m/>
    <m/>
    <m/>
    <m/>
    <m/>
    <m/>
    <m/>
    <m/>
    <n v="0"/>
    <n v="0"/>
    <n v="0"/>
    <n v="0"/>
    <m/>
    <m/>
    <n v="0"/>
    <n v="0"/>
    <m/>
    <m/>
    <m/>
    <m/>
    <m/>
    <m/>
    <n v="680194"/>
    <n v="641685"/>
    <n v="680194"/>
    <n v="755.77111111111117"/>
    <n v="641685"/>
    <n v="712.98333333333335"/>
    <m/>
    <m/>
    <n v="0"/>
    <n v="0"/>
    <m/>
    <m/>
    <m/>
    <m/>
    <m/>
    <m/>
    <m/>
    <m/>
    <n v="0"/>
    <n v="0"/>
    <n v="0"/>
    <n v="0"/>
    <n v="755.77111111111117"/>
    <n v="712.98333333333335"/>
  </r>
  <r>
    <x v="10"/>
    <s v="Great Plains Technology Center                    "/>
    <m/>
    <n v="364548"/>
    <x v="10"/>
    <m/>
    <m/>
    <m/>
    <m/>
    <m/>
    <m/>
    <m/>
    <m/>
    <m/>
    <m/>
    <n v="0"/>
    <n v="0"/>
    <n v="0"/>
    <n v="0"/>
    <m/>
    <m/>
    <n v="0"/>
    <n v="0"/>
    <m/>
    <m/>
    <m/>
    <m/>
    <m/>
    <m/>
    <n v="827147"/>
    <n v="776050.25"/>
    <n v="827147"/>
    <n v="919.05222222222221"/>
    <n v="776050.25"/>
    <n v="862.27805555555551"/>
    <m/>
    <m/>
    <n v="0"/>
    <n v="0"/>
    <m/>
    <m/>
    <m/>
    <m/>
    <m/>
    <m/>
    <m/>
    <m/>
    <n v="0"/>
    <n v="0"/>
    <n v="0"/>
    <n v="0"/>
    <n v="919.05222222222221"/>
    <n v="862.27805555555551"/>
  </r>
  <r>
    <x v="10"/>
    <s v="Green Country Technology Center                   "/>
    <m/>
    <n v="428019"/>
    <x v="10"/>
    <m/>
    <m/>
    <m/>
    <m/>
    <m/>
    <m/>
    <m/>
    <m/>
    <m/>
    <m/>
    <n v="0"/>
    <n v="0"/>
    <n v="0"/>
    <n v="0"/>
    <m/>
    <m/>
    <n v="0"/>
    <n v="0"/>
    <m/>
    <m/>
    <m/>
    <m/>
    <m/>
    <m/>
    <n v="207618"/>
    <n v="191823"/>
    <n v="207618"/>
    <n v="230.68666666666667"/>
    <n v="191823"/>
    <n v="213.13666666666666"/>
    <m/>
    <m/>
    <n v="0"/>
    <n v="0"/>
    <m/>
    <m/>
    <m/>
    <m/>
    <m/>
    <m/>
    <m/>
    <m/>
    <n v="0"/>
    <n v="0"/>
    <n v="0"/>
    <n v="0"/>
    <n v="230.68666666666667"/>
    <n v="213.13666666666666"/>
  </r>
  <r>
    <x v="10"/>
    <s v="High Plains Technology Center                     "/>
    <m/>
    <n v="208053"/>
    <x v="10"/>
    <m/>
    <m/>
    <m/>
    <m/>
    <m/>
    <m/>
    <m/>
    <m/>
    <m/>
    <m/>
    <n v="0"/>
    <n v="0"/>
    <n v="0"/>
    <n v="0"/>
    <m/>
    <m/>
    <n v="0"/>
    <n v="0"/>
    <m/>
    <m/>
    <m/>
    <m/>
    <m/>
    <m/>
    <n v="189990"/>
    <n v="182392.25"/>
    <n v="189990"/>
    <n v="211.1"/>
    <n v="182392.25"/>
    <n v="202.65805555555556"/>
    <m/>
    <m/>
    <n v="0"/>
    <n v="0"/>
    <m/>
    <m/>
    <m/>
    <m/>
    <m/>
    <m/>
    <m/>
    <m/>
    <n v="0"/>
    <n v="0"/>
    <n v="0"/>
    <n v="0"/>
    <n v="211.1"/>
    <n v="202.65805555555556"/>
  </r>
  <r>
    <x v="10"/>
    <s v="Indian Capital Technology Center-Muskogee         "/>
    <m/>
    <n v="418296"/>
    <x v="10"/>
    <m/>
    <m/>
    <m/>
    <m/>
    <m/>
    <m/>
    <m/>
    <m/>
    <m/>
    <m/>
    <n v="0"/>
    <n v="0"/>
    <n v="0"/>
    <n v="0"/>
    <m/>
    <m/>
    <n v="0"/>
    <n v="0"/>
    <m/>
    <m/>
    <m/>
    <m/>
    <m/>
    <m/>
    <n v="488612"/>
    <n v="477487.3"/>
    <n v="488612"/>
    <n v="542.90222222222224"/>
    <n v="477487.3"/>
    <n v="530.54144444444444"/>
    <m/>
    <m/>
    <n v="0"/>
    <n v="0"/>
    <m/>
    <m/>
    <m/>
    <m/>
    <m/>
    <m/>
    <m/>
    <m/>
    <n v="0"/>
    <n v="0"/>
    <n v="0"/>
    <n v="0"/>
    <n v="542.90222222222224"/>
    <n v="530.54144444444444"/>
  </r>
  <r>
    <x v="10"/>
    <s v="Indian Capital Technology Center-Sallisaw         "/>
    <m/>
    <n v="421540"/>
    <x v="10"/>
    <m/>
    <m/>
    <m/>
    <m/>
    <m/>
    <m/>
    <m/>
    <m/>
    <m/>
    <m/>
    <n v="0"/>
    <n v="0"/>
    <n v="0"/>
    <n v="0"/>
    <m/>
    <m/>
    <n v="0"/>
    <n v="0"/>
    <m/>
    <m/>
    <m/>
    <m/>
    <m/>
    <m/>
    <n v="158466"/>
    <n v="148841"/>
    <n v="158466"/>
    <n v="176.07333333333332"/>
    <n v="148841"/>
    <n v="165.37888888888889"/>
    <m/>
    <m/>
    <n v="0"/>
    <n v="0"/>
    <m/>
    <m/>
    <m/>
    <m/>
    <m/>
    <m/>
    <m/>
    <m/>
    <n v="0"/>
    <n v="0"/>
    <n v="0"/>
    <n v="0"/>
    <n v="176.07333333333332"/>
    <n v="165.37888888888889"/>
  </r>
  <r>
    <x v="10"/>
    <s v="Indian Capital Technology Center-Stilwell         "/>
    <m/>
    <n v="421559"/>
    <x v="10"/>
    <m/>
    <m/>
    <m/>
    <m/>
    <m/>
    <m/>
    <m/>
    <m/>
    <m/>
    <m/>
    <n v="0"/>
    <n v="0"/>
    <n v="0"/>
    <n v="0"/>
    <m/>
    <m/>
    <n v="0"/>
    <n v="0"/>
    <m/>
    <m/>
    <m/>
    <m/>
    <m/>
    <m/>
    <n v="117530"/>
    <n v="112729"/>
    <n v="117530"/>
    <n v="130.5888888888889"/>
    <n v="112729"/>
    <n v="125.25444444444445"/>
    <m/>
    <m/>
    <n v="0"/>
    <n v="0"/>
    <m/>
    <m/>
    <m/>
    <m/>
    <m/>
    <m/>
    <m/>
    <m/>
    <n v="0"/>
    <n v="0"/>
    <n v="0"/>
    <n v="0"/>
    <n v="130.5888888888889"/>
    <n v="125.25444444444445"/>
  </r>
  <r>
    <x v="10"/>
    <s v="Indian Capital Technology Center-Tahlequah        "/>
    <m/>
    <n v="208026"/>
    <x v="10"/>
    <m/>
    <m/>
    <m/>
    <m/>
    <m/>
    <m/>
    <m/>
    <m/>
    <m/>
    <m/>
    <n v="0"/>
    <n v="0"/>
    <n v="0"/>
    <n v="0"/>
    <m/>
    <m/>
    <n v="0"/>
    <n v="0"/>
    <m/>
    <m/>
    <m/>
    <m/>
    <m/>
    <m/>
    <n v="195943"/>
    <n v="188224"/>
    <n v="195943"/>
    <n v="217.71444444444444"/>
    <n v="188224"/>
    <n v="209.13777777777779"/>
    <m/>
    <m/>
    <n v="0"/>
    <n v="0"/>
    <m/>
    <m/>
    <m/>
    <m/>
    <m/>
    <m/>
    <m/>
    <m/>
    <n v="0"/>
    <n v="0"/>
    <n v="0"/>
    <n v="0"/>
    <n v="217.71444444444444"/>
    <n v="209.13777777777779"/>
  </r>
  <r>
    <x v="10"/>
    <s v="Kiamichi Technology Center-Atoka                  "/>
    <m/>
    <n v="375692"/>
    <x v="10"/>
    <m/>
    <m/>
    <m/>
    <m/>
    <m/>
    <m/>
    <m/>
    <m/>
    <m/>
    <m/>
    <n v="0"/>
    <n v="0"/>
    <n v="0"/>
    <n v="0"/>
    <m/>
    <m/>
    <n v="0"/>
    <n v="0"/>
    <m/>
    <m/>
    <m/>
    <m/>
    <m/>
    <m/>
    <n v="106717"/>
    <n v="109479.5"/>
    <n v="106717"/>
    <n v="118.57444444444444"/>
    <n v="109479.5"/>
    <n v="121.6438888888889"/>
    <m/>
    <m/>
    <n v="0"/>
    <n v="0"/>
    <m/>
    <m/>
    <m/>
    <m/>
    <m/>
    <m/>
    <m/>
    <m/>
    <n v="0"/>
    <n v="0"/>
    <n v="0"/>
    <n v="0"/>
    <n v="118.57444444444444"/>
    <n v="121.6438888888889"/>
  </r>
  <r>
    <x v="10"/>
    <s v="Kiamichi Technology Center-Durant                 "/>
    <m/>
    <n v="375708"/>
    <x v="10"/>
    <m/>
    <m/>
    <m/>
    <m/>
    <m/>
    <m/>
    <m/>
    <m/>
    <m/>
    <m/>
    <n v="0"/>
    <n v="0"/>
    <n v="0"/>
    <n v="0"/>
    <m/>
    <m/>
    <n v="0"/>
    <n v="0"/>
    <m/>
    <m/>
    <m/>
    <m/>
    <m/>
    <m/>
    <n v="169385"/>
    <n v="171229.5"/>
    <n v="169385"/>
    <n v="188.20555555555555"/>
    <n v="171229.5"/>
    <n v="190.255"/>
    <m/>
    <m/>
    <n v="0"/>
    <n v="0"/>
    <m/>
    <m/>
    <m/>
    <m/>
    <m/>
    <m/>
    <m/>
    <m/>
    <n v="0"/>
    <n v="0"/>
    <n v="0"/>
    <n v="0"/>
    <n v="188.20555555555555"/>
    <n v="190.255"/>
  </r>
  <r>
    <x v="10"/>
    <s v="Kiamichi Technology Center-Hugo                   "/>
    <m/>
    <n v="375717"/>
    <x v="10"/>
    <m/>
    <m/>
    <m/>
    <m/>
    <m/>
    <m/>
    <m/>
    <m/>
    <m/>
    <m/>
    <n v="0"/>
    <n v="0"/>
    <n v="0"/>
    <n v="0"/>
    <m/>
    <m/>
    <n v="0"/>
    <n v="0"/>
    <m/>
    <m/>
    <m/>
    <m/>
    <m/>
    <m/>
    <n v="139724"/>
    <n v="147243"/>
    <n v="139724"/>
    <n v="155.2488888888889"/>
    <n v="147243"/>
    <n v="163.60333333333332"/>
    <m/>
    <m/>
    <n v="0"/>
    <n v="0"/>
    <m/>
    <m/>
    <m/>
    <m/>
    <m/>
    <m/>
    <m/>
    <m/>
    <n v="0"/>
    <n v="0"/>
    <n v="0"/>
    <n v="0"/>
    <n v="155.2488888888889"/>
    <n v="163.60333333333332"/>
  </r>
  <r>
    <x v="10"/>
    <s v="Kiamichi Technology Center-Idabel                 "/>
    <m/>
    <n v="375735"/>
    <x v="10"/>
    <m/>
    <m/>
    <m/>
    <m/>
    <m/>
    <m/>
    <m/>
    <m/>
    <m/>
    <m/>
    <n v="0"/>
    <n v="0"/>
    <n v="0"/>
    <n v="0"/>
    <m/>
    <m/>
    <n v="0"/>
    <n v="0"/>
    <m/>
    <m/>
    <m/>
    <m/>
    <m/>
    <m/>
    <n v="188055"/>
    <n v="195062"/>
    <n v="188055"/>
    <n v="208.95"/>
    <n v="195062"/>
    <n v="216.73555555555555"/>
    <m/>
    <m/>
    <n v="0"/>
    <n v="0"/>
    <m/>
    <m/>
    <m/>
    <m/>
    <m/>
    <m/>
    <m/>
    <m/>
    <n v="0"/>
    <n v="0"/>
    <n v="0"/>
    <n v="0"/>
    <n v="208.95"/>
    <n v="216.73555555555555"/>
  </r>
  <r>
    <x v="10"/>
    <s v="Kiamichi Technology Center-McAlester              "/>
    <m/>
    <n v="375726"/>
    <x v="10"/>
    <m/>
    <m/>
    <m/>
    <m/>
    <m/>
    <m/>
    <m/>
    <m/>
    <m/>
    <m/>
    <n v="0"/>
    <n v="0"/>
    <n v="0"/>
    <n v="0"/>
    <m/>
    <m/>
    <n v="0"/>
    <n v="0"/>
    <m/>
    <m/>
    <m/>
    <m/>
    <m/>
    <m/>
    <n v="335342"/>
    <n v="261368"/>
    <n v="335342"/>
    <n v="372.60222222222222"/>
    <n v="261368"/>
    <n v="290.4088888888889"/>
    <m/>
    <m/>
    <n v="0"/>
    <n v="0"/>
    <m/>
    <m/>
    <m/>
    <m/>
    <m/>
    <m/>
    <m/>
    <m/>
    <n v="0"/>
    <n v="0"/>
    <n v="0"/>
    <n v="0"/>
    <n v="372.60222222222222"/>
    <n v="290.4088888888889"/>
  </r>
  <r>
    <x v="10"/>
    <s v="Kiamichi Technology Center-Poteau                 "/>
    <m/>
    <n v="375744"/>
    <x v="10"/>
    <m/>
    <m/>
    <m/>
    <m/>
    <m/>
    <m/>
    <m/>
    <m/>
    <m/>
    <m/>
    <n v="0"/>
    <n v="0"/>
    <n v="0"/>
    <n v="0"/>
    <m/>
    <m/>
    <n v="0"/>
    <n v="0"/>
    <m/>
    <m/>
    <m/>
    <m/>
    <m/>
    <m/>
    <n v="346977"/>
    <n v="253503.35"/>
    <n v="346977"/>
    <n v="385.53"/>
    <n v="253503.35"/>
    <n v="281.67038888888891"/>
    <m/>
    <m/>
    <n v="0"/>
    <n v="0"/>
    <m/>
    <m/>
    <m/>
    <m/>
    <m/>
    <m/>
    <m/>
    <m/>
    <n v="0"/>
    <n v="0"/>
    <n v="0"/>
    <n v="0"/>
    <n v="385.53"/>
    <n v="281.67038888888891"/>
  </r>
  <r>
    <x v="10"/>
    <s v="Kiamichi Technology Center-Spiro                  "/>
    <m/>
    <n v="375753"/>
    <x v="10"/>
    <m/>
    <m/>
    <m/>
    <m/>
    <m/>
    <m/>
    <m/>
    <m/>
    <m/>
    <m/>
    <n v="0"/>
    <n v="0"/>
    <n v="0"/>
    <n v="0"/>
    <m/>
    <m/>
    <n v="0"/>
    <n v="0"/>
    <m/>
    <m/>
    <m/>
    <m/>
    <m/>
    <m/>
    <n v="30277"/>
    <n v="47156"/>
    <n v="30277"/>
    <n v="33.641111111111108"/>
    <n v="47156"/>
    <n v="52.395555555555553"/>
    <m/>
    <m/>
    <n v="0"/>
    <n v="0"/>
    <m/>
    <m/>
    <m/>
    <m/>
    <m/>
    <m/>
    <m/>
    <m/>
    <n v="0"/>
    <n v="0"/>
    <n v="0"/>
    <n v="0"/>
    <n v="33.641111111111108"/>
    <n v="52.395555555555553"/>
  </r>
  <r>
    <x v="10"/>
    <s v="Kiamichi Technology Center-Stigler                "/>
    <m/>
    <n v="405748"/>
    <x v="10"/>
    <m/>
    <m/>
    <m/>
    <m/>
    <m/>
    <m/>
    <m/>
    <m/>
    <m/>
    <m/>
    <n v="0"/>
    <n v="0"/>
    <n v="0"/>
    <n v="0"/>
    <m/>
    <m/>
    <n v="0"/>
    <n v="0"/>
    <m/>
    <m/>
    <m/>
    <m/>
    <m/>
    <m/>
    <n v="87753"/>
    <n v="85002"/>
    <n v="87753"/>
    <n v="97.50333333333333"/>
    <n v="85002"/>
    <n v="94.446666666666673"/>
    <m/>
    <m/>
    <n v="0"/>
    <n v="0"/>
    <m/>
    <m/>
    <m/>
    <m/>
    <m/>
    <m/>
    <m/>
    <m/>
    <n v="0"/>
    <n v="0"/>
    <n v="0"/>
    <n v="0"/>
    <n v="97.50333333333333"/>
    <n v="94.446666666666673"/>
  </r>
  <r>
    <x v="10"/>
    <s v="Kiamichi Technology Center-Talihina               "/>
    <m/>
    <n v="375762"/>
    <x v="10"/>
    <m/>
    <m/>
    <m/>
    <m/>
    <m/>
    <m/>
    <m/>
    <m/>
    <m/>
    <m/>
    <n v="0"/>
    <n v="0"/>
    <n v="0"/>
    <n v="0"/>
    <m/>
    <m/>
    <n v="0"/>
    <n v="0"/>
    <m/>
    <m/>
    <m/>
    <m/>
    <m/>
    <m/>
    <n v="94476"/>
    <n v="69833"/>
    <n v="94476"/>
    <n v="104.97333333333333"/>
    <n v="69833"/>
    <n v="77.592222222222219"/>
    <m/>
    <m/>
    <n v="0"/>
    <n v="0"/>
    <m/>
    <m/>
    <m/>
    <m/>
    <m/>
    <m/>
    <m/>
    <m/>
    <n v="0"/>
    <n v="0"/>
    <n v="0"/>
    <n v="0"/>
    <n v="104.97333333333333"/>
    <n v="77.592222222222219"/>
  </r>
  <r>
    <x v="10"/>
    <s v="Meridian Technology Center                        "/>
    <m/>
    <n v="365480"/>
    <x v="10"/>
    <m/>
    <m/>
    <m/>
    <m/>
    <m/>
    <m/>
    <m/>
    <m/>
    <m/>
    <m/>
    <n v="0"/>
    <n v="0"/>
    <n v="0"/>
    <n v="0"/>
    <m/>
    <m/>
    <n v="0"/>
    <n v="0"/>
    <m/>
    <m/>
    <m/>
    <m/>
    <m/>
    <m/>
    <n v="508491"/>
    <n v="532826.69999999995"/>
    <n v="508491"/>
    <n v="564.99"/>
    <n v="532826.69999999995"/>
    <n v="592.02966666666657"/>
    <m/>
    <m/>
    <n v="0"/>
    <n v="0"/>
    <m/>
    <m/>
    <m/>
    <m/>
    <m/>
    <m/>
    <m/>
    <m/>
    <n v="0"/>
    <n v="0"/>
    <n v="0"/>
    <n v="0"/>
    <n v="564.99"/>
    <n v="592.02966666666657"/>
  </r>
  <r>
    <x v="10"/>
    <s v="Mid-America Technology Center                     "/>
    <m/>
    <n v="418320"/>
    <x v="10"/>
    <m/>
    <m/>
    <m/>
    <m/>
    <m/>
    <m/>
    <m/>
    <m/>
    <m/>
    <m/>
    <n v="0"/>
    <n v="0"/>
    <n v="0"/>
    <n v="0"/>
    <m/>
    <m/>
    <n v="0"/>
    <n v="0"/>
    <m/>
    <m/>
    <m/>
    <m/>
    <m/>
    <m/>
    <n v="534435"/>
    <n v="518911"/>
    <n v="534435"/>
    <n v="593.81666666666672"/>
    <n v="518911"/>
    <n v="576.56777777777779"/>
    <m/>
    <m/>
    <n v="0"/>
    <n v="0"/>
    <m/>
    <m/>
    <m/>
    <m/>
    <m/>
    <m/>
    <m/>
    <m/>
    <n v="0"/>
    <n v="0"/>
    <n v="0"/>
    <n v="0"/>
    <n v="593.81666666666672"/>
    <n v="576.56777777777779"/>
  </r>
  <r>
    <x v="10"/>
    <s v="Mid-Del Technology Center                         "/>
    <m/>
    <n v="431017"/>
    <x v="10"/>
    <m/>
    <m/>
    <m/>
    <m/>
    <m/>
    <m/>
    <m/>
    <m/>
    <m/>
    <m/>
    <n v="0"/>
    <n v="0"/>
    <n v="0"/>
    <n v="0"/>
    <m/>
    <m/>
    <n v="0"/>
    <n v="0"/>
    <m/>
    <m/>
    <m/>
    <m/>
    <m/>
    <m/>
    <n v="414983"/>
    <n v="368528"/>
    <n v="414983"/>
    <n v="461.09222222222223"/>
    <n v="368528"/>
    <n v="409.47555555555556"/>
    <m/>
    <m/>
    <n v="0"/>
    <n v="0"/>
    <m/>
    <m/>
    <m/>
    <m/>
    <m/>
    <m/>
    <m/>
    <m/>
    <n v="0"/>
    <n v="0"/>
    <n v="0"/>
    <n v="0"/>
    <n v="461.09222222222223"/>
    <n v="409.47555555555556"/>
  </r>
  <r>
    <x v="10"/>
    <s v="Moore Norman Technology Center                    "/>
    <m/>
    <n v="248606"/>
    <x v="10"/>
    <m/>
    <m/>
    <m/>
    <m/>
    <m/>
    <m/>
    <m/>
    <m/>
    <m/>
    <m/>
    <n v="0"/>
    <n v="0"/>
    <n v="0"/>
    <n v="0"/>
    <m/>
    <m/>
    <n v="0"/>
    <n v="0"/>
    <m/>
    <m/>
    <m/>
    <m/>
    <m/>
    <m/>
    <n v="806348"/>
    <n v="785855.6"/>
    <n v="806348"/>
    <n v="895.9422222222222"/>
    <n v="785855.6"/>
    <n v="873.17288888888891"/>
    <m/>
    <m/>
    <n v="0"/>
    <n v="0"/>
    <m/>
    <m/>
    <m/>
    <m/>
    <m/>
    <m/>
    <m/>
    <m/>
    <n v="0"/>
    <n v="0"/>
    <n v="0"/>
    <n v="0"/>
    <n v="895.9422222222222"/>
    <n v="873.17288888888891"/>
  </r>
  <r>
    <x v="10"/>
    <s v="Northeast Technology Center-Afton                 "/>
    <m/>
    <n v="420459"/>
    <x v="10"/>
    <m/>
    <m/>
    <m/>
    <m/>
    <m/>
    <m/>
    <m/>
    <m/>
    <m/>
    <m/>
    <n v="0"/>
    <n v="0"/>
    <n v="0"/>
    <n v="0"/>
    <m/>
    <m/>
    <n v="0"/>
    <n v="0"/>
    <m/>
    <m/>
    <m/>
    <m/>
    <m/>
    <m/>
    <n v="290355"/>
    <n v="265995.5"/>
    <n v="290355"/>
    <n v="322.61666666666667"/>
    <n v="265995.5"/>
    <n v="295.55055555555555"/>
    <m/>
    <m/>
    <n v="0"/>
    <n v="0"/>
    <m/>
    <m/>
    <m/>
    <m/>
    <m/>
    <m/>
    <m/>
    <m/>
    <n v="0"/>
    <n v="0"/>
    <n v="0"/>
    <n v="0"/>
    <n v="322.61666666666667"/>
    <n v="295.55055555555555"/>
  </r>
  <r>
    <x v="10"/>
    <s v="Northeast Technology Center-Claremore"/>
    <m/>
    <n v="456560"/>
    <x v="10"/>
    <m/>
    <m/>
    <m/>
    <m/>
    <m/>
    <m/>
    <m/>
    <m/>
    <m/>
    <m/>
    <n v="0"/>
    <n v="0"/>
    <n v="0"/>
    <n v="0"/>
    <m/>
    <m/>
    <n v="0"/>
    <n v="0"/>
    <m/>
    <m/>
    <m/>
    <m/>
    <m/>
    <m/>
    <n v="105286"/>
    <n v="117443.75"/>
    <n v="105286"/>
    <n v="116.98444444444445"/>
    <n v="117443.75"/>
    <n v="130.49305555555554"/>
    <m/>
    <m/>
    <n v="0"/>
    <n v="0"/>
    <m/>
    <m/>
    <m/>
    <m/>
    <m/>
    <m/>
    <m/>
    <m/>
    <n v="0"/>
    <n v="0"/>
    <n v="0"/>
    <n v="0"/>
    <n v="116.98444444444445"/>
    <n v="130.49305555555554"/>
  </r>
  <r>
    <x v="10"/>
    <s v="Northeast Technology Center-Kansas                "/>
    <m/>
    <n v="432074"/>
    <x v="10"/>
    <m/>
    <m/>
    <m/>
    <m/>
    <m/>
    <m/>
    <m/>
    <m/>
    <m/>
    <m/>
    <n v="0"/>
    <n v="0"/>
    <n v="0"/>
    <n v="0"/>
    <m/>
    <m/>
    <n v="0"/>
    <n v="0"/>
    <m/>
    <m/>
    <m/>
    <m/>
    <m/>
    <m/>
    <n v="163349"/>
    <n v="152511"/>
    <n v="163349"/>
    <n v="181.4988888888889"/>
    <n v="152511"/>
    <n v="169.45666666666668"/>
    <m/>
    <m/>
    <n v="0"/>
    <n v="0"/>
    <m/>
    <m/>
    <m/>
    <m/>
    <m/>
    <m/>
    <m/>
    <m/>
    <n v="0"/>
    <n v="0"/>
    <n v="0"/>
    <n v="0"/>
    <n v="181.4988888888889"/>
    <n v="169.45666666666668"/>
  </r>
  <r>
    <x v="10"/>
    <s v="Northeast Technology Center-Pryor                 "/>
    <m/>
    <n v="418339"/>
    <x v="10"/>
    <m/>
    <m/>
    <m/>
    <m/>
    <m/>
    <m/>
    <m/>
    <m/>
    <m/>
    <m/>
    <n v="0"/>
    <n v="0"/>
    <n v="0"/>
    <n v="0"/>
    <m/>
    <m/>
    <n v="0"/>
    <n v="0"/>
    <m/>
    <m/>
    <m/>
    <m/>
    <m/>
    <m/>
    <n v="265031"/>
    <n v="260728.75"/>
    <n v="265031"/>
    <n v="294.47888888888889"/>
    <n v="260728.75"/>
    <n v="289.69861111111112"/>
    <m/>
    <m/>
    <n v="0"/>
    <n v="0"/>
    <m/>
    <m/>
    <m/>
    <m/>
    <m/>
    <m/>
    <m/>
    <m/>
    <n v="0"/>
    <n v="0"/>
    <n v="0"/>
    <n v="0"/>
    <n v="294.47888888888889"/>
    <n v="289.69861111111112"/>
  </r>
  <r>
    <x v="10"/>
    <s v="Northwest Technology Center-Alva                  "/>
    <m/>
    <n v="366623"/>
    <x v="10"/>
    <m/>
    <m/>
    <m/>
    <m/>
    <m/>
    <m/>
    <m/>
    <m/>
    <m/>
    <m/>
    <n v="0"/>
    <n v="0"/>
    <n v="0"/>
    <n v="0"/>
    <m/>
    <m/>
    <n v="0"/>
    <n v="0"/>
    <m/>
    <m/>
    <m/>
    <m/>
    <m/>
    <m/>
    <n v="99218"/>
    <n v="86764.9"/>
    <n v="99218"/>
    <n v="110.24222222222222"/>
    <n v="86764.9"/>
    <n v="96.405444444444441"/>
    <m/>
    <m/>
    <n v="0"/>
    <n v="0"/>
    <m/>
    <m/>
    <m/>
    <m/>
    <m/>
    <m/>
    <m/>
    <m/>
    <n v="0"/>
    <n v="0"/>
    <n v="0"/>
    <n v="0"/>
    <n v="110.24222222222222"/>
    <n v="96.405444444444441"/>
  </r>
  <r>
    <x v="10"/>
    <s v="Northwest Technology Center-Fairview              "/>
    <m/>
    <n v="407601"/>
    <x v="10"/>
    <m/>
    <m/>
    <m/>
    <m/>
    <m/>
    <m/>
    <m/>
    <m/>
    <m/>
    <m/>
    <n v="0"/>
    <n v="0"/>
    <n v="0"/>
    <n v="0"/>
    <m/>
    <m/>
    <n v="0"/>
    <n v="0"/>
    <m/>
    <m/>
    <m/>
    <m/>
    <m/>
    <m/>
    <n v="76702"/>
    <n v="81926"/>
    <n v="76702"/>
    <n v="85.224444444444444"/>
    <n v="81926"/>
    <n v="91.028888888888886"/>
    <m/>
    <m/>
    <n v="0"/>
    <n v="0"/>
    <m/>
    <m/>
    <m/>
    <m/>
    <m/>
    <m/>
    <m/>
    <m/>
    <n v="0"/>
    <n v="0"/>
    <n v="0"/>
    <n v="0"/>
    <n v="85.224444444444444"/>
    <n v="91.028888888888886"/>
  </r>
  <r>
    <x v="10"/>
    <s v="Pioneer Technology Center                         "/>
    <m/>
    <n v="364627"/>
    <x v="10"/>
    <m/>
    <m/>
    <m/>
    <m/>
    <m/>
    <m/>
    <m/>
    <m/>
    <m/>
    <m/>
    <n v="0"/>
    <n v="0"/>
    <n v="0"/>
    <n v="0"/>
    <m/>
    <m/>
    <n v="0"/>
    <n v="0"/>
    <m/>
    <m/>
    <m/>
    <m/>
    <m/>
    <m/>
    <n v="323062"/>
    <n v="291396"/>
    <n v="323062"/>
    <n v="358.95777777777778"/>
    <n v="291396"/>
    <n v="323.77333333333331"/>
    <m/>
    <m/>
    <n v="0"/>
    <n v="0"/>
    <m/>
    <m/>
    <m/>
    <m/>
    <m/>
    <m/>
    <m/>
    <m/>
    <n v="0"/>
    <n v="0"/>
    <n v="0"/>
    <n v="0"/>
    <n v="358.95777777777778"/>
    <n v="323.77333333333331"/>
  </r>
  <r>
    <x v="10"/>
    <s v="Pontotoc Technology Center                        "/>
    <m/>
    <n v="206905"/>
    <x v="10"/>
    <m/>
    <m/>
    <m/>
    <m/>
    <m/>
    <m/>
    <m/>
    <m/>
    <m/>
    <m/>
    <n v="0"/>
    <n v="0"/>
    <n v="0"/>
    <n v="0"/>
    <m/>
    <m/>
    <n v="0"/>
    <n v="0"/>
    <m/>
    <m/>
    <m/>
    <m/>
    <m/>
    <m/>
    <n v="252360"/>
    <n v="202056.5"/>
    <n v="252360"/>
    <n v="280.39999999999998"/>
    <n v="202056.5"/>
    <n v="224.50722222222223"/>
    <m/>
    <m/>
    <n v="0"/>
    <n v="0"/>
    <m/>
    <m/>
    <m/>
    <m/>
    <m/>
    <m/>
    <m/>
    <m/>
    <n v="0"/>
    <n v="0"/>
    <n v="0"/>
    <n v="0"/>
    <n v="280.39999999999998"/>
    <n v="224.50722222222223"/>
  </r>
  <r>
    <x v="10"/>
    <s v="Red River Technology Center                       "/>
    <m/>
    <n v="250993"/>
    <x v="10"/>
    <m/>
    <m/>
    <m/>
    <m/>
    <m/>
    <m/>
    <m/>
    <m/>
    <m/>
    <m/>
    <n v="0"/>
    <n v="0"/>
    <n v="0"/>
    <n v="0"/>
    <m/>
    <m/>
    <n v="0"/>
    <n v="0"/>
    <m/>
    <m/>
    <m/>
    <m/>
    <m/>
    <m/>
    <n v="300008"/>
    <n v="313042.75"/>
    <n v="300008"/>
    <n v="333.34222222222223"/>
    <n v="313042.75"/>
    <n v="347.82527777777779"/>
    <m/>
    <m/>
    <n v="0"/>
    <n v="0"/>
    <m/>
    <m/>
    <m/>
    <m/>
    <m/>
    <m/>
    <m/>
    <m/>
    <n v="0"/>
    <n v="0"/>
    <n v="0"/>
    <n v="0"/>
    <n v="333.34222222222223"/>
    <n v="347.82527777777779"/>
  </r>
  <r>
    <x v="10"/>
    <s v="Southern Oklahoma Technology Center               "/>
    <m/>
    <n v="365198"/>
    <x v="10"/>
    <m/>
    <m/>
    <m/>
    <m/>
    <m/>
    <m/>
    <m/>
    <m/>
    <m/>
    <m/>
    <n v="0"/>
    <n v="0"/>
    <n v="0"/>
    <n v="0"/>
    <m/>
    <m/>
    <n v="0"/>
    <n v="0"/>
    <m/>
    <m/>
    <m/>
    <m/>
    <m/>
    <m/>
    <n v="365802"/>
    <n v="384988.75"/>
    <n v="365802"/>
    <n v="406.44666666666666"/>
    <n v="384988.75"/>
    <n v="427.76527777777778"/>
    <m/>
    <m/>
    <n v="0"/>
    <n v="0"/>
    <m/>
    <m/>
    <m/>
    <m/>
    <m/>
    <m/>
    <m/>
    <m/>
    <n v="0"/>
    <n v="0"/>
    <n v="0"/>
    <n v="0"/>
    <n v="406.44666666666666"/>
    <n v="427.76527777777778"/>
  </r>
  <r>
    <x v="10"/>
    <s v="Southwest Technology Center                       "/>
    <m/>
    <n v="368364"/>
    <x v="10"/>
    <m/>
    <m/>
    <m/>
    <m/>
    <m/>
    <m/>
    <m/>
    <m/>
    <m/>
    <m/>
    <n v="0"/>
    <n v="0"/>
    <n v="0"/>
    <n v="0"/>
    <m/>
    <m/>
    <n v="0"/>
    <n v="0"/>
    <m/>
    <m/>
    <m/>
    <m/>
    <m/>
    <m/>
    <n v="216488"/>
    <n v="201072.75"/>
    <n v="216488"/>
    <n v="240.54222222222222"/>
    <n v="201072.75"/>
    <n v="223.41416666666666"/>
    <m/>
    <m/>
    <n v="0"/>
    <n v="0"/>
    <m/>
    <m/>
    <m/>
    <m/>
    <m/>
    <m/>
    <m/>
    <m/>
    <n v="0"/>
    <n v="0"/>
    <n v="0"/>
    <n v="0"/>
    <n v="240.54222222222222"/>
    <n v="223.41416666666666"/>
  </r>
  <r>
    <x v="10"/>
    <s v="Tri County Technology Center                      "/>
    <m/>
    <n v="418287"/>
    <x v="10"/>
    <m/>
    <m/>
    <m/>
    <m/>
    <m/>
    <m/>
    <m/>
    <m/>
    <m/>
    <m/>
    <n v="0"/>
    <n v="0"/>
    <n v="0"/>
    <n v="0"/>
    <m/>
    <m/>
    <n v="0"/>
    <n v="0"/>
    <m/>
    <m/>
    <m/>
    <m/>
    <m/>
    <m/>
    <n v="400941"/>
    <n v="398413"/>
    <n v="400941"/>
    <n v="445.49"/>
    <n v="398413"/>
    <n v="442.68111111111114"/>
    <m/>
    <m/>
    <n v="0"/>
    <n v="0"/>
    <m/>
    <m/>
    <m/>
    <m/>
    <m/>
    <m/>
    <m/>
    <m/>
    <n v="0"/>
    <n v="0"/>
    <n v="0"/>
    <n v="0"/>
    <n v="445.49"/>
    <n v="442.68111111111114"/>
  </r>
  <r>
    <x v="10"/>
    <s v="Tulsa County Area Voc Tech School Dist 18-Peoria  "/>
    <m/>
    <n v="207607"/>
    <x v="10"/>
    <m/>
    <m/>
    <m/>
    <m/>
    <m/>
    <m/>
    <m/>
    <m/>
    <m/>
    <m/>
    <n v="0"/>
    <n v="0"/>
    <n v="0"/>
    <n v="0"/>
    <m/>
    <m/>
    <n v="0"/>
    <n v="0"/>
    <m/>
    <m/>
    <m/>
    <m/>
    <m/>
    <m/>
    <n v="338177"/>
    <n v="444360.5"/>
    <n v="338177"/>
    <n v="375.7522222222222"/>
    <n v="444360.5"/>
    <n v="493.73388888888888"/>
    <m/>
    <m/>
    <n v="0"/>
    <n v="0"/>
    <m/>
    <m/>
    <m/>
    <m/>
    <m/>
    <m/>
    <m/>
    <m/>
    <n v="0"/>
    <n v="0"/>
    <n v="0"/>
    <n v="0"/>
    <n v="375.7522222222222"/>
    <n v="493.73388888888888"/>
  </r>
  <r>
    <x v="10"/>
    <s v="Tulsa Technology Center-Broken Arrow Campus       "/>
    <s v="Met the criteria for Technical Institute or College 1 in 2013-14."/>
    <n v="261393"/>
    <x v="10"/>
    <m/>
    <m/>
    <m/>
    <m/>
    <m/>
    <m/>
    <m/>
    <m/>
    <m/>
    <m/>
    <n v="0"/>
    <n v="0"/>
    <n v="0"/>
    <n v="0"/>
    <m/>
    <m/>
    <n v="0"/>
    <n v="0"/>
    <m/>
    <m/>
    <m/>
    <m/>
    <m/>
    <m/>
    <n v="765586"/>
    <n v="1032741.1"/>
    <n v="765586"/>
    <n v="850.65111111111116"/>
    <n v="1032741.1"/>
    <n v="1147.490111111111"/>
    <m/>
    <m/>
    <n v="0"/>
    <n v="0"/>
    <m/>
    <m/>
    <m/>
    <m/>
    <m/>
    <m/>
    <m/>
    <m/>
    <n v="0"/>
    <n v="0"/>
    <n v="0"/>
    <n v="0"/>
    <n v="850.65111111111116"/>
    <n v="1147.490111111111"/>
  </r>
  <r>
    <x v="10"/>
    <s v="Tulsa Technology Center-Lemley Campus             "/>
    <s v="Met the criteria for Technical Institute or College 1 in 2013-14."/>
    <n v="261375"/>
    <x v="10"/>
    <m/>
    <m/>
    <m/>
    <m/>
    <m/>
    <m/>
    <m/>
    <m/>
    <m/>
    <m/>
    <n v="0"/>
    <n v="0"/>
    <n v="0"/>
    <n v="0"/>
    <m/>
    <m/>
    <n v="0"/>
    <n v="0"/>
    <m/>
    <m/>
    <m/>
    <m/>
    <m/>
    <m/>
    <n v="747476"/>
    <n v="994081.38"/>
    <n v="747476"/>
    <n v="830.5288888888889"/>
    <n v="994081.38"/>
    <n v="1104.5348666666666"/>
    <m/>
    <m/>
    <n v="0"/>
    <n v="0"/>
    <m/>
    <m/>
    <m/>
    <m/>
    <m/>
    <m/>
    <m/>
    <m/>
    <n v="0"/>
    <n v="0"/>
    <n v="0"/>
    <n v="0"/>
    <n v="830.5288888888889"/>
    <n v="1104.5348666666666"/>
  </r>
  <r>
    <x v="10"/>
    <s v="Tulsa Technology Center-Riverside Campus          "/>
    <m/>
    <n v="261384"/>
    <x v="10"/>
    <m/>
    <m/>
    <m/>
    <m/>
    <m/>
    <m/>
    <m/>
    <m/>
    <m/>
    <m/>
    <n v="0"/>
    <n v="0"/>
    <n v="0"/>
    <n v="0"/>
    <m/>
    <m/>
    <n v="0"/>
    <n v="0"/>
    <m/>
    <m/>
    <m/>
    <m/>
    <m/>
    <m/>
    <n v="409746"/>
    <n v="556305"/>
    <n v="409746"/>
    <n v="455.27333333333331"/>
    <n v="556305"/>
    <n v="618.11666666666667"/>
    <m/>
    <m/>
    <n v="0"/>
    <n v="0"/>
    <m/>
    <m/>
    <m/>
    <m/>
    <m/>
    <m/>
    <m/>
    <m/>
    <n v="0"/>
    <n v="0"/>
    <n v="0"/>
    <n v="0"/>
    <n v="455.27333333333331"/>
    <n v="618.11666666666667"/>
  </r>
  <r>
    <x v="10"/>
    <s v="Wes Watkins Technology Center                     "/>
    <m/>
    <n v="418357"/>
    <x v="10"/>
    <m/>
    <m/>
    <m/>
    <m/>
    <m/>
    <m/>
    <m/>
    <m/>
    <m/>
    <m/>
    <n v="0"/>
    <n v="0"/>
    <n v="0"/>
    <n v="0"/>
    <m/>
    <m/>
    <n v="0"/>
    <n v="0"/>
    <m/>
    <m/>
    <m/>
    <m/>
    <m/>
    <m/>
    <n v="189543"/>
    <n v="158878.5"/>
    <n v="189543"/>
    <n v="210.60333333333332"/>
    <n v="158878.5"/>
    <n v="176.53166666666667"/>
    <m/>
    <m/>
    <n v="0"/>
    <n v="0"/>
    <m/>
    <m/>
    <m/>
    <m/>
    <m/>
    <m/>
    <m/>
    <m/>
    <n v="0"/>
    <n v="0"/>
    <n v="0"/>
    <n v="0"/>
    <n v="210.60333333333332"/>
    <n v="176.53166666666667"/>
  </r>
  <r>
    <x v="10"/>
    <s v="Western Technology Center                         "/>
    <m/>
    <n v="418302"/>
    <x v="10"/>
    <m/>
    <m/>
    <m/>
    <m/>
    <m/>
    <m/>
    <m/>
    <m/>
    <m/>
    <m/>
    <n v="0"/>
    <n v="0"/>
    <n v="0"/>
    <n v="0"/>
    <m/>
    <m/>
    <n v="0"/>
    <n v="0"/>
    <m/>
    <m/>
    <m/>
    <m/>
    <m/>
    <m/>
    <n v="381800"/>
    <n v="351024.5"/>
    <n v="381800"/>
    <n v="424.22222222222223"/>
    <n v="351024.5"/>
    <n v="390.02722222222224"/>
    <m/>
    <m/>
    <n v="0"/>
    <n v="0"/>
    <m/>
    <m/>
    <m/>
    <m/>
    <m/>
    <m/>
    <m/>
    <m/>
    <n v="0"/>
    <n v="0"/>
    <n v="0"/>
    <n v="0"/>
    <n v="424.22222222222223"/>
    <n v="390.02722222222224"/>
  </r>
  <r>
    <x v="11"/>
    <s v="Clemson University"/>
    <m/>
    <n v="217882"/>
    <x v="0"/>
    <s v="sem"/>
    <m/>
    <m/>
    <m/>
    <n v="218776"/>
    <n v="229989"/>
    <n v="26274"/>
    <n v="25249"/>
    <n v="247981"/>
    <n v="254669"/>
    <n v="493031"/>
    <n v="16434.366666666665"/>
    <n v="509907"/>
    <n v="16996.900000000001"/>
    <m/>
    <n v="126"/>
    <n v="0"/>
    <n v="509907"/>
    <m/>
    <m/>
    <m/>
    <m/>
    <m/>
    <m/>
    <m/>
    <m/>
    <n v="0"/>
    <n v="0"/>
    <n v="0"/>
    <n v="0"/>
    <m/>
    <m/>
    <n v="0"/>
    <n v="0"/>
    <m/>
    <m/>
    <n v="32409"/>
    <n v="33337"/>
    <n v="11918"/>
    <n v="11793"/>
    <n v="34909"/>
    <n v="37340"/>
    <n v="79236"/>
    <n v="3301.5"/>
    <n v="82470"/>
    <n v="3436.25"/>
    <n v="19735.866666666665"/>
    <n v="20433.150000000001"/>
  </r>
  <r>
    <x v="11"/>
    <s v="University of South Carolina-Columbia"/>
    <m/>
    <n v="218663"/>
    <x v="0"/>
    <s v="sem"/>
    <m/>
    <m/>
    <m/>
    <n v="313618"/>
    <n v="318944"/>
    <n v="32571"/>
    <n v="31870"/>
    <n v="343359"/>
    <n v="356847"/>
    <n v="689548"/>
    <n v="22984.933333333334"/>
    <n v="707661"/>
    <n v="23588.7"/>
    <n v="135"/>
    <n v="62"/>
    <n v="689548"/>
    <n v="707661"/>
    <m/>
    <m/>
    <m/>
    <m/>
    <m/>
    <m/>
    <m/>
    <m/>
    <n v="0"/>
    <n v="0"/>
    <n v="0"/>
    <n v="0"/>
    <m/>
    <m/>
    <n v="0"/>
    <n v="0"/>
    <m/>
    <m/>
    <n v="48022"/>
    <n v="46165"/>
    <n v="17590"/>
    <n v="15389"/>
    <n v="47595"/>
    <n v="48253"/>
    <n v="113207"/>
    <n v="4716.958333333333"/>
    <n v="109807"/>
    <n v="4575.291666666667"/>
    <n v="27701.891666666666"/>
    <n v="28163.991666666669"/>
  </r>
  <r>
    <x v="11"/>
    <s v="College of Charleston"/>
    <m/>
    <n v="217819"/>
    <x v="2"/>
    <s v="sem"/>
    <m/>
    <m/>
    <m/>
    <n v="141679"/>
    <n v="141726"/>
    <n v="14705"/>
    <n v="15596"/>
    <n v="150561"/>
    <n v="150654"/>
    <n v="306945"/>
    <n v="10231.5"/>
    <n v="307976"/>
    <n v="10265.866666666667"/>
    <n v="293"/>
    <n v="693"/>
    <n v="306945"/>
    <n v="307976"/>
    <m/>
    <m/>
    <m/>
    <m/>
    <m/>
    <m/>
    <m/>
    <m/>
    <n v="0"/>
    <n v="0"/>
    <n v="0"/>
    <n v="0"/>
    <m/>
    <m/>
    <n v="0"/>
    <n v="0"/>
    <m/>
    <m/>
    <n v="7146"/>
    <n v="6651"/>
    <n v="4882"/>
    <n v="4560"/>
    <n v="6252"/>
    <n v="5929"/>
    <n v="18280"/>
    <n v="761.66666666666663"/>
    <n v="17140"/>
    <n v="714.16666666666663"/>
    <n v="10993.166666666666"/>
    <n v="10980.033333333333"/>
  </r>
  <r>
    <x v="11"/>
    <s v="Winthrop University "/>
    <m/>
    <n v="218964"/>
    <x v="2"/>
    <s v="sem"/>
    <m/>
    <m/>
    <m/>
    <n v="65305.5"/>
    <n v="65636.5"/>
    <n v="7630"/>
    <n v="6947"/>
    <n v="70915"/>
    <n v="70540.5"/>
    <n v="143850.5"/>
    <n v="4795.0166666666664"/>
    <n v="143124"/>
    <n v="4770.8"/>
    <n v="1002"/>
    <n v="2232"/>
    <n v="143850.5"/>
    <n v="143124"/>
    <m/>
    <m/>
    <m/>
    <m/>
    <m/>
    <m/>
    <m/>
    <m/>
    <n v="0"/>
    <n v="0"/>
    <n v="0"/>
    <n v="0"/>
    <m/>
    <m/>
    <n v="0"/>
    <n v="0"/>
    <m/>
    <m/>
    <n v="7134"/>
    <n v="7143.5"/>
    <n v="3638"/>
    <n v="3436"/>
    <n v="7672.5"/>
    <n v="7325.5"/>
    <n v="18444.5"/>
    <n v="768.52083333333337"/>
    <n v="17905"/>
    <n v="746.04166666666663"/>
    <n v="5563.5374999999995"/>
    <n v="5516.8416666666672"/>
  </r>
  <r>
    <x v="11"/>
    <s v="The Citadel, the Military College of South Carolina "/>
    <s v="Reclassified: met the criteria for Four-Year 3 in 2011-12, 2012-13, and 2013-14."/>
    <n v="217864"/>
    <x v="2"/>
    <s v="sem"/>
    <m/>
    <m/>
    <m/>
    <n v="39901"/>
    <n v="42324"/>
    <n v="6026"/>
    <n v="5740"/>
    <n v="44793"/>
    <n v="46491"/>
    <n v="90720"/>
    <n v="3024"/>
    <n v="94555"/>
    <n v="3151.8333333333335"/>
    <n v="213"/>
    <n v="342"/>
    <n v="90720"/>
    <n v="94555"/>
    <m/>
    <m/>
    <m/>
    <m/>
    <m/>
    <m/>
    <m/>
    <m/>
    <n v="0"/>
    <n v="0"/>
    <n v="0"/>
    <n v="0"/>
    <m/>
    <m/>
    <n v="0"/>
    <n v="0"/>
    <m/>
    <m/>
    <n v="4964"/>
    <n v="4883"/>
    <n v="3931"/>
    <n v="3792"/>
    <n v="5048"/>
    <n v="5214"/>
    <n v="13943"/>
    <n v="580.95833333333337"/>
    <n v="13889"/>
    <n v="578.70833333333337"/>
    <n v="3604.9583333333335"/>
    <n v="3730.541666666667"/>
  </r>
  <r>
    <x v="11"/>
    <s v="Coastal Carolina University"/>
    <s v="Met the criteria for Four-Year 4 in 2013-14."/>
    <n v="218724"/>
    <x v="4"/>
    <s v="sem"/>
    <m/>
    <m/>
    <m/>
    <n v="114906"/>
    <n v="113926"/>
    <n v="10682"/>
    <n v="10606"/>
    <n v="128522"/>
    <n v="128459"/>
    <n v="254110"/>
    <n v="8470.3333333333339"/>
    <n v="252991"/>
    <n v="8433.0333333333328"/>
    <m/>
    <m/>
    <n v="0"/>
    <n v="0"/>
    <m/>
    <m/>
    <m/>
    <m/>
    <m/>
    <m/>
    <m/>
    <m/>
    <n v="0"/>
    <n v="0"/>
    <n v="0"/>
    <n v="0"/>
    <m/>
    <m/>
    <n v="0"/>
    <n v="0"/>
    <m/>
    <m/>
    <n v="2857"/>
    <n v="3180"/>
    <n v="3235"/>
    <n v="4297"/>
    <n v="3492"/>
    <n v="3677"/>
    <n v="9584"/>
    <n v="399.33333333333331"/>
    <n v="11154"/>
    <n v="464.75"/>
    <n v="8869.6666666666679"/>
    <n v="8897.7833333333328"/>
  </r>
  <r>
    <x v="11"/>
    <s v="Francis Marion University "/>
    <m/>
    <n v="218061"/>
    <x v="4"/>
    <s v="sem"/>
    <m/>
    <m/>
    <m/>
    <n v="46930"/>
    <n v="47202"/>
    <n v="3724"/>
    <n v="3112"/>
    <n v="51424"/>
    <n v="50494"/>
    <n v="102078"/>
    <n v="3402.6"/>
    <n v="100808"/>
    <n v="3360.2666666666669"/>
    <n v="695"/>
    <n v="1414"/>
    <n v="102078"/>
    <n v="100808"/>
    <m/>
    <m/>
    <m/>
    <m/>
    <m/>
    <m/>
    <m/>
    <m/>
    <n v="0"/>
    <n v="0"/>
    <n v="0"/>
    <n v="0"/>
    <m/>
    <m/>
    <n v="0"/>
    <n v="0"/>
    <m/>
    <m/>
    <n v="1514"/>
    <n v="2096"/>
    <n v="1821"/>
    <n v="2026"/>
    <n v="1454"/>
    <n v="1790"/>
    <n v="4789"/>
    <n v="199.54166666666666"/>
    <n v="5912"/>
    <n v="246.33333333333334"/>
    <n v="3602.1416666666664"/>
    <n v="3606.6000000000004"/>
  </r>
  <r>
    <x v="11"/>
    <s v="South Carolina State University "/>
    <m/>
    <n v="218733"/>
    <x v="4"/>
    <s v="sem"/>
    <m/>
    <m/>
    <m/>
    <n v="48329"/>
    <n v="41923"/>
    <n v="6259"/>
    <n v="3630"/>
    <n v="46979"/>
    <n v="42577"/>
    <n v="101567"/>
    <n v="3385.5666666666666"/>
    <n v="88130"/>
    <n v="2937.6666666666665"/>
    <m/>
    <m/>
    <n v="0"/>
    <n v="0"/>
    <m/>
    <m/>
    <m/>
    <m/>
    <m/>
    <m/>
    <m/>
    <m/>
    <n v="0"/>
    <n v="0"/>
    <n v="0"/>
    <n v="0"/>
    <m/>
    <m/>
    <n v="0"/>
    <n v="0"/>
    <m/>
    <m/>
    <n v="4227"/>
    <n v="3727"/>
    <n v="1932"/>
    <n v="1925"/>
    <n v="3872"/>
    <n v="3735"/>
    <n v="10031"/>
    <n v="417.95833333333331"/>
    <n v="9387"/>
    <n v="391.125"/>
    <n v="3803.5250000000001"/>
    <n v="3328.7916666666665"/>
  </r>
  <r>
    <x v="11"/>
    <s v="Lander University"/>
    <m/>
    <n v="218229"/>
    <x v="5"/>
    <s v="sem"/>
    <m/>
    <m/>
    <m/>
    <n v="39529.01"/>
    <n v="38313.5"/>
    <n v="4321"/>
    <n v="3840"/>
    <n v="41793"/>
    <n v="39744.5"/>
    <n v="85643.010000000009"/>
    <n v="2854.7670000000003"/>
    <n v="81898"/>
    <n v="2729.9333333333334"/>
    <n v="163"/>
    <n v="174"/>
    <n v="85643.010000000009"/>
    <n v="81898"/>
    <m/>
    <m/>
    <m/>
    <m/>
    <m/>
    <m/>
    <m/>
    <m/>
    <n v="0"/>
    <n v="0"/>
    <n v="0"/>
    <n v="0"/>
    <m/>
    <m/>
    <n v="0"/>
    <n v="0"/>
    <m/>
    <m/>
    <n v="357"/>
    <n v="447"/>
    <n v="1146"/>
    <n v="975"/>
    <n v="366"/>
    <n v="369"/>
    <n v="1869"/>
    <n v="77.875"/>
    <n v="1791"/>
    <n v="74.625"/>
    <n v="2932.6420000000003"/>
    <n v="2804.5583333333334"/>
  </r>
  <r>
    <x v="11"/>
    <s v="University of South Carolina-Aiken"/>
    <m/>
    <n v="218645"/>
    <x v="5"/>
    <s v="sem"/>
    <m/>
    <m/>
    <m/>
    <n v="37614"/>
    <n v="37154"/>
    <n v="4938"/>
    <n v="4420"/>
    <n v="40607"/>
    <n v="41412"/>
    <n v="83159"/>
    <n v="2771.9666666666667"/>
    <n v="82986"/>
    <n v="2766.2"/>
    <n v="742"/>
    <n v="207"/>
    <n v="83159"/>
    <n v="82986"/>
    <m/>
    <m/>
    <m/>
    <m/>
    <m/>
    <m/>
    <m/>
    <m/>
    <n v="0"/>
    <n v="0"/>
    <n v="0"/>
    <n v="0"/>
    <m/>
    <m/>
    <n v="0"/>
    <n v="0"/>
    <m/>
    <m/>
    <n v="466"/>
    <n v="445"/>
    <n v="357"/>
    <n v="739"/>
    <n v="503"/>
    <n v="583"/>
    <n v="1326"/>
    <n v="55.25"/>
    <n v="1767"/>
    <n v="73.625"/>
    <n v="2827.2166666666667"/>
    <n v="2839.8249999999998"/>
  </r>
  <r>
    <x v="11"/>
    <s v="University of South Carolina-Beaufort"/>
    <m/>
    <n v="218654"/>
    <x v="5"/>
    <s v="sem"/>
    <m/>
    <m/>
    <m/>
    <n v="21874"/>
    <n v="21926"/>
    <n v="2224"/>
    <n v="1983"/>
    <n v="23210"/>
    <n v="22645"/>
    <n v="47308"/>
    <n v="1576.9333333333334"/>
    <n v="46554"/>
    <n v="1551.8"/>
    <n v="87"/>
    <n v="43"/>
    <n v="47308"/>
    <n v="46554"/>
    <m/>
    <m/>
    <m/>
    <m/>
    <m/>
    <m/>
    <m/>
    <m/>
    <n v="0"/>
    <n v="0"/>
    <n v="0"/>
    <n v="0"/>
    <m/>
    <m/>
    <n v="0"/>
    <n v="0"/>
    <m/>
    <m/>
    <n v="0"/>
    <n v="0"/>
    <n v="0"/>
    <n v="0"/>
    <n v="0"/>
    <n v="0"/>
    <n v="0"/>
    <n v="0"/>
    <n v="0"/>
    <n v="0"/>
    <n v="1576.9333333333334"/>
    <n v="1551.8"/>
  </r>
  <r>
    <x v="11"/>
    <s v="University of South Carolina-Upstate"/>
    <m/>
    <n v="218742"/>
    <x v="5"/>
    <s v="sem"/>
    <m/>
    <m/>
    <m/>
    <n v="67295"/>
    <n v="67093"/>
    <n v="7526"/>
    <n v="8562"/>
    <n v="72603"/>
    <n v="73422"/>
    <n v="147424"/>
    <n v="4914.1333333333332"/>
    <n v="149077"/>
    <n v="4969.2333333333336"/>
    <n v="2008"/>
    <n v="1140"/>
    <n v="147424"/>
    <n v="149077"/>
    <m/>
    <m/>
    <m/>
    <m/>
    <m/>
    <m/>
    <m/>
    <m/>
    <n v="0"/>
    <n v="0"/>
    <n v="0"/>
    <n v="0"/>
    <m/>
    <m/>
    <n v="0"/>
    <n v="0"/>
    <m/>
    <m/>
    <n v="574"/>
    <n v="415"/>
    <n v="600"/>
    <n v="810"/>
    <n v="504"/>
    <n v="413"/>
    <n v="1678"/>
    <n v="69.916666666666671"/>
    <n v="1638"/>
    <n v="68.25"/>
    <n v="4984.05"/>
    <n v="5037.4833333333336"/>
  </r>
  <r>
    <x v="11"/>
    <s v="Florence-Darlington Technical College "/>
    <s v="Met the criteria for Two-Year 2 in 2013-14."/>
    <n v="218025"/>
    <x v="6"/>
    <s v="sem"/>
    <m/>
    <m/>
    <m/>
    <n v="62876.43"/>
    <n v="58005"/>
    <n v="23888.17"/>
    <n v="21326"/>
    <n v="64363.42"/>
    <n v="63979"/>
    <n v="151128.02000000002"/>
    <n v="5037.6006666666672"/>
    <n v="143310"/>
    <n v="4777"/>
    <n v="363"/>
    <m/>
    <n v="151128.02000000002"/>
    <n v="0"/>
    <m/>
    <m/>
    <m/>
    <m/>
    <m/>
    <m/>
    <m/>
    <m/>
    <n v="0"/>
    <n v="0"/>
    <n v="0"/>
    <n v="0"/>
    <m/>
    <m/>
    <n v="0"/>
    <n v="0"/>
    <m/>
    <m/>
    <n v="0"/>
    <n v="0"/>
    <n v="0"/>
    <n v="0"/>
    <n v="0"/>
    <n v="0"/>
    <n v="0"/>
    <n v="0"/>
    <n v="0"/>
    <n v="0"/>
    <n v="5037.6006666666672"/>
    <n v="4777"/>
  </r>
  <r>
    <x v="11"/>
    <s v="Greenville Technical College "/>
    <m/>
    <n v="218113"/>
    <x v="6"/>
    <s v="sem"/>
    <m/>
    <m/>
    <m/>
    <n v="144236.34999999998"/>
    <n v="129145"/>
    <n v="52851.560000000005"/>
    <n v="47832"/>
    <n v="146968.21"/>
    <n v="135518"/>
    <n v="344056.12"/>
    <n v="11468.537333333334"/>
    <n v="312495"/>
    <n v="10416.5"/>
    <n v="10298"/>
    <n v="15968"/>
    <n v="344056.12"/>
    <n v="312495"/>
    <m/>
    <m/>
    <m/>
    <m/>
    <m/>
    <m/>
    <m/>
    <m/>
    <n v="0"/>
    <n v="0"/>
    <n v="0"/>
    <n v="0"/>
    <m/>
    <m/>
    <n v="0"/>
    <n v="0"/>
    <m/>
    <m/>
    <n v="0"/>
    <n v="0"/>
    <n v="0"/>
    <n v="0"/>
    <n v="0"/>
    <n v="0"/>
    <n v="0"/>
    <n v="0"/>
    <n v="0"/>
    <n v="0"/>
    <n v="11468.537333333334"/>
    <n v="10416.5"/>
  </r>
  <r>
    <x v="11"/>
    <s v="Horry-Georgetown Technical College "/>
    <m/>
    <n v="218140"/>
    <x v="6"/>
    <s v="sem"/>
    <m/>
    <m/>
    <m/>
    <n v="75945.030000000013"/>
    <n v="75123"/>
    <n v="27424.530000000002"/>
    <n v="26987"/>
    <n v="75778.459999999992"/>
    <n v="73933"/>
    <n v="179148.02000000002"/>
    <n v="5971.6006666666672"/>
    <n v="176043"/>
    <n v="5868.1"/>
    <n v="2444"/>
    <n v="8512"/>
    <n v="179148.02000000002"/>
    <n v="176043"/>
    <m/>
    <m/>
    <m/>
    <m/>
    <m/>
    <m/>
    <m/>
    <m/>
    <n v="0"/>
    <n v="0"/>
    <n v="0"/>
    <n v="0"/>
    <m/>
    <m/>
    <n v="0"/>
    <n v="0"/>
    <m/>
    <m/>
    <n v="0"/>
    <n v="0"/>
    <n v="0"/>
    <n v="0"/>
    <n v="0"/>
    <n v="0"/>
    <n v="0"/>
    <n v="0"/>
    <n v="0"/>
    <n v="0"/>
    <n v="5971.6006666666672"/>
    <n v="5868.1"/>
  </r>
  <r>
    <x v="11"/>
    <s v="Midlands Technical College "/>
    <m/>
    <n v="218353"/>
    <x v="6"/>
    <s v="sem"/>
    <m/>
    <m/>
    <m/>
    <n v="120662.01"/>
    <n v="112617"/>
    <n v="50709.53"/>
    <n v="49959"/>
    <n v="129034.36"/>
    <n v="124749"/>
    <n v="300405.89999999997"/>
    <n v="10013.529999999999"/>
    <n v="287325"/>
    <n v="9577.5"/>
    <n v="1573"/>
    <n v="2188"/>
    <n v="300405.89999999997"/>
    <n v="287325"/>
    <m/>
    <m/>
    <m/>
    <m/>
    <m/>
    <m/>
    <m/>
    <m/>
    <n v="0"/>
    <n v="0"/>
    <n v="0"/>
    <n v="0"/>
    <m/>
    <m/>
    <n v="0"/>
    <n v="0"/>
    <m/>
    <m/>
    <n v="0"/>
    <n v="0"/>
    <n v="0"/>
    <n v="0"/>
    <n v="0"/>
    <n v="0"/>
    <n v="0"/>
    <n v="0"/>
    <n v="0"/>
    <n v="0"/>
    <n v="10013.529999999999"/>
    <n v="9577.5"/>
  </r>
  <r>
    <x v="11"/>
    <s v="Piedmont Technical College "/>
    <m/>
    <n v="218520"/>
    <x v="6"/>
    <s v="sem"/>
    <m/>
    <m/>
    <m/>
    <n v="58859.969999999994"/>
    <n v="61726"/>
    <n v="26989.039999999997"/>
    <n v="27134"/>
    <n v="68727.859999999986"/>
    <n v="64764"/>
    <n v="154576.87"/>
    <n v="5152.5623333333333"/>
    <n v="153624"/>
    <n v="5120.8"/>
    <n v="11680"/>
    <n v="15684"/>
    <n v="154576.87"/>
    <n v="153624"/>
    <m/>
    <m/>
    <m/>
    <m/>
    <m/>
    <m/>
    <m/>
    <m/>
    <n v="0"/>
    <n v="0"/>
    <n v="0"/>
    <n v="0"/>
    <m/>
    <m/>
    <n v="0"/>
    <n v="0"/>
    <m/>
    <m/>
    <n v="0"/>
    <n v="0"/>
    <n v="0"/>
    <n v="0"/>
    <n v="0"/>
    <n v="0"/>
    <n v="0"/>
    <n v="0"/>
    <n v="0"/>
    <n v="0"/>
    <n v="5152.5623333333333"/>
    <n v="5120.8"/>
  </r>
  <r>
    <x v="11"/>
    <s v="Tri-County Technical College "/>
    <m/>
    <n v="218885"/>
    <x v="6"/>
    <s v="sem"/>
    <m/>
    <m/>
    <m/>
    <n v="69376.17"/>
    <n v="66403"/>
    <n v="25132.77"/>
    <n v="22264"/>
    <n v="77607.34"/>
    <n v="74819"/>
    <n v="172116.28"/>
    <n v="5737.2093333333332"/>
    <n v="163486"/>
    <n v="5449.5333333333338"/>
    <n v="6144"/>
    <n v="9661"/>
    <n v="172116.28"/>
    <n v="163486"/>
    <m/>
    <m/>
    <m/>
    <m/>
    <m/>
    <m/>
    <m/>
    <m/>
    <n v="0"/>
    <n v="0"/>
    <n v="0"/>
    <n v="0"/>
    <m/>
    <m/>
    <n v="0"/>
    <n v="0"/>
    <m/>
    <m/>
    <n v="0"/>
    <n v="0"/>
    <n v="0"/>
    <n v="0"/>
    <n v="0"/>
    <n v="0"/>
    <n v="0"/>
    <n v="0"/>
    <n v="0"/>
    <n v="0"/>
    <n v="5737.2093333333332"/>
    <n v="5449.5333333333338"/>
  </r>
  <r>
    <x v="11"/>
    <s v="Trident Technical College "/>
    <m/>
    <n v="218894"/>
    <x v="6"/>
    <s v="sem"/>
    <m/>
    <m/>
    <m/>
    <n v="161776.26999999999"/>
    <n v="160191"/>
    <n v="77027.94"/>
    <n v="77146"/>
    <n v="169822.25999999998"/>
    <n v="171708"/>
    <n v="408626.47"/>
    <n v="13620.882333333333"/>
    <n v="409045"/>
    <n v="13634.833333333334"/>
    <n v="8798"/>
    <n v="18179"/>
    <n v="408626.47"/>
    <n v="409045"/>
    <m/>
    <m/>
    <m/>
    <m/>
    <m/>
    <m/>
    <m/>
    <m/>
    <n v="0"/>
    <n v="0"/>
    <n v="0"/>
    <n v="0"/>
    <m/>
    <m/>
    <n v="0"/>
    <n v="0"/>
    <m/>
    <m/>
    <n v="0"/>
    <n v="0"/>
    <n v="0"/>
    <n v="0"/>
    <n v="0"/>
    <n v="0"/>
    <n v="0"/>
    <n v="0"/>
    <n v="0"/>
    <n v="0"/>
    <n v="13620.882333333333"/>
    <n v="13634.833333333334"/>
  </r>
  <r>
    <x v="11"/>
    <s v="Aiken Technical College "/>
    <m/>
    <n v="217615"/>
    <x v="7"/>
    <s v="sem"/>
    <m/>
    <m/>
    <m/>
    <n v="31132.39"/>
    <n v="27494"/>
    <n v="12097.03"/>
    <n v="11637"/>
    <n v="32738.67"/>
    <n v="30029"/>
    <n v="75968.09"/>
    <n v="2532.2696666666666"/>
    <n v="69160"/>
    <n v="2305.3333333333335"/>
    <n v="676"/>
    <n v="953"/>
    <n v="75968.09"/>
    <n v="69160"/>
    <m/>
    <m/>
    <m/>
    <m/>
    <m/>
    <m/>
    <m/>
    <m/>
    <n v="0"/>
    <n v="0"/>
    <n v="0"/>
    <n v="0"/>
    <m/>
    <m/>
    <n v="0"/>
    <n v="0"/>
    <m/>
    <m/>
    <n v="0"/>
    <n v="0"/>
    <n v="0"/>
    <n v="0"/>
    <n v="0"/>
    <n v="0"/>
    <n v="0"/>
    <n v="0"/>
    <n v="0"/>
    <n v="0"/>
    <n v="2532.2696666666666"/>
    <n v="2305.3333333333335"/>
  </r>
  <r>
    <x v="11"/>
    <s v="Central Carolina Technical College "/>
    <m/>
    <n v="218858"/>
    <x v="7"/>
    <s v="sem"/>
    <m/>
    <m/>
    <m/>
    <n v="38308.81"/>
    <n v="37532"/>
    <n v="17067.2"/>
    <n v="16859"/>
    <n v="41472.21"/>
    <n v="38699"/>
    <n v="96848.22"/>
    <n v="3228.2739999999999"/>
    <n v="93090"/>
    <n v="3103"/>
    <n v="3928"/>
    <n v="6764"/>
    <n v="96848.22"/>
    <n v="93090"/>
    <m/>
    <m/>
    <m/>
    <m/>
    <m/>
    <m/>
    <m/>
    <m/>
    <n v="0"/>
    <n v="0"/>
    <n v="0"/>
    <n v="0"/>
    <m/>
    <m/>
    <n v="0"/>
    <n v="0"/>
    <m/>
    <m/>
    <n v="0"/>
    <n v="0"/>
    <n v="0"/>
    <n v="0"/>
    <n v="0"/>
    <n v="0"/>
    <n v="0"/>
    <n v="0"/>
    <n v="0"/>
    <n v="0"/>
    <n v="3228.2739999999999"/>
    <n v="3103"/>
  </r>
  <r>
    <x v="11"/>
    <s v="Orangeburg-Calhoun Technical College "/>
    <m/>
    <n v="218487"/>
    <x v="7"/>
    <s v="sem"/>
    <m/>
    <m/>
    <m/>
    <n v="26386.019999999997"/>
    <n v="25456"/>
    <n v="10104.019999999999"/>
    <n v="10067"/>
    <n v="29832.820000000003"/>
    <n v="27639"/>
    <n v="66322.86"/>
    <n v="2210.7620000000002"/>
    <n v="63162"/>
    <n v="2105.4"/>
    <n v="5247"/>
    <n v="6326"/>
    <n v="66322.86"/>
    <n v="63162"/>
    <m/>
    <m/>
    <m/>
    <m/>
    <m/>
    <m/>
    <m/>
    <m/>
    <n v="0"/>
    <n v="0"/>
    <n v="0"/>
    <n v="0"/>
    <m/>
    <m/>
    <n v="0"/>
    <n v="0"/>
    <m/>
    <m/>
    <n v="0"/>
    <n v="0"/>
    <n v="0"/>
    <n v="0"/>
    <n v="0"/>
    <n v="0"/>
    <n v="0"/>
    <n v="0"/>
    <n v="0"/>
    <n v="0"/>
    <n v="2210.7620000000002"/>
    <n v="2105.4"/>
  </r>
  <r>
    <x v="11"/>
    <s v="Spartanburg Community College "/>
    <m/>
    <n v="218830"/>
    <x v="7"/>
    <s v="sem"/>
    <m/>
    <m/>
    <m/>
    <n v="57432.23"/>
    <n v="54463"/>
    <n v="22098.95"/>
    <n v="19015"/>
    <n v="60606.94"/>
    <n v="58949"/>
    <n v="140138.12"/>
    <n v="4671.2706666666663"/>
    <n v="132427"/>
    <n v="4414.2333333333336"/>
    <n v="5705"/>
    <n v="9557"/>
    <n v="140138.12"/>
    <n v="132427"/>
    <m/>
    <m/>
    <m/>
    <m/>
    <m/>
    <m/>
    <m/>
    <m/>
    <n v="0"/>
    <n v="0"/>
    <n v="0"/>
    <n v="0"/>
    <m/>
    <m/>
    <n v="0"/>
    <n v="0"/>
    <m/>
    <m/>
    <n v="0"/>
    <n v="0"/>
    <n v="0"/>
    <n v="0"/>
    <n v="0"/>
    <n v="0"/>
    <n v="0"/>
    <n v="0"/>
    <n v="0"/>
    <n v="0"/>
    <n v="4671.2706666666663"/>
    <n v="4414.2333333333336"/>
  </r>
  <r>
    <x v="11"/>
    <s v="York Technical College "/>
    <m/>
    <n v="218991"/>
    <x v="7"/>
    <s v="sem"/>
    <m/>
    <m/>
    <m/>
    <n v="52722.35"/>
    <n v="46495"/>
    <n v="22400.54"/>
    <n v="19397"/>
    <n v="51165.85"/>
    <n v="53564"/>
    <n v="126288.73999999999"/>
    <n v="4209.6246666666666"/>
    <n v="119456"/>
    <n v="3981.8666666666668"/>
    <n v="3136"/>
    <n v="2163"/>
    <n v="126288.73999999999"/>
    <n v="119456"/>
    <m/>
    <m/>
    <m/>
    <m/>
    <m/>
    <m/>
    <m/>
    <m/>
    <n v="0"/>
    <n v="0"/>
    <n v="0"/>
    <n v="0"/>
    <m/>
    <m/>
    <n v="0"/>
    <n v="0"/>
    <m/>
    <m/>
    <n v="0"/>
    <n v="0"/>
    <n v="0"/>
    <n v="0"/>
    <n v="0"/>
    <n v="0"/>
    <n v="0"/>
    <n v="0"/>
    <n v="0"/>
    <n v="0"/>
    <n v="4209.6246666666666"/>
    <n v="3981.8666666666668"/>
  </r>
  <r>
    <x v="11"/>
    <s v="Denmark Technical College "/>
    <m/>
    <n v="217989"/>
    <x v="8"/>
    <s v="sem"/>
    <m/>
    <m/>
    <m/>
    <n v="24677"/>
    <n v="24095"/>
    <n v="11890.42"/>
    <n v="10276"/>
    <n v="28216.91"/>
    <n v="22770"/>
    <n v="64784.33"/>
    <n v="2159.4776666666667"/>
    <n v="57141"/>
    <n v="1904.7"/>
    <m/>
    <m/>
    <n v="0"/>
    <n v="0"/>
    <m/>
    <m/>
    <m/>
    <m/>
    <m/>
    <m/>
    <m/>
    <m/>
    <n v="0"/>
    <n v="0"/>
    <n v="0"/>
    <n v="0"/>
    <m/>
    <m/>
    <n v="0"/>
    <n v="0"/>
    <m/>
    <m/>
    <n v="0"/>
    <n v="0"/>
    <n v="0"/>
    <n v="0"/>
    <n v="0"/>
    <n v="0"/>
    <n v="0"/>
    <n v="0"/>
    <n v="0"/>
    <n v="0"/>
    <n v="2159.4776666666667"/>
    <n v="1904.7"/>
  </r>
  <r>
    <x v="11"/>
    <s v="Northeastern Technical College "/>
    <m/>
    <n v="217837"/>
    <x v="8"/>
    <s v="sem"/>
    <m/>
    <m/>
    <m/>
    <n v="12521.18"/>
    <n v="12903"/>
    <n v="4788.71"/>
    <n v="5121"/>
    <n v="13964.9"/>
    <n v="13295"/>
    <n v="31274.79"/>
    <n v="1042.4929999999999"/>
    <n v="31319"/>
    <n v="1043.9666666666667"/>
    <n v="1302"/>
    <n v="2230"/>
    <n v="31274.79"/>
    <n v="31319"/>
    <m/>
    <m/>
    <m/>
    <m/>
    <m/>
    <m/>
    <m/>
    <m/>
    <n v="0"/>
    <n v="0"/>
    <n v="0"/>
    <n v="0"/>
    <m/>
    <m/>
    <n v="0"/>
    <n v="0"/>
    <m/>
    <m/>
    <n v="0"/>
    <n v="0"/>
    <n v="0"/>
    <n v="0"/>
    <n v="0"/>
    <n v="0"/>
    <n v="0"/>
    <n v="0"/>
    <n v="0"/>
    <n v="0"/>
    <n v="1042.4929999999999"/>
    <n v="1043.9666666666667"/>
  </r>
  <r>
    <x v="11"/>
    <s v="Technical College of the Lowcountry"/>
    <m/>
    <n v="217712"/>
    <x v="8"/>
    <s v="sem"/>
    <m/>
    <m/>
    <m/>
    <n v="25522.49"/>
    <n v="21369"/>
    <n v="9167.68"/>
    <n v="9212"/>
    <n v="22459.799999999996"/>
    <n v="22598"/>
    <n v="57149.969999999994"/>
    <n v="1904.9989999999998"/>
    <n v="53179"/>
    <n v="1772.6333333333334"/>
    <n v="3119"/>
    <n v="3512"/>
    <n v="57149.969999999994"/>
    <n v="53179"/>
    <m/>
    <m/>
    <m/>
    <m/>
    <m/>
    <m/>
    <m/>
    <m/>
    <n v="0"/>
    <n v="0"/>
    <n v="0"/>
    <n v="0"/>
    <m/>
    <m/>
    <n v="0"/>
    <n v="0"/>
    <m/>
    <m/>
    <n v="0"/>
    <n v="0"/>
    <n v="0"/>
    <n v="0"/>
    <n v="0"/>
    <n v="0"/>
    <n v="0"/>
    <n v="0"/>
    <n v="0"/>
    <n v="0"/>
    <n v="1904.9989999999998"/>
    <n v="1772.6333333333334"/>
  </r>
  <r>
    <x v="11"/>
    <s v="University of South Carolina-Lancaster"/>
    <m/>
    <n v="218672"/>
    <x v="8"/>
    <s v="sem"/>
    <m/>
    <m/>
    <m/>
    <n v="16275"/>
    <n v="15597"/>
    <n v="1958"/>
    <n v="1605"/>
    <n v="19475"/>
    <n v="18729"/>
    <n v="37708"/>
    <n v="1256.9333333333334"/>
    <n v="35931"/>
    <n v="1197.7"/>
    <n v="4133"/>
    <n v="1191"/>
    <n v="37708"/>
    <n v="35931"/>
    <m/>
    <m/>
    <m/>
    <m/>
    <m/>
    <m/>
    <m/>
    <m/>
    <n v="0"/>
    <n v="0"/>
    <n v="0"/>
    <n v="0"/>
    <m/>
    <m/>
    <n v="0"/>
    <n v="0"/>
    <m/>
    <m/>
    <n v="0"/>
    <n v="0"/>
    <n v="0"/>
    <n v="0"/>
    <n v="0"/>
    <n v="0"/>
    <n v="0"/>
    <n v="0"/>
    <n v="0"/>
    <n v="0"/>
    <n v="1256.9333333333334"/>
    <n v="1197.7"/>
  </r>
  <r>
    <x v="11"/>
    <s v="University of South Carolina-Salkehatchie"/>
    <m/>
    <n v="218681"/>
    <x v="8"/>
    <s v="sem"/>
    <m/>
    <m/>
    <m/>
    <n v="11145"/>
    <n v="10548"/>
    <n v="779"/>
    <n v="603"/>
    <n v="11935"/>
    <n v="10973"/>
    <n v="23859"/>
    <n v="795.3"/>
    <n v="22124"/>
    <n v="737.4666666666667"/>
    <n v="1881"/>
    <n v="407"/>
    <n v="23859"/>
    <n v="22124"/>
    <m/>
    <m/>
    <m/>
    <m/>
    <m/>
    <m/>
    <m/>
    <m/>
    <n v="0"/>
    <n v="0"/>
    <n v="0"/>
    <n v="0"/>
    <m/>
    <m/>
    <n v="0"/>
    <n v="0"/>
    <m/>
    <m/>
    <n v="0"/>
    <n v="0"/>
    <n v="0"/>
    <n v="0"/>
    <n v="0"/>
    <n v="0"/>
    <n v="0"/>
    <n v="0"/>
    <n v="0"/>
    <n v="0"/>
    <n v="795.3"/>
    <n v="737.4666666666667"/>
  </r>
  <r>
    <x v="11"/>
    <s v="University of South Carolina-Sumter"/>
    <m/>
    <n v="218690"/>
    <x v="8"/>
    <s v="sem"/>
    <m/>
    <m/>
    <m/>
    <n v="9870"/>
    <n v="9375"/>
    <n v="1003"/>
    <n v="1092"/>
    <n v="10504"/>
    <n v="10834"/>
    <n v="21377"/>
    <n v="712.56666666666672"/>
    <n v="21301"/>
    <n v="710.0333333333333"/>
    <n v="2589"/>
    <n v="774"/>
    <n v="21377"/>
    <n v="21301"/>
    <m/>
    <m/>
    <m/>
    <m/>
    <m/>
    <m/>
    <m/>
    <m/>
    <n v="0"/>
    <n v="0"/>
    <n v="0"/>
    <n v="0"/>
    <m/>
    <m/>
    <n v="0"/>
    <n v="0"/>
    <m/>
    <m/>
    <n v="0"/>
    <n v="0"/>
    <n v="0"/>
    <n v="0"/>
    <n v="0"/>
    <n v="0"/>
    <n v="0"/>
    <n v="0"/>
    <n v="0"/>
    <n v="0"/>
    <n v="712.56666666666672"/>
    <n v="710.0333333333333"/>
  </r>
  <r>
    <x v="11"/>
    <s v="University of South Carolina-Union"/>
    <m/>
    <n v="218706"/>
    <x v="8"/>
    <s v="sem"/>
    <m/>
    <m/>
    <m/>
    <n v="5684"/>
    <n v="4987"/>
    <n v="314"/>
    <n v="327"/>
    <n v="5162"/>
    <n v="5249"/>
    <n v="11160"/>
    <n v="372"/>
    <n v="10563"/>
    <n v="352.1"/>
    <n v="3265"/>
    <n v="1476"/>
    <n v="11160"/>
    <n v="10563"/>
    <m/>
    <m/>
    <m/>
    <m/>
    <m/>
    <m/>
    <m/>
    <m/>
    <n v="0"/>
    <n v="0"/>
    <n v="0"/>
    <n v="0"/>
    <m/>
    <m/>
    <n v="0"/>
    <n v="0"/>
    <m/>
    <m/>
    <n v="0"/>
    <n v="0"/>
    <n v="0"/>
    <n v="0"/>
    <n v="0"/>
    <n v="0"/>
    <n v="0"/>
    <n v="0"/>
    <n v="0"/>
    <n v="0"/>
    <n v="372"/>
    <n v="352.1"/>
  </r>
  <r>
    <x v="11"/>
    <s v="Willamsburg Technical College "/>
    <m/>
    <n v="218955"/>
    <x v="8"/>
    <s v="sem"/>
    <m/>
    <m/>
    <m/>
    <n v="5710.01"/>
    <n v="6109"/>
    <n v="2703.52"/>
    <n v="2984"/>
    <n v="6031.96"/>
    <n v="6599"/>
    <n v="14445.490000000002"/>
    <n v="481.51633333333336"/>
    <n v="15692"/>
    <n v="523.06666666666672"/>
    <n v="201"/>
    <n v="143"/>
    <n v="14445.490000000002"/>
    <n v="15692"/>
    <m/>
    <m/>
    <m/>
    <m/>
    <m/>
    <m/>
    <m/>
    <m/>
    <n v="0"/>
    <n v="0"/>
    <n v="0"/>
    <n v="0"/>
    <m/>
    <m/>
    <n v="0"/>
    <n v="0"/>
    <m/>
    <m/>
    <n v="0"/>
    <n v="0"/>
    <n v="0"/>
    <n v="0"/>
    <n v="0"/>
    <n v="0"/>
    <n v="0"/>
    <n v="0"/>
    <n v="0"/>
    <n v="0"/>
    <n v="481.51633333333336"/>
    <n v="523.06666666666672"/>
  </r>
  <r>
    <x v="12"/>
    <s v="University of Memphis"/>
    <m/>
    <n v="220862"/>
    <x v="0"/>
    <s v="sem"/>
    <m/>
    <m/>
    <m/>
    <n v="205095"/>
    <n v="198010"/>
    <n v="29622"/>
    <n v="26167"/>
    <n v="215044"/>
    <n v="208255"/>
    <n v="449761"/>
    <n v="14992.033333333333"/>
    <n v="432432"/>
    <n v="14414.4"/>
    <m/>
    <m/>
    <n v="0"/>
    <n v="0"/>
    <m/>
    <m/>
    <m/>
    <m/>
    <m/>
    <m/>
    <m/>
    <m/>
    <n v="0"/>
    <n v="0"/>
    <n v="0"/>
    <n v="0"/>
    <m/>
    <m/>
    <n v="0"/>
    <n v="0"/>
    <m/>
    <m/>
    <n v="38048"/>
    <n v="35955"/>
    <n v="8361"/>
    <n v="7207"/>
    <n v="37503"/>
    <n v="33839"/>
    <n v="83912"/>
    <n v="3496.3333333333335"/>
    <n v="77001"/>
    <n v="3208.375"/>
    <n v="18488.366666666665"/>
    <n v="17622.775000000001"/>
  </r>
  <r>
    <x v="12"/>
    <s v="University of Tennessee, Knoxville"/>
    <m/>
    <n v="221759"/>
    <x v="0"/>
    <s v="sem"/>
    <m/>
    <m/>
    <m/>
    <n v="267133"/>
    <n v="263656"/>
    <n v="35001"/>
    <n v="32451"/>
    <n v="282072"/>
    <n v="286017"/>
    <n v="584206"/>
    <n v="19473.533333333333"/>
    <n v="582124"/>
    <n v="19404.133333333335"/>
    <m/>
    <m/>
    <n v="0"/>
    <n v="0"/>
    <m/>
    <m/>
    <m/>
    <m/>
    <m/>
    <m/>
    <m/>
    <m/>
    <n v="0"/>
    <n v="0"/>
    <n v="0"/>
    <n v="0"/>
    <m/>
    <m/>
    <n v="0"/>
    <n v="0"/>
    <m/>
    <m/>
    <n v="49019"/>
    <n v="47961"/>
    <n v="17533"/>
    <n v="17270"/>
    <n v="52657"/>
    <n v="52662"/>
    <n v="119209"/>
    <n v="4967.041666666667"/>
    <n v="117893"/>
    <n v="4912.208333333333"/>
    <n v="24440.575000000001"/>
    <n v="24316.341666666667"/>
  </r>
  <r>
    <x v="12"/>
    <s v="Tennessee State University "/>
    <m/>
    <n v="221838"/>
    <x v="1"/>
    <s v="sem"/>
    <m/>
    <m/>
    <m/>
    <n v="83514"/>
    <n v="79659"/>
    <n v="12181"/>
    <n v="12313"/>
    <n v="85330"/>
    <n v="87070"/>
    <n v="181025"/>
    <n v="6034.166666666667"/>
    <n v="179042"/>
    <n v="5968.0666666666666"/>
    <m/>
    <m/>
    <n v="0"/>
    <n v="0"/>
    <m/>
    <m/>
    <m/>
    <m/>
    <m/>
    <m/>
    <m/>
    <m/>
    <n v="0"/>
    <n v="0"/>
    <n v="0"/>
    <n v="0"/>
    <m/>
    <m/>
    <n v="0"/>
    <n v="0"/>
    <m/>
    <m/>
    <n v="14457"/>
    <n v="14873"/>
    <n v="6088"/>
    <n v="6496"/>
    <n v="14545"/>
    <n v="15301"/>
    <n v="35090"/>
    <n v="1462.0833333333333"/>
    <n v="36670"/>
    <n v="1527.9166666666667"/>
    <n v="7496.25"/>
    <n v="7495.9833333333336"/>
  </r>
  <r>
    <x v="12"/>
    <s v="Austin Peay State University "/>
    <m/>
    <n v="219602"/>
    <x v="2"/>
    <s v="sem"/>
    <m/>
    <m/>
    <m/>
    <n v="110890"/>
    <n v="111013"/>
    <n v="22384"/>
    <n v="19564"/>
    <n v="119482"/>
    <n v="118295"/>
    <n v="252756"/>
    <n v="8425.2000000000007"/>
    <n v="248872"/>
    <n v="8295.7333333333336"/>
    <n v="1845"/>
    <n v="1910"/>
    <n v="252756"/>
    <n v="248872"/>
    <m/>
    <m/>
    <m/>
    <m/>
    <m/>
    <m/>
    <m/>
    <m/>
    <n v="0"/>
    <n v="0"/>
    <n v="0"/>
    <n v="0"/>
    <m/>
    <m/>
    <n v="0"/>
    <n v="0"/>
    <m/>
    <m/>
    <n v="5962"/>
    <n v="5903"/>
    <n v="2916"/>
    <n v="3048"/>
    <n v="6505"/>
    <n v="6356"/>
    <n v="15383"/>
    <n v="640.95833333333337"/>
    <n v="15307"/>
    <n v="637.79166666666663"/>
    <n v="9066.1583333333347"/>
    <n v="8933.5249999999996"/>
  </r>
  <r>
    <x v="12"/>
    <s v="East Tennessee State University "/>
    <s v="Met the criteria for Four-Year 2 in 2013-14."/>
    <n v="220075"/>
    <x v="2"/>
    <s v="sem"/>
    <m/>
    <m/>
    <m/>
    <n v="151184"/>
    <n v="146941"/>
    <n v="23270"/>
    <n v="22343"/>
    <n v="159588"/>
    <n v="152538"/>
    <n v="334042"/>
    <n v="11134.733333333334"/>
    <n v="321822"/>
    <n v="10727.4"/>
    <n v="1783"/>
    <n v="1895"/>
    <n v="334042"/>
    <n v="321822"/>
    <m/>
    <m/>
    <m/>
    <m/>
    <m/>
    <m/>
    <m/>
    <m/>
    <n v="0"/>
    <n v="0"/>
    <n v="0"/>
    <n v="0"/>
    <m/>
    <m/>
    <n v="0"/>
    <n v="0"/>
    <m/>
    <m/>
    <n v="16736"/>
    <n v="17833"/>
    <n v="7818"/>
    <n v="8468"/>
    <n v="18568"/>
    <n v="19125"/>
    <n v="43122"/>
    <n v="1796.75"/>
    <n v="45426"/>
    <n v="1892.75"/>
    <n v="12931.483333333334"/>
    <n v="12620.15"/>
  </r>
  <r>
    <x v="12"/>
    <s v="Middle Tennessee State University "/>
    <m/>
    <n v="220978"/>
    <x v="2"/>
    <s v="sem"/>
    <m/>
    <m/>
    <m/>
    <n v="272267"/>
    <n v="255496"/>
    <n v="46567"/>
    <n v="42269"/>
    <n v="286959"/>
    <n v="271345"/>
    <n v="605793"/>
    <n v="20193.099999999999"/>
    <n v="569110"/>
    <n v="18970.333333333332"/>
    <n v="1023"/>
    <n v="1083"/>
    <n v="605793"/>
    <n v="569110"/>
    <m/>
    <m/>
    <m/>
    <m/>
    <m/>
    <m/>
    <m/>
    <m/>
    <n v="0"/>
    <n v="0"/>
    <n v="0"/>
    <n v="0"/>
    <m/>
    <m/>
    <n v="0"/>
    <n v="0"/>
    <m/>
    <m/>
    <n v="19237"/>
    <n v="19515"/>
    <n v="9619"/>
    <n v="9254"/>
    <n v="20316"/>
    <n v="18566"/>
    <n v="49172"/>
    <n v="2048.8333333333335"/>
    <n v="47335"/>
    <n v="1972.2916666666667"/>
    <n v="22241.933333333331"/>
    <n v="20942.625"/>
  </r>
  <r>
    <x v="12"/>
    <s v="Tennessee Technological University "/>
    <m/>
    <n v="221847"/>
    <x v="2"/>
    <s v="sem"/>
    <m/>
    <m/>
    <m/>
    <n v="121717"/>
    <n v="122495"/>
    <n v="14024"/>
    <n v="13249"/>
    <n v="134982"/>
    <n v="137824"/>
    <n v="270723"/>
    <n v="9024.1"/>
    <n v="273568"/>
    <n v="9118.9333333333325"/>
    <n v="714"/>
    <n v="447"/>
    <n v="270723"/>
    <n v="273568"/>
    <m/>
    <m/>
    <m/>
    <m/>
    <m/>
    <m/>
    <m/>
    <m/>
    <n v="0"/>
    <n v="0"/>
    <n v="0"/>
    <n v="0"/>
    <m/>
    <m/>
    <n v="0"/>
    <n v="0"/>
    <m/>
    <m/>
    <n v="7082"/>
    <n v="6953"/>
    <n v="3227"/>
    <n v="3493"/>
    <n v="7650"/>
    <n v="7307"/>
    <n v="17959"/>
    <n v="748.29166666666663"/>
    <n v="17753"/>
    <n v="739.70833333333337"/>
    <n v="9772.3916666666664"/>
    <n v="9858.6416666666664"/>
  </r>
  <r>
    <x v="12"/>
    <s v="University of Tennessee at Chattanooga"/>
    <m/>
    <n v="221740"/>
    <x v="2"/>
    <s v="sem"/>
    <m/>
    <m/>
    <m/>
    <n v="121325"/>
    <n v="121894"/>
    <n v="17136"/>
    <n v="18222"/>
    <n v="134842"/>
    <n v="139703"/>
    <n v="273303"/>
    <n v="9110.1"/>
    <n v="279819"/>
    <n v="9327.2999999999993"/>
    <n v="264"/>
    <n v="171"/>
    <n v="273303"/>
    <n v="279819"/>
    <m/>
    <m/>
    <m/>
    <m/>
    <m/>
    <m/>
    <m/>
    <m/>
    <n v="0"/>
    <n v="0"/>
    <n v="0"/>
    <n v="0"/>
    <m/>
    <m/>
    <n v="0"/>
    <n v="0"/>
    <m/>
    <m/>
    <n v="10976"/>
    <n v="10638"/>
    <n v="5913"/>
    <n v="5672"/>
    <n v="11534"/>
    <n v="10732"/>
    <n v="28423"/>
    <n v="1184.2916666666667"/>
    <n v="27042"/>
    <n v="1126.75"/>
    <n v="10294.391666666666"/>
    <n v="10454.049999999999"/>
  </r>
  <r>
    <x v="12"/>
    <s v="University of Tennessee at Martin"/>
    <m/>
    <n v="221768"/>
    <x v="4"/>
    <s v="sem"/>
    <m/>
    <m/>
    <m/>
    <n v="91482"/>
    <n v="90776"/>
    <n v="12872"/>
    <n v="11770"/>
    <n v="98320"/>
    <n v="95352"/>
    <n v="202674"/>
    <n v="6755.8"/>
    <n v="197898"/>
    <n v="6596.6"/>
    <n v="4402"/>
    <n v="3525"/>
    <n v="202674"/>
    <n v="197898"/>
    <m/>
    <m/>
    <m/>
    <m/>
    <m/>
    <m/>
    <m/>
    <m/>
    <n v="0"/>
    <n v="0"/>
    <n v="0"/>
    <n v="0"/>
    <m/>
    <m/>
    <n v="0"/>
    <n v="0"/>
    <m/>
    <m/>
    <n v="2579"/>
    <n v="2603"/>
    <n v="1633"/>
    <n v="1842"/>
    <n v="2581"/>
    <n v="2377"/>
    <n v="6793"/>
    <n v="283.04166666666669"/>
    <n v="6822"/>
    <n v="284.25"/>
    <n v="7038.8416666666672"/>
    <n v="6880.85"/>
  </r>
  <r>
    <x v="12"/>
    <s v="Chattanooga State Technical Community College "/>
    <m/>
    <n v="219824"/>
    <x v="6"/>
    <s v="sem"/>
    <m/>
    <m/>
    <m/>
    <n v="90205"/>
    <n v="88614"/>
    <n v="19778"/>
    <n v="16010"/>
    <n v="98768"/>
    <n v="95817"/>
    <n v="208751"/>
    <n v="6958.3666666666668"/>
    <n v="200441"/>
    <n v="6681.3666666666668"/>
    <n v="11548"/>
    <n v="12819"/>
    <n v="208751"/>
    <n v="200441"/>
    <m/>
    <m/>
    <m/>
    <m/>
    <m/>
    <m/>
    <m/>
    <m/>
    <n v="0"/>
    <n v="0"/>
    <n v="0"/>
    <n v="0"/>
    <m/>
    <m/>
    <n v="0"/>
    <n v="0"/>
    <m/>
    <m/>
    <m/>
    <m/>
    <m/>
    <m/>
    <m/>
    <m/>
    <n v="0"/>
    <n v="0"/>
    <n v="0"/>
    <n v="0"/>
    <n v="6958.3666666666668"/>
    <n v="6681.3666666666668"/>
  </r>
  <r>
    <x v="12"/>
    <s v="Nashville State Technical Community College"/>
    <m/>
    <n v="221184"/>
    <x v="6"/>
    <s v="sem"/>
    <m/>
    <m/>
    <m/>
    <n v="84144"/>
    <n v="86171"/>
    <n v="22096"/>
    <n v="21381"/>
    <n v="85216"/>
    <n v="86943"/>
    <n v="191456"/>
    <n v="6381.8666666666668"/>
    <n v="194495"/>
    <n v="6483.166666666667"/>
    <n v="6760"/>
    <n v="7625"/>
    <n v="191456"/>
    <n v="194495"/>
    <m/>
    <m/>
    <m/>
    <m/>
    <m/>
    <m/>
    <m/>
    <m/>
    <n v="0"/>
    <n v="0"/>
    <n v="0"/>
    <n v="0"/>
    <m/>
    <m/>
    <n v="0"/>
    <n v="0"/>
    <m/>
    <m/>
    <m/>
    <m/>
    <m/>
    <m/>
    <m/>
    <m/>
    <n v="0"/>
    <n v="0"/>
    <n v="0"/>
    <n v="0"/>
    <n v="6381.8666666666668"/>
    <n v="6483.166666666667"/>
  </r>
  <r>
    <x v="12"/>
    <s v="Pellissippi State Technical Community College"/>
    <m/>
    <n v="221643"/>
    <x v="6"/>
    <s v="sem"/>
    <m/>
    <m/>
    <m/>
    <n v="98536"/>
    <n v="97294"/>
    <n v="20180"/>
    <n v="20643"/>
    <n v="105861"/>
    <n v="104677"/>
    <n v="224577"/>
    <n v="7485.9"/>
    <n v="222614"/>
    <n v="7420.4666666666662"/>
    <n v="6888"/>
    <n v="7784"/>
    <n v="224577"/>
    <n v="222614"/>
    <m/>
    <m/>
    <m/>
    <m/>
    <m/>
    <m/>
    <m/>
    <m/>
    <n v="0"/>
    <n v="0"/>
    <n v="0"/>
    <n v="0"/>
    <m/>
    <m/>
    <n v="0"/>
    <n v="0"/>
    <m/>
    <m/>
    <m/>
    <m/>
    <m/>
    <m/>
    <m/>
    <m/>
    <n v="0"/>
    <n v="0"/>
    <n v="0"/>
    <n v="0"/>
    <n v="7485.9"/>
    <n v="7420.4666666666662"/>
  </r>
  <r>
    <x v="12"/>
    <s v="Southwest Tennessee Community College"/>
    <m/>
    <n v="221485"/>
    <x v="6"/>
    <s v="sem"/>
    <m/>
    <m/>
    <m/>
    <n v="115229"/>
    <n v="97122"/>
    <n v="31469"/>
    <n v="25741"/>
    <n v="113328"/>
    <n v="102019"/>
    <n v="260026"/>
    <n v="8667.5333333333328"/>
    <n v="224882"/>
    <n v="7496.0666666666666"/>
    <n v="1851"/>
    <n v="2118"/>
    <n v="260026"/>
    <n v="224882"/>
    <m/>
    <m/>
    <m/>
    <m/>
    <m/>
    <m/>
    <m/>
    <m/>
    <n v="0"/>
    <n v="0"/>
    <n v="0"/>
    <n v="0"/>
    <m/>
    <m/>
    <n v="0"/>
    <n v="0"/>
    <m/>
    <m/>
    <m/>
    <m/>
    <m/>
    <m/>
    <m/>
    <m/>
    <n v="0"/>
    <n v="0"/>
    <n v="0"/>
    <n v="0"/>
    <n v="8667.5333333333328"/>
    <n v="7496.0666666666666"/>
  </r>
  <r>
    <x v="12"/>
    <s v="Volunteer State Community College "/>
    <m/>
    <n v="222053"/>
    <x v="6"/>
    <s v="sem"/>
    <m/>
    <m/>
    <m/>
    <n v="72241"/>
    <n v="68743"/>
    <n v="16149"/>
    <n v="17065"/>
    <n v="76369"/>
    <n v="74776"/>
    <n v="164759"/>
    <n v="5491.9666666666662"/>
    <n v="160584"/>
    <n v="5352.8"/>
    <n v="11351"/>
    <n v="13372"/>
    <n v="164759"/>
    <n v="160584"/>
    <m/>
    <m/>
    <m/>
    <m/>
    <m/>
    <m/>
    <m/>
    <m/>
    <n v="0"/>
    <n v="0"/>
    <n v="0"/>
    <n v="0"/>
    <m/>
    <m/>
    <n v="0"/>
    <n v="0"/>
    <m/>
    <m/>
    <m/>
    <m/>
    <m/>
    <m/>
    <m/>
    <m/>
    <n v="0"/>
    <n v="0"/>
    <n v="0"/>
    <n v="0"/>
    <n v="5491.9666666666662"/>
    <n v="5352.8"/>
  </r>
  <r>
    <x v="12"/>
    <s v="Cleveland State Community College "/>
    <m/>
    <n v="219879"/>
    <x v="7"/>
    <s v="sem"/>
    <m/>
    <m/>
    <m/>
    <n v="33841"/>
    <n v="32737"/>
    <n v="5742"/>
    <n v="4943"/>
    <n v="37234"/>
    <n v="37307"/>
    <n v="76817"/>
    <n v="2560.5666666666666"/>
    <n v="74987"/>
    <n v="2499.5666666666666"/>
    <n v="3886"/>
    <n v="4864"/>
    <n v="76817"/>
    <n v="74987"/>
    <m/>
    <m/>
    <m/>
    <m/>
    <m/>
    <m/>
    <m/>
    <m/>
    <n v="0"/>
    <n v="0"/>
    <n v="0"/>
    <n v="0"/>
    <m/>
    <m/>
    <n v="0"/>
    <n v="0"/>
    <m/>
    <m/>
    <m/>
    <m/>
    <m/>
    <m/>
    <m/>
    <m/>
    <n v="0"/>
    <n v="0"/>
    <n v="0"/>
    <n v="0"/>
    <n v="2560.5666666666666"/>
    <n v="2499.5666666666666"/>
  </r>
  <r>
    <x v="12"/>
    <s v="Columbia State Community College "/>
    <m/>
    <n v="219888"/>
    <x v="7"/>
    <s v="sem"/>
    <m/>
    <m/>
    <m/>
    <n v="46049"/>
    <n v="44667"/>
    <n v="9491"/>
    <n v="9019"/>
    <n v="50221"/>
    <n v="50281"/>
    <n v="105761"/>
    <n v="3525.3666666666668"/>
    <n v="103967"/>
    <n v="3465.5666666666666"/>
    <n v="4890"/>
    <n v="5833"/>
    <n v="105761"/>
    <n v="103967"/>
    <m/>
    <m/>
    <m/>
    <m/>
    <m/>
    <m/>
    <m/>
    <m/>
    <n v="0"/>
    <n v="0"/>
    <n v="0"/>
    <n v="0"/>
    <m/>
    <m/>
    <n v="0"/>
    <n v="0"/>
    <m/>
    <m/>
    <m/>
    <m/>
    <m/>
    <m/>
    <m/>
    <m/>
    <n v="0"/>
    <n v="0"/>
    <n v="0"/>
    <n v="0"/>
    <n v="3525.3666666666668"/>
    <n v="3465.5666666666666"/>
  </r>
  <r>
    <x v="12"/>
    <s v="Dyersburg State Community College "/>
    <m/>
    <n v="220057"/>
    <x v="7"/>
    <s v="sem"/>
    <m/>
    <m/>
    <m/>
    <n v="30823"/>
    <n v="29026"/>
    <n v="4226"/>
    <n v="3383"/>
    <n v="33257"/>
    <n v="28775"/>
    <n v="68306"/>
    <n v="2276.8666666666668"/>
    <n v="61184"/>
    <n v="2039.4666666666667"/>
    <n v="6665"/>
    <n v="6721"/>
    <n v="68306"/>
    <n v="61184"/>
    <m/>
    <m/>
    <m/>
    <m/>
    <m/>
    <m/>
    <m/>
    <m/>
    <n v="0"/>
    <n v="0"/>
    <n v="0"/>
    <n v="0"/>
    <m/>
    <m/>
    <n v="0"/>
    <n v="0"/>
    <m/>
    <m/>
    <m/>
    <m/>
    <m/>
    <m/>
    <m/>
    <m/>
    <n v="0"/>
    <n v="0"/>
    <n v="0"/>
    <n v="0"/>
    <n v="2276.8666666666668"/>
    <n v="2039.4666666666667"/>
  </r>
  <r>
    <x v="12"/>
    <s v="Jackson State Community College "/>
    <m/>
    <n v="220400"/>
    <x v="7"/>
    <s v="sem"/>
    <m/>
    <m/>
    <m/>
    <n v="42087"/>
    <n v="38211"/>
    <n v="8448"/>
    <n v="7246"/>
    <n v="42708"/>
    <n v="40832"/>
    <n v="93243"/>
    <n v="3108.1"/>
    <n v="86289"/>
    <n v="2876.3"/>
    <n v="4424"/>
    <n v="6735"/>
    <n v="93243"/>
    <n v="86289"/>
    <m/>
    <m/>
    <m/>
    <m/>
    <m/>
    <m/>
    <m/>
    <m/>
    <n v="0"/>
    <n v="0"/>
    <n v="0"/>
    <n v="0"/>
    <m/>
    <m/>
    <n v="0"/>
    <n v="0"/>
    <m/>
    <m/>
    <m/>
    <m/>
    <m/>
    <m/>
    <m/>
    <m/>
    <n v="0"/>
    <n v="0"/>
    <n v="0"/>
    <n v="0"/>
    <n v="3108.1"/>
    <n v="2876.3"/>
  </r>
  <r>
    <x v="12"/>
    <s v="Motlow State Community College "/>
    <m/>
    <n v="221096"/>
    <x v="7"/>
    <s v="sem"/>
    <m/>
    <m/>
    <m/>
    <n v="42418"/>
    <n v="39296"/>
    <n v="8091"/>
    <n v="7820"/>
    <n v="43877"/>
    <n v="44753"/>
    <n v="94386"/>
    <n v="3146.2"/>
    <n v="91869"/>
    <n v="3062.3"/>
    <n v="5608"/>
    <n v="7172"/>
    <n v="94386"/>
    <n v="91869"/>
    <m/>
    <m/>
    <m/>
    <m/>
    <m/>
    <m/>
    <m/>
    <m/>
    <n v="0"/>
    <n v="0"/>
    <n v="0"/>
    <n v="0"/>
    <m/>
    <m/>
    <n v="0"/>
    <n v="0"/>
    <m/>
    <m/>
    <m/>
    <m/>
    <m/>
    <m/>
    <m/>
    <m/>
    <n v="0"/>
    <n v="0"/>
    <n v="0"/>
    <n v="0"/>
    <n v="3146.2"/>
    <n v="3062.3"/>
  </r>
  <r>
    <x v="12"/>
    <s v="Northeast State Technical Community College"/>
    <m/>
    <n v="221908"/>
    <x v="7"/>
    <s v="sem"/>
    <m/>
    <m/>
    <m/>
    <n v="60770"/>
    <n v="58655"/>
    <n v="11624"/>
    <n v="10389"/>
    <n v="64335"/>
    <n v="58678"/>
    <n v="136729"/>
    <n v="4557.6333333333332"/>
    <n v="127722"/>
    <n v="4257.3999999999996"/>
    <n v="5712"/>
    <n v="6361"/>
    <n v="136729"/>
    <n v="127722"/>
    <m/>
    <m/>
    <m/>
    <m/>
    <m/>
    <m/>
    <m/>
    <m/>
    <n v="0"/>
    <n v="0"/>
    <n v="0"/>
    <n v="0"/>
    <m/>
    <m/>
    <n v="0"/>
    <n v="0"/>
    <m/>
    <m/>
    <m/>
    <m/>
    <m/>
    <m/>
    <m/>
    <m/>
    <n v="0"/>
    <n v="0"/>
    <n v="0"/>
    <n v="0"/>
    <n v="4557.6333333333332"/>
    <n v="4257.3999999999996"/>
  </r>
  <r>
    <x v="12"/>
    <s v="Roane State Community College "/>
    <m/>
    <n v="221397"/>
    <x v="7"/>
    <s v="sem"/>
    <m/>
    <m/>
    <m/>
    <n v="59056"/>
    <n v="56609"/>
    <n v="9156"/>
    <n v="8738"/>
    <n v="62292"/>
    <n v="59465"/>
    <n v="130504"/>
    <n v="4350.1333333333332"/>
    <n v="124812"/>
    <n v="4160.3999999999996"/>
    <n v="8830"/>
    <n v="9785"/>
    <n v="130504"/>
    <n v="124812"/>
    <m/>
    <m/>
    <m/>
    <m/>
    <m/>
    <m/>
    <m/>
    <m/>
    <n v="0"/>
    <n v="0"/>
    <n v="0"/>
    <n v="0"/>
    <m/>
    <m/>
    <n v="0"/>
    <n v="0"/>
    <m/>
    <m/>
    <m/>
    <m/>
    <m/>
    <m/>
    <m/>
    <m/>
    <n v="0"/>
    <n v="0"/>
    <n v="0"/>
    <n v="0"/>
    <n v="4350.1333333333332"/>
    <n v="4160.3999999999996"/>
  </r>
  <r>
    <x v="12"/>
    <s v="Walters State Community College "/>
    <m/>
    <n v="222062"/>
    <x v="7"/>
    <s v="sem"/>
    <m/>
    <m/>
    <m/>
    <n v="60228"/>
    <n v="57762"/>
    <n v="7839"/>
    <n v="7919"/>
    <n v="66380"/>
    <n v="61549"/>
    <n v="134447"/>
    <n v="4481.5666666666666"/>
    <n v="127230"/>
    <n v="4241"/>
    <n v="9115"/>
    <n v="10939"/>
    <n v="134447"/>
    <n v="127230"/>
    <m/>
    <m/>
    <m/>
    <m/>
    <m/>
    <m/>
    <m/>
    <m/>
    <n v="0"/>
    <n v="0"/>
    <n v="0"/>
    <n v="0"/>
    <m/>
    <m/>
    <n v="0"/>
    <n v="0"/>
    <m/>
    <m/>
    <m/>
    <m/>
    <m/>
    <m/>
    <m/>
    <m/>
    <n v="0"/>
    <n v="0"/>
    <n v="0"/>
    <n v="0"/>
    <n v="4481.5666666666666"/>
    <n v="4241"/>
  </r>
  <r>
    <x v="12"/>
    <s v="Tennessee College of Applied Technology at Chattanooga"/>
    <m/>
    <s v="219824B"/>
    <x v="9"/>
    <s v="sem"/>
    <m/>
    <m/>
    <m/>
    <m/>
    <m/>
    <m/>
    <m/>
    <m/>
    <m/>
    <n v="0"/>
    <n v="0"/>
    <n v="0"/>
    <n v="0"/>
    <m/>
    <m/>
    <n v="0"/>
    <n v="0"/>
    <m/>
    <m/>
    <n v="364757"/>
    <n v="367836"/>
    <n v="219520"/>
    <n v="244108"/>
    <n v="353100"/>
    <n v="365935"/>
    <n v="937377"/>
    <n v="1041.53"/>
    <n v="977879"/>
    <n v="1086.5322222222221"/>
    <m/>
    <m/>
    <n v="0"/>
    <n v="0"/>
    <m/>
    <m/>
    <m/>
    <m/>
    <m/>
    <m/>
    <m/>
    <m/>
    <n v="0"/>
    <n v="0"/>
    <n v="0"/>
    <n v="0"/>
    <n v="1041.53"/>
    <n v="1086.5322222222221"/>
  </r>
  <r>
    <x v="12"/>
    <s v="Tennessee College of Applied Technology at Athens"/>
    <m/>
    <n v="219596"/>
    <x v="10"/>
    <s v="sem"/>
    <m/>
    <m/>
    <m/>
    <m/>
    <m/>
    <m/>
    <m/>
    <m/>
    <m/>
    <n v="0"/>
    <n v="0"/>
    <n v="0"/>
    <n v="0"/>
    <m/>
    <m/>
    <n v="0"/>
    <n v="0"/>
    <m/>
    <m/>
    <n v="72045"/>
    <n v="70012"/>
    <n v="73033"/>
    <n v="66624"/>
    <n v="66625"/>
    <n v="80929"/>
    <n v="211703"/>
    <n v="235.22555555555556"/>
    <n v="217565"/>
    <n v="241.73888888888888"/>
    <m/>
    <m/>
    <n v="0"/>
    <n v="0"/>
    <m/>
    <m/>
    <m/>
    <m/>
    <m/>
    <m/>
    <m/>
    <m/>
    <n v="0"/>
    <n v="0"/>
    <n v="0"/>
    <n v="0"/>
    <n v="235.22555555555556"/>
    <n v="241.73888888888888"/>
  </r>
  <r>
    <x v="12"/>
    <s v="Tennessee College of Applied Technology at Covington"/>
    <m/>
    <n v="219921"/>
    <x v="10"/>
    <s v="sem"/>
    <m/>
    <m/>
    <m/>
    <m/>
    <m/>
    <m/>
    <m/>
    <m/>
    <m/>
    <n v="0"/>
    <n v="0"/>
    <n v="0"/>
    <n v="0"/>
    <m/>
    <m/>
    <n v="0"/>
    <n v="0"/>
    <m/>
    <m/>
    <n v="59532"/>
    <n v="58842"/>
    <n v="45039"/>
    <n v="50022"/>
    <n v="60013"/>
    <n v="55909"/>
    <n v="164584"/>
    <n v="182.87111111111111"/>
    <n v="164773"/>
    <n v="183.08111111111111"/>
    <m/>
    <m/>
    <n v="0"/>
    <n v="0"/>
    <m/>
    <m/>
    <m/>
    <m/>
    <m/>
    <m/>
    <m/>
    <m/>
    <n v="0"/>
    <n v="0"/>
    <n v="0"/>
    <n v="0"/>
    <n v="182.87111111111111"/>
    <n v="183.08111111111111"/>
  </r>
  <r>
    <x v="12"/>
    <s v="Tennessee College of Applied Technology at Crossville"/>
    <m/>
    <n v="221591"/>
    <x v="10"/>
    <s v="sem"/>
    <m/>
    <m/>
    <m/>
    <m/>
    <m/>
    <m/>
    <m/>
    <m/>
    <m/>
    <n v="0"/>
    <n v="0"/>
    <n v="0"/>
    <n v="0"/>
    <m/>
    <m/>
    <n v="0"/>
    <n v="0"/>
    <m/>
    <m/>
    <n v="102602"/>
    <n v="90989"/>
    <n v="89133"/>
    <n v="88709"/>
    <n v="104786"/>
    <n v="112166"/>
    <n v="296521"/>
    <n v="329.46777777777777"/>
    <n v="291864"/>
    <n v="324.29333333333335"/>
    <m/>
    <m/>
    <n v="0"/>
    <n v="0"/>
    <m/>
    <m/>
    <m/>
    <m/>
    <m/>
    <m/>
    <m/>
    <m/>
    <n v="0"/>
    <n v="0"/>
    <n v="0"/>
    <n v="0"/>
    <n v="329.46777777777777"/>
    <n v="324.29333333333335"/>
  </r>
  <r>
    <x v="12"/>
    <s v="Tennessee College of Applied Technology at Crump"/>
    <m/>
    <n v="221430"/>
    <x v="10"/>
    <s v="sem"/>
    <m/>
    <m/>
    <m/>
    <m/>
    <m/>
    <m/>
    <m/>
    <m/>
    <m/>
    <n v="0"/>
    <n v="0"/>
    <n v="0"/>
    <n v="0"/>
    <m/>
    <m/>
    <n v="0"/>
    <n v="0"/>
    <m/>
    <m/>
    <n v="72478"/>
    <n v="74657"/>
    <n v="66877"/>
    <n v="62371"/>
    <n v="74884"/>
    <n v="81801"/>
    <n v="214239"/>
    <n v="238.04333333333332"/>
    <n v="218829"/>
    <n v="243.14333333333335"/>
    <m/>
    <m/>
    <n v="0"/>
    <n v="0"/>
    <m/>
    <m/>
    <m/>
    <m/>
    <m/>
    <m/>
    <m/>
    <m/>
    <n v="0"/>
    <n v="0"/>
    <n v="0"/>
    <n v="0"/>
    <n v="238.04333333333332"/>
    <n v="243.14333333333335"/>
  </r>
  <r>
    <x v="12"/>
    <s v="Tennessee College of Applied Technology at Dickson"/>
    <m/>
    <n v="219994"/>
    <x v="10"/>
    <s v="sem"/>
    <m/>
    <m/>
    <m/>
    <m/>
    <m/>
    <m/>
    <m/>
    <m/>
    <m/>
    <n v="0"/>
    <n v="0"/>
    <n v="0"/>
    <n v="0"/>
    <m/>
    <m/>
    <n v="0"/>
    <n v="0"/>
    <m/>
    <m/>
    <n v="159343"/>
    <n v="162782"/>
    <n v="150435"/>
    <n v="161084"/>
    <n v="166077"/>
    <n v="178454"/>
    <n v="475855"/>
    <n v="528.72777777777776"/>
    <n v="502320"/>
    <n v="558.13333333333333"/>
    <m/>
    <m/>
    <n v="0"/>
    <n v="0"/>
    <m/>
    <m/>
    <m/>
    <m/>
    <m/>
    <m/>
    <m/>
    <m/>
    <n v="0"/>
    <n v="0"/>
    <n v="0"/>
    <n v="0"/>
    <n v="528.72777777777776"/>
    <n v="558.13333333333333"/>
  </r>
  <r>
    <x v="12"/>
    <s v="Tennessee College of Applied Technology at Elizabethton"/>
    <m/>
    <n v="220127"/>
    <x v="10"/>
    <s v="sem"/>
    <m/>
    <m/>
    <m/>
    <m/>
    <m/>
    <m/>
    <m/>
    <m/>
    <m/>
    <n v="0"/>
    <n v="0"/>
    <n v="0"/>
    <n v="0"/>
    <m/>
    <m/>
    <n v="0"/>
    <n v="0"/>
    <m/>
    <m/>
    <n v="164284"/>
    <n v="166660"/>
    <n v="162034"/>
    <n v="164157"/>
    <n v="175859"/>
    <n v="175414"/>
    <n v="502177"/>
    <n v="557.97444444444443"/>
    <n v="506231"/>
    <n v="562.47888888888883"/>
    <m/>
    <m/>
    <n v="0"/>
    <n v="0"/>
    <m/>
    <m/>
    <m/>
    <m/>
    <m/>
    <m/>
    <m/>
    <m/>
    <n v="0"/>
    <n v="0"/>
    <n v="0"/>
    <n v="0"/>
    <n v="557.97444444444443"/>
    <n v="562.47888888888883"/>
  </r>
  <r>
    <x v="12"/>
    <s v="Tennessee College of Applied Technology at Harriman"/>
    <m/>
    <n v="220251"/>
    <x v="10"/>
    <s v="sem"/>
    <m/>
    <m/>
    <m/>
    <m/>
    <m/>
    <m/>
    <m/>
    <m/>
    <m/>
    <n v="0"/>
    <n v="0"/>
    <n v="0"/>
    <n v="0"/>
    <m/>
    <m/>
    <n v="0"/>
    <n v="0"/>
    <m/>
    <m/>
    <n v="75914"/>
    <n v="83032"/>
    <n v="73031"/>
    <n v="90900"/>
    <n v="86975"/>
    <n v="79465"/>
    <n v="235920"/>
    <n v="262.13333333333333"/>
    <n v="253397"/>
    <n v="281.55222222222221"/>
    <m/>
    <m/>
    <n v="0"/>
    <n v="0"/>
    <m/>
    <m/>
    <m/>
    <m/>
    <m/>
    <m/>
    <m/>
    <m/>
    <n v="0"/>
    <n v="0"/>
    <n v="0"/>
    <n v="0"/>
    <n v="262.13333333333333"/>
    <n v="281.55222222222221"/>
  </r>
  <r>
    <x v="12"/>
    <s v="Tennessee College of Applied Technology at Hartsville"/>
    <m/>
    <n v="220279"/>
    <x v="10"/>
    <s v="sem"/>
    <m/>
    <m/>
    <m/>
    <m/>
    <m/>
    <m/>
    <m/>
    <m/>
    <m/>
    <n v="0"/>
    <n v="0"/>
    <n v="0"/>
    <n v="0"/>
    <m/>
    <m/>
    <n v="0"/>
    <n v="0"/>
    <m/>
    <m/>
    <n v="129652"/>
    <n v="127626"/>
    <n v="96744"/>
    <n v="89524"/>
    <n v="136225"/>
    <n v="130471"/>
    <n v="362621"/>
    <n v="402.91222222222223"/>
    <n v="347621"/>
    <n v="386.24555555555554"/>
    <m/>
    <m/>
    <n v="0"/>
    <n v="0"/>
    <m/>
    <m/>
    <m/>
    <m/>
    <m/>
    <m/>
    <m/>
    <m/>
    <n v="0"/>
    <n v="0"/>
    <n v="0"/>
    <n v="0"/>
    <n v="402.91222222222223"/>
    <n v="386.24555555555554"/>
  </r>
  <r>
    <x v="12"/>
    <s v="Tennessee College of Applied Technology at Hohenwald"/>
    <m/>
    <n v="220321"/>
    <x v="10"/>
    <s v="sem"/>
    <m/>
    <m/>
    <m/>
    <m/>
    <m/>
    <m/>
    <m/>
    <m/>
    <m/>
    <n v="0"/>
    <n v="0"/>
    <n v="0"/>
    <n v="0"/>
    <m/>
    <m/>
    <n v="0"/>
    <n v="0"/>
    <m/>
    <m/>
    <n v="129225"/>
    <n v="118711"/>
    <n v="107374"/>
    <n v="96602"/>
    <n v="120338"/>
    <n v="117273"/>
    <n v="356937"/>
    <n v="396.59666666666669"/>
    <n v="332586"/>
    <n v="369.54"/>
    <m/>
    <m/>
    <n v="0"/>
    <n v="0"/>
    <m/>
    <m/>
    <m/>
    <m/>
    <m/>
    <m/>
    <m/>
    <m/>
    <n v="0"/>
    <n v="0"/>
    <n v="0"/>
    <n v="0"/>
    <n v="396.59666666666669"/>
    <n v="369.54"/>
  </r>
  <r>
    <x v="12"/>
    <s v="Tennessee College of Applied Technology at Jacksboro"/>
    <m/>
    <n v="220394"/>
    <x v="10"/>
    <s v="sem"/>
    <m/>
    <m/>
    <m/>
    <m/>
    <m/>
    <m/>
    <m/>
    <m/>
    <m/>
    <n v="0"/>
    <n v="0"/>
    <n v="0"/>
    <n v="0"/>
    <m/>
    <m/>
    <n v="0"/>
    <n v="0"/>
    <m/>
    <m/>
    <n v="62072"/>
    <n v="61475"/>
    <n v="56566"/>
    <n v="58522"/>
    <n v="66056"/>
    <n v="66877"/>
    <n v="184694"/>
    <n v="205.21555555555557"/>
    <n v="186874"/>
    <n v="207.63777777777779"/>
    <m/>
    <m/>
    <n v="0"/>
    <n v="0"/>
    <m/>
    <m/>
    <m/>
    <m/>
    <m/>
    <m/>
    <m/>
    <m/>
    <n v="0"/>
    <n v="0"/>
    <n v="0"/>
    <n v="0"/>
    <n v="205.21555555555557"/>
    <n v="207.63777777777779"/>
  </r>
  <r>
    <x v="12"/>
    <s v="Tennessee College of Applied Technology at Jackson"/>
    <m/>
    <n v="221616"/>
    <x v="10"/>
    <s v="sem"/>
    <m/>
    <m/>
    <m/>
    <m/>
    <m/>
    <m/>
    <m/>
    <m/>
    <m/>
    <n v="0"/>
    <n v="0"/>
    <n v="0"/>
    <n v="0"/>
    <m/>
    <m/>
    <n v="0"/>
    <n v="0"/>
    <m/>
    <m/>
    <n v="148611"/>
    <n v="160452"/>
    <n v="143264"/>
    <n v="144187"/>
    <n v="167214"/>
    <n v="170852"/>
    <n v="459089"/>
    <n v="510.09888888888889"/>
    <n v="475491"/>
    <n v="528.32333333333338"/>
    <m/>
    <m/>
    <n v="0"/>
    <n v="0"/>
    <m/>
    <m/>
    <m/>
    <m/>
    <m/>
    <m/>
    <m/>
    <m/>
    <n v="0"/>
    <n v="0"/>
    <n v="0"/>
    <n v="0"/>
    <n v="510.09888888888889"/>
    <n v="528.32333333333338"/>
  </r>
  <r>
    <x v="12"/>
    <s v="Tennessee College of Applied Technology at Knoxville"/>
    <m/>
    <n v="221625"/>
    <x v="10"/>
    <s v="sem"/>
    <m/>
    <m/>
    <m/>
    <m/>
    <m/>
    <m/>
    <m/>
    <m/>
    <m/>
    <n v="0"/>
    <n v="0"/>
    <n v="0"/>
    <n v="0"/>
    <m/>
    <m/>
    <n v="0"/>
    <n v="0"/>
    <m/>
    <m/>
    <n v="182313"/>
    <n v="196290"/>
    <n v="185487"/>
    <n v="197454"/>
    <n v="194748"/>
    <n v="206963"/>
    <n v="562548"/>
    <n v="625.05333333333328"/>
    <n v="600707"/>
    <n v="667.45222222222219"/>
    <m/>
    <m/>
    <n v="0"/>
    <n v="0"/>
    <m/>
    <m/>
    <m/>
    <m/>
    <m/>
    <m/>
    <m/>
    <m/>
    <n v="0"/>
    <n v="0"/>
    <n v="0"/>
    <n v="0"/>
    <n v="625.05333333333328"/>
    <n v="667.45222222222219"/>
  </r>
  <r>
    <x v="12"/>
    <s v="Tennessee College of Applied Technology at Livingston"/>
    <m/>
    <n v="220640"/>
    <x v="10"/>
    <s v="sem"/>
    <m/>
    <m/>
    <m/>
    <m/>
    <m/>
    <m/>
    <m/>
    <m/>
    <m/>
    <n v="0"/>
    <n v="0"/>
    <n v="0"/>
    <n v="0"/>
    <m/>
    <m/>
    <n v="0"/>
    <n v="0"/>
    <m/>
    <m/>
    <n v="119619"/>
    <n v="131340"/>
    <n v="93735"/>
    <n v="97090"/>
    <n v="141385"/>
    <n v="115054"/>
    <n v="354739"/>
    <n v="394.15444444444444"/>
    <n v="343484"/>
    <n v="381.64888888888891"/>
    <m/>
    <m/>
    <n v="0"/>
    <n v="0"/>
    <m/>
    <m/>
    <m/>
    <m/>
    <m/>
    <m/>
    <m/>
    <m/>
    <n v="0"/>
    <n v="0"/>
    <n v="0"/>
    <n v="0"/>
    <n v="394.15444444444444"/>
    <n v="381.64888888888891"/>
  </r>
  <r>
    <x v="12"/>
    <s v="Tennessee College of Applied Technology at McKenzie"/>
    <m/>
    <n v="220756"/>
    <x v="10"/>
    <s v="sem"/>
    <m/>
    <m/>
    <m/>
    <m/>
    <m/>
    <m/>
    <m/>
    <m/>
    <m/>
    <n v="0"/>
    <n v="0"/>
    <n v="0"/>
    <n v="0"/>
    <m/>
    <m/>
    <n v="0"/>
    <n v="0"/>
    <m/>
    <m/>
    <n v="84891"/>
    <n v="79450"/>
    <n v="71589"/>
    <n v="71688"/>
    <n v="85717"/>
    <n v="60905"/>
    <n v="242197"/>
    <n v="269.10777777777776"/>
    <n v="212043"/>
    <n v="235.60333333333332"/>
    <m/>
    <m/>
    <n v="0"/>
    <n v="0"/>
    <m/>
    <m/>
    <m/>
    <m/>
    <m/>
    <m/>
    <m/>
    <m/>
    <n v="0"/>
    <n v="0"/>
    <n v="0"/>
    <n v="0"/>
    <n v="269.10777777777776"/>
    <n v="235.60333333333332"/>
  </r>
  <r>
    <x v="12"/>
    <s v="Tennessee College of Applied Technology at McMinnville"/>
    <m/>
    <n v="221607"/>
    <x v="10"/>
    <s v="sem"/>
    <m/>
    <m/>
    <m/>
    <m/>
    <m/>
    <m/>
    <m/>
    <m/>
    <m/>
    <n v="0"/>
    <n v="0"/>
    <n v="0"/>
    <n v="0"/>
    <m/>
    <m/>
    <n v="0"/>
    <n v="0"/>
    <m/>
    <m/>
    <n v="69968"/>
    <n v="69163"/>
    <n v="65409"/>
    <n v="63367"/>
    <n v="73565"/>
    <n v="69418"/>
    <n v="208942"/>
    <n v="232.15777777777777"/>
    <n v="201948"/>
    <n v="224.38666666666666"/>
    <m/>
    <m/>
    <n v="0"/>
    <n v="0"/>
    <m/>
    <m/>
    <m/>
    <m/>
    <m/>
    <m/>
    <m/>
    <m/>
    <n v="0"/>
    <n v="0"/>
    <n v="0"/>
    <n v="0"/>
    <n v="232.15777777777777"/>
    <n v="224.38666666666666"/>
  </r>
  <r>
    <x v="12"/>
    <s v="Tennessee College of Applied Technology at Memphis"/>
    <m/>
    <n v="220853"/>
    <x v="10"/>
    <s v="sem"/>
    <m/>
    <m/>
    <m/>
    <m/>
    <m/>
    <m/>
    <m/>
    <m/>
    <m/>
    <n v="0"/>
    <n v="0"/>
    <n v="0"/>
    <n v="0"/>
    <m/>
    <m/>
    <n v="0"/>
    <n v="0"/>
    <m/>
    <m/>
    <n v="259997"/>
    <n v="260620"/>
    <n v="243393"/>
    <n v="258647"/>
    <n v="276408"/>
    <n v="277381"/>
    <n v="779798"/>
    <n v="866.4422222222222"/>
    <n v="796648"/>
    <n v="885.16444444444448"/>
    <m/>
    <m/>
    <n v="0"/>
    <n v="0"/>
    <m/>
    <m/>
    <m/>
    <m/>
    <m/>
    <m/>
    <m/>
    <m/>
    <n v="0"/>
    <n v="0"/>
    <n v="0"/>
    <n v="0"/>
    <n v="866.4422222222222"/>
    <n v="885.16444444444448"/>
  </r>
  <r>
    <x v="12"/>
    <s v="Tennessee College of Applied Technology at Morristown"/>
    <m/>
    <n v="221050"/>
    <x v="10"/>
    <s v="sem"/>
    <m/>
    <m/>
    <m/>
    <m/>
    <m/>
    <m/>
    <m/>
    <m/>
    <m/>
    <n v="0"/>
    <n v="0"/>
    <n v="0"/>
    <n v="0"/>
    <m/>
    <m/>
    <n v="0"/>
    <n v="0"/>
    <m/>
    <m/>
    <n v="179417"/>
    <n v="157845"/>
    <n v="164143"/>
    <n v="149695"/>
    <n v="171154"/>
    <n v="169555"/>
    <n v="514714"/>
    <n v="571.90444444444449"/>
    <n v="477095"/>
    <n v="530.10555555555561"/>
    <m/>
    <m/>
    <n v="0"/>
    <n v="0"/>
    <m/>
    <m/>
    <m/>
    <m/>
    <m/>
    <m/>
    <m/>
    <m/>
    <n v="0"/>
    <n v="0"/>
    <n v="0"/>
    <n v="0"/>
    <n v="571.90444444444449"/>
    <n v="530.10555555555561"/>
  </r>
  <r>
    <x v="12"/>
    <s v="Tennessee College of Applied Technology at Murfreesboro"/>
    <m/>
    <n v="221102"/>
    <x v="10"/>
    <s v="sem"/>
    <m/>
    <m/>
    <m/>
    <m/>
    <m/>
    <m/>
    <m/>
    <m/>
    <m/>
    <n v="0"/>
    <n v="0"/>
    <n v="0"/>
    <n v="0"/>
    <m/>
    <m/>
    <n v="0"/>
    <n v="0"/>
    <m/>
    <m/>
    <n v="141188"/>
    <n v="168286"/>
    <n v="148748"/>
    <n v="147180"/>
    <n v="139536"/>
    <n v="160973"/>
    <n v="429472"/>
    <n v="477.19111111111113"/>
    <n v="476439"/>
    <n v="529.37666666666667"/>
    <m/>
    <m/>
    <n v="0"/>
    <n v="0"/>
    <m/>
    <m/>
    <m/>
    <m/>
    <m/>
    <m/>
    <m/>
    <m/>
    <n v="0"/>
    <n v="0"/>
    <n v="0"/>
    <n v="0"/>
    <n v="477.19111111111113"/>
    <n v="529.37666666666667"/>
  </r>
  <r>
    <x v="12"/>
    <s v="Tennessee College of Applied Technology at Nashville"/>
    <m/>
    <n v="248925"/>
    <x v="10"/>
    <s v="sem"/>
    <m/>
    <m/>
    <m/>
    <m/>
    <m/>
    <m/>
    <m/>
    <m/>
    <m/>
    <n v="0"/>
    <n v="0"/>
    <n v="0"/>
    <n v="0"/>
    <m/>
    <m/>
    <n v="0"/>
    <n v="0"/>
    <m/>
    <m/>
    <n v="278262"/>
    <n v="253103"/>
    <n v="219552"/>
    <n v="221573"/>
    <n v="242102"/>
    <n v="301534"/>
    <n v="739916"/>
    <n v="822.12888888888892"/>
    <n v="776210"/>
    <n v="862.45555555555552"/>
    <m/>
    <m/>
    <n v="0"/>
    <n v="0"/>
    <m/>
    <m/>
    <m/>
    <m/>
    <m/>
    <m/>
    <m/>
    <m/>
    <n v="0"/>
    <n v="0"/>
    <n v="0"/>
    <n v="0"/>
    <n v="822.12888888888892"/>
    <n v="862.45555555555552"/>
  </r>
  <r>
    <x v="12"/>
    <s v="Tennessee College of Applied Technology at Newbern"/>
    <m/>
    <n v="221236"/>
    <x v="10"/>
    <s v="sem"/>
    <m/>
    <m/>
    <m/>
    <m/>
    <m/>
    <m/>
    <m/>
    <m/>
    <m/>
    <n v="0"/>
    <n v="0"/>
    <n v="0"/>
    <n v="0"/>
    <m/>
    <m/>
    <n v="0"/>
    <n v="0"/>
    <m/>
    <m/>
    <n v="128808"/>
    <n v="92663"/>
    <n v="110683"/>
    <n v="77150"/>
    <n v="117982"/>
    <n v="91063"/>
    <n v="357473"/>
    <n v="397.1922222222222"/>
    <n v="260876"/>
    <n v="289.86222222222221"/>
    <m/>
    <m/>
    <n v="0"/>
    <n v="0"/>
    <m/>
    <m/>
    <m/>
    <m/>
    <m/>
    <m/>
    <m/>
    <m/>
    <n v="0"/>
    <n v="0"/>
    <n v="0"/>
    <n v="0"/>
    <n v="397.1922222222222"/>
    <n v="289.86222222222221"/>
  </r>
  <r>
    <x v="12"/>
    <s v="Tennessee College of Applied Technology at Oneida"/>
    <m/>
    <n v="221582"/>
    <x v="10"/>
    <s v="sem"/>
    <m/>
    <m/>
    <m/>
    <m/>
    <m/>
    <m/>
    <m/>
    <m/>
    <m/>
    <n v="0"/>
    <n v="0"/>
    <n v="0"/>
    <n v="0"/>
    <m/>
    <m/>
    <n v="0"/>
    <n v="0"/>
    <m/>
    <m/>
    <n v="74206"/>
    <n v="69280"/>
    <n v="54433"/>
    <n v="54092"/>
    <n v="73250"/>
    <n v="71848"/>
    <n v="201889"/>
    <n v="224.32111111111112"/>
    <n v="195220"/>
    <n v="216.9111111111111"/>
    <m/>
    <m/>
    <n v="0"/>
    <n v="0"/>
    <m/>
    <m/>
    <m/>
    <m/>
    <m/>
    <m/>
    <m/>
    <m/>
    <n v="0"/>
    <n v="0"/>
    <n v="0"/>
    <n v="0"/>
    <n v="224.32111111111112"/>
    <n v="216.9111111111111"/>
  </r>
  <r>
    <x v="12"/>
    <s v="Tennessee College of Applied Technology at Paris"/>
    <m/>
    <n v="221281"/>
    <x v="10"/>
    <s v="sem"/>
    <m/>
    <m/>
    <m/>
    <m/>
    <m/>
    <m/>
    <m/>
    <m/>
    <m/>
    <n v="0"/>
    <n v="0"/>
    <n v="0"/>
    <n v="0"/>
    <m/>
    <m/>
    <n v="0"/>
    <n v="0"/>
    <m/>
    <m/>
    <n v="111690"/>
    <n v="105149"/>
    <n v="105413"/>
    <n v="96058"/>
    <n v="106651"/>
    <n v="92437"/>
    <n v="323754"/>
    <n v="359.72666666666669"/>
    <n v="293644"/>
    <n v="326.27111111111111"/>
    <m/>
    <m/>
    <n v="0"/>
    <n v="0"/>
    <m/>
    <m/>
    <m/>
    <m/>
    <m/>
    <m/>
    <m/>
    <m/>
    <n v="0"/>
    <n v="0"/>
    <n v="0"/>
    <n v="0"/>
    <n v="359.72666666666669"/>
    <n v="326.27111111111111"/>
  </r>
  <r>
    <x v="12"/>
    <s v="Tennessee College of Applied Technology at Pulaski"/>
    <m/>
    <n v="221333"/>
    <x v="10"/>
    <s v="sem"/>
    <m/>
    <m/>
    <m/>
    <m/>
    <m/>
    <m/>
    <m/>
    <m/>
    <m/>
    <n v="0"/>
    <n v="0"/>
    <n v="0"/>
    <n v="0"/>
    <m/>
    <m/>
    <n v="0"/>
    <n v="0"/>
    <m/>
    <m/>
    <n v="127721"/>
    <n v="122165"/>
    <n v="63907"/>
    <n v="67750"/>
    <n v="117700"/>
    <n v="145954"/>
    <n v="309328"/>
    <n v="343.69777777777779"/>
    <n v="335869"/>
    <n v="373.1877777777778"/>
    <m/>
    <m/>
    <n v="0"/>
    <n v="0"/>
    <m/>
    <m/>
    <m/>
    <m/>
    <m/>
    <m/>
    <m/>
    <m/>
    <n v="0"/>
    <n v="0"/>
    <n v="0"/>
    <n v="0"/>
    <n v="343.69777777777779"/>
    <n v="373.1877777777778"/>
  </r>
  <r>
    <x v="12"/>
    <s v="Tennessee College of Applied Technology at Ripley"/>
    <m/>
    <n v="221388"/>
    <x v="10"/>
    <s v="sem"/>
    <m/>
    <m/>
    <m/>
    <m/>
    <m/>
    <m/>
    <m/>
    <m/>
    <m/>
    <n v="0"/>
    <n v="0"/>
    <n v="0"/>
    <n v="0"/>
    <m/>
    <m/>
    <n v="0"/>
    <n v="0"/>
    <m/>
    <m/>
    <n v="56880"/>
    <n v="48113"/>
    <n v="49724"/>
    <n v="40085"/>
    <n v="51382"/>
    <n v="52577"/>
    <n v="157986"/>
    <n v="175.54"/>
    <n v="140775"/>
    <n v="156.41666666666666"/>
    <m/>
    <m/>
    <n v="0"/>
    <n v="0"/>
    <m/>
    <m/>
    <m/>
    <m/>
    <m/>
    <m/>
    <m/>
    <m/>
    <n v="0"/>
    <n v="0"/>
    <n v="0"/>
    <n v="0"/>
    <n v="175.54"/>
    <n v="156.41666666666666"/>
  </r>
  <r>
    <x v="12"/>
    <s v="Tennessee College of Applied Technology at Shelbyville"/>
    <m/>
    <n v="221494"/>
    <x v="10"/>
    <s v="sem"/>
    <m/>
    <m/>
    <m/>
    <m/>
    <m/>
    <m/>
    <m/>
    <m/>
    <m/>
    <n v="0"/>
    <n v="0"/>
    <n v="0"/>
    <n v="0"/>
    <m/>
    <m/>
    <n v="0"/>
    <n v="0"/>
    <m/>
    <m/>
    <n v="157881"/>
    <n v="147038"/>
    <n v="151235"/>
    <n v="139579"/>
    <n v="161268"/>
    <n v="156299"/>
    <n v="470384"/>
    <n v="522.64888888888891"/>
    <n v="442916"/>
    <n v="492.12888888888887"/>
    <m/>
    <m/>
    <n v="0"/>
    <n v="0"/>
    <m/>
    <m/>
    <m/>
    <m/>
    <m/>
    <m/>
    <m/>
    <m/>
    <n v="0"/>
    <n v="0"/>
    <n v="0"/>
    <n v="0"/>
    <n v="522.64888888888891"/>
    <n v="492.12888888888887"/>
  </r>
  <r>
    <x v="12"/>
    <s v="Tennessee College of Applied Technology at Whiteville"/>
    <m/>
    <n v="221634"/>
    <x v="10"/>
    <s v="sem"/>
    <m/>
    <m/>
    <m/>
    <m/>
    <m/>
    <m/>
    <m/>
    <m/>
    <m/>
    <n v="0"/>
    <n v="0"/>
    <n v="0"/>
    <n v="0"/>
    <m/>
    <m/>
    <n v="0"/>
    <n v="0"/>
    <m/>
    <m/>
    <n v="52309"/>
    <n v="49432"/>
    <n v="42222"/>
    <n v="51914"/>
    <n v="51522"/>
    <n v="61486"/>
    <n v="146053"/>
    <n v="162.2811111111111"/>
    <n v="162832"/>
    <n v="180.92444444444445"/>
    <m/>
    <m/>
    <n v="0"/>
    <n v="0"/>
    <m/>
    <m/>
    <m/>
    <m/>
    <m/>
    <m/>
    <m/>
    <m/>
    <n v="0"/>
    <n v="0"/>
    <n v="0"/>
    <n v="0"/>
    <n v="162.2811111111111"/>
    <n v="180.92444444444445"/>
  </r>
  <r>
    <x v="13"/>
    <s v="Texas A&amp;M University "/>
    <m/>
    <n v="228723"/>
    <x v="0"/>
    <s v="sem"/>
    <m/>
    <m/>
    <m/>
    <n v="487578"/>
    <n v="489907"/>
    <n v="67755"/>
    <n v="67424"/>
    <n v="527575"/>
    <n v="550743"/>
    <n v="1082908"/>
    <n v="36096.933333333334"/>
    <n v="1108074"/>
    <n v="36935.800000000003"/>
    <n v="0"/>
    <n v="0"/>
    <n v="1082908"/>
    <n v="1108074"/>
    <m/>
    <m/>
    <m/>
    <m/>
    <m/>
    <m/>
    <m/>
    <m/>
    <n v="0"/>
    <n v="0"/>
    <n v="0"/>
    <n v="0"/>
    <m/>
    <m/>
    <n v="0"/>
    <n v="0"/>
    <m/>
    <m/>
    <n v="71993"/>
    <n v="72911"/>
    <n v="26996"/>
    <n v="26551"/>
    <n v="80035"/>
    <n v="92833"/>
    <n v="179024"/>
    <n v="7459.333333333333"/>
    <n v="192295"/>
    <n v="8012.291666666667"/>
    <n v="43556.26666666667"/>
    <n v="44948.091666666667"/>
  </r>
  <r>
    <x v="13"/>
    <s v="Texas Tech University "/>
    <m/>
    <n v="229115"/>
    <x v="0"/>
    <s v="sem"/>
    <m/>
    <m/>
    <m/>
    <n v="312080"/>
    <n v="313998"/>
    <n v="60841"/>
    <n v="55254"/>
    <n v="342993"/>
    <n v="347083"/>
    <n v="715914"/>
    <n v="23863.8"/>
    <n v="716335"/>
    <n v="23877.833333333332"/>
    <n v="0"/>
    <n v="0"/>
    <n v="715914"/>
    <n v="716335"/>
    <m/>
    <m/>
    <m/>
    <m/>
    <m/>
    <m/>
    <m/>
    <m/>
    <n v="0"/>
    <n v="0"/>
    <n v="0"/>
    <n v="0"/>
    <m/>
    <m/>
    <n v="0"/>
    <n v="0"/>
    <m/>
    <m/>
    <n v="47982"/>
    <n v="47569"/>
    <n v="21815"/>
    <n v="21940"/>
    <n v="49549"/>
    <n v="49441"/>
    <n v="119346"/>
    <n v="4972.75"/>
    <n v="118950"/>
    <n v="4956.25"/>
    <n v="28836.55"/>
    <n v="28834.083333333332"/>
  </r>
  <r>
    <x v="13"/>
    <s v="University of Houston"/>
    <m/>
    <n v="225511"/>
    <x v="0"/>
    <s v="sem"/>
    <m/>
    <m/>
    <m/>
    <n v="351355"/>
    <n v="356013"/>
    <n v="59472"/>
    <n v="56996"/>
    <n v="381811"/>
    <n v="370353"/>
    <n v="792638"/>
    <n v="26421.266666666666"/>
    <n v="783362"/>
    <n v="26112.066666666666"/>
    <n v="9"/>
    <n v="35"/>
    <n v="792638"/>
    <n v="783362"/>
    <m/>
    <m/>
    <m/>
    <m/>
    <m/>
    <m/>
    <m/>
    <m/>
    <n v="0"/>
    <n v="0"/>
    <n v="0"/>
    <n v="0"/>
    <m/>
    <m/>
    <n v="0"/>
    <n v="0"/>
    <m/>
    <m/>
    <n v="75964"/>
    <n v="75462"/>
    <n v="23480"/>
    <n v="19556"/>
    <n v="77398"/>
    <n v="76643"/>
    <n v="176842"/>
    <n v="7368.416666666667"/>
    <n v="171661"/>
    <n v="7152.541666666667"/>
    <n v="33789.683333333334"/>
    <n v="33264.60833333333"/>
  </r>
  <r>
    <x v="13"/>
    <s v="University of North Texas"/>
    <m/>
    <n v="227216"/>
    <x v="0"/>
    <s v="sem"/>
    <m/>
    <m/>
    <m/>
    <n v="320167"/>
    <n v="326644"/>
    <n v="71578"/>
    <n v="64168"/>
    <n v="359234"/>
    <n v="364893"/>
    <n v="750979"/>
    <n v="25032.633333333335"/>
    <n v="755705"/>
    <n v="25190.166666666668"/>
    <n v="0"/>
    <n v="0"/>
    <n v="750979"/>
    <n v="755705"/>
    <m/>
    <m/>
    <m/>
    <m/>
    <m/>
    <m/>
    <m/>
    <m/>
    <n v="0"/>
    <n v="0"/>
    <n v="0"/>
    <n v="0"/>
    <m/>
    <m/>
    <n v="0"/>
    <n v="0"/>
    <m/>
    <m/>
    <n v="43300"/>
    <n v="40213"/>
    <n v="17512"/>
    <n v="15731"/>
    <n v="42588"/>
    <n v="41497"/>
    <n v="103400"/>
    <n v="4308.333333333333"/>
    <n v="97441"/>
    <n v="4060.0416666666665"/>
    <n v="29340.966666666667"/>
    <n v="29250.208333333336"/>
  </r>
  <r>
    <x v="13"/>
    <s v="University of Texas at Arlington"/>
    <m/>
    <n v="228769"/>
    <x v="0"/>
    <s v="sem"/>
    <m/>
    <m/>
    <m/>
    <n v="275569"/>
    <n v="278334"/>
    <n v="86203"/>
    <n v="84389"/>
    <n v="269106"/>
    <n v="265830"/>
    <n v="630878"/>
    <n v="21029.266666666666"/>
    <n v="628553"/>
    <n v="20951.766666666666"/>
    <n v="1789"/>
    <n v="1882"/>
    <n v="630878"/>
    <n v="628553"/>
    <m/>
    <m/>
    <m/>
    <m/>
    <m/>
    <m/>
    <m/>
    <m/>
    <n v="0"/>
    <n v="0"/>
    <n v="0"/>
    <n v="0"/>
    <m/>
    <m/>
    <n v="0"/>
    <n v="0"/>
    <m/>
    <m/>
    <n v="55709"/>
    <n v="51457"/>
    <n v="30908"/>
    <n v="26790"/>
    <n v="49000"/>
    <n v="49198"/>
    <n v="135617"/>
    <n v="5650.708333333333"/>
    <n v="127445"/>
    <n v="5310.208333333333"/>
    <n v="26679.974999999999"/>
    <n v="26261.974999999999"/>
  </r>
  <r>
    <x v="13"/>
    <s v="University of Texas at Austin"/>
    <m/>
    <n v="228778"/>
    <x v="0"/>
    <s v="sem"/>
    <m/>
    <m/>
    <m/>
    <n v="479745"/>
    <n v="497917"/>
    <n v="62147"/>
    <n v="63763"/>
    <n v="531841"/>
    <n v="531022"/>
    <n v="1073733"/>
    <n v="35791.1"/>
    <n v="1092702"/>
    <n v="36423.4"/>
    <n v="0"/>
    <n v="0"/>
    <n v="1073733"/>
    <n v="1092702"/>
    <m/>
    <m/>
    <m/>
    <m/>
    <m/>
    <m/>
    <m/>
    <m/>
    <n v="0"/>
    <n v="0"/>
    <n v="0"/>
    <n v="0"/>
    <m/>
    <m/>
    <n v="0"/>
    <n v="0"/>
    <m/>
    <m/>
    <n v="118576"/>
    <n v="114297"/>
    <n v="23200"/>
    <n v="22178"/>
    <n v="120566"/>
    <n v="119895"/>
    <n v="262342"/>
    <n v="10930.916666666666"/>
    <n v="256370"/>
    <n v="10682.083333333334"/>
    <n v="46722.016666666663"/>
    <n v="47105.483333333337"/>
  </r>
  <r>
    <x v="13"/>
    <s v="University of Texas at Dallas"/>
    <m/>
    <n v="228787"/>
    <x v="0"/>
    <s v="sem"/>
    <m/>
    <m/>
    <m/>
    <n v="139810"/>
    <n v="144224"/>
    <n v="22247"/>
    <n v="21274"/>
    <n v="153081"/>
    <n v="167877"/>
    <n v="315138"/>
    <n v="10504.6"/>
    <n v="333375"/>
    <n v="11112.5"/>
    <n v="0"/>
    <n v="0"/>
    <n v="315138"/>
    <n v="333375"/>
    <m/>
    <m/>
    <m/>
    <m/>
    <m/>
    <m/>
    <m/>
    <m/>
    <n v="0"/>
    <n v="0"/>
    <n v="0"/>
    <n v="0"/>
    <m/>
    <m/>
    <n v="0"/>
    <n v="0"/>
    <m/>
    <m/>
    <n v="52527"/>
    <n v="57307"/>
    <n v="19285"/>
    <n v="19843"/>
    <n v="58762"/>
    <n v="62991"/>
    <n v="130574"/>
    <n v="5440.583333333333"/>
    <n v="140141"/>
    <n v="5839.208333333333"/>
    <n v="15945.183333333334"/>
    <n v="16951.708333333332"/>
  </r>
  <r>
    <x v="13"/>
    <s v="Texas Woman's University"/>
    <m/>
    <n v="229179"/>
    <x v="1"/>
    <s v="sem"/>
    <m/>
    <m/>
    <m/>
    <n v="97792"/>
    <n v="101664"/>
    <n v="22120"/>
    <n v="22820"/>
    <n v="109096"/>
    <n v="110630"/>
    <n v="229008"/>
    <n v="7633.6"/>
    <n v="235114"/>
    <n v="7837.1333333333332"/>
    <n v="1872"/>
    <n v="2191"/>
    <n v="229008"/>
    <n v="235114"/>
    <m/>
    <m/>
    <m/>
    <m/>
    <m/>
    <m/>
    <m/>
    <m/>
    <n v="0"/>
    <n v="0"/>
    <n v="0"/>
    <n v="0"/>
    <m/>
    <m/>
    <n v="0"/>
    <n v="0"/>
    <m/>
    <m/>
    <n v="34002"/>
    <n v="37527"/>
    <n v="28288"/>
    <n v="30295"/>
    <n v="35470"/>
    <n v="35319"/>
    <n v="97760"/>
    <n v="4073.3333333333335"/>
    <n v="103141"/>
    <n v="4297.541666666667"/>
    <n v="11706.933333333334"/>
    <n v="12134.674999999999"/>
  </r>
  <r>
    <x v="13"/>
    <s v="University of Texas at El Paso"/>
    <s v="Met the criteria for Four-Year 1 in 2013-14."/>
    <n v="228796"/>
    <x v="1"/>
    <s v="sem"/>
    <m/>
    <m/>
    <m/>
    <n v="197653"/>
    <n v="197352"/>
    <n v="50496"/>
    <n v="49568"/>
    <n v="210047"/>
    <n v="216227"/>
    <n v="458196"/>
    <n v="15273.2"/>
    <n v="463147"/>
    <n v="15438.233333333334"/>
    <n v="0"/>
    <n v="0"/>
    <n v="458196"/>
    <n v="463147"/>
    <m/>
    <m/>
    <m/>
    <m/>
    <m/>
    <m/>
    <m/>
    <m/>
    <n v="0"/>
    <n v="0"/>
    <n v="0"/>
    <n v="0"/>
    <m/>
    <m/>
    <n v="0"/>
    <n v="0"/>
    <m/>
    <m/>
    <n v="24745"/>
    <n v="23931"/>
    <n v="11164"/>
    <n v="10957"/>
    <n v="23460"/>
    <n v="21382"/>
    <n v="59369"/>
    <n v="2473.7083333333335"/>
    <n v="56270"/>
    <n v="2344.5833333333335"/>
    <n v="17746.908333333333"/>
    <n v="17782.816666666666"/>
  </r>
  <r>
    <x v="13"/>
    <s v="University of Texas at San Antonio"/>
    <m/>
    <n v="229027"/>
    <x v="1"/>
    <s v="sem"/>
    <m/>
    <m/>
    <m/>
    <n v="285614"/>
    <n v="276627"/>
    <n v="52071"/>
    <n v="53163"/>
    <n v="305203"/>
    <n v="288639"/>
    <n v="642888"/>
    <n v="21429.599999999999"/>
    <n v="618429"/>
    <n v="20614.3"/>
    <n v="333"/>
    <n v="367"/>
    <n v="642888"/>
    <n v="618429"/>
    <m/>
    <m/>
    <m/>
    <m/>
    <m/>
    <m/>
    <m/>
    <m/>
    <n v="0"/>
    <n v="0"/>
    <n v="0"/>
    <n v="0"/>
    <m/>
    <m/>
    <n v="0"/>
    <n v="0"/>
    <m/>
    <m/>
    <n v="29754"/>
    <n v="28506"/>
    <n v="11612"/>
    <n v="10556"/>
    <n v="29605"/>
    <n v="28494"/>
    <n v="70971"/>
    <n v="2957.125"/>
    <n v="67556"/>
    <n v="2814.8333333333335"/>
    <n v="24386.724999999999"/>
    <n v="23429.133333333331"/>
  </r>
  <r>
    <x v="13"/>
    <s v="Angelo State University"/>
    <m/>
    <n v="222831"/>
    <x v="2"/>
    <s v="sem"/>
    <m/>
    <m/>
    <m/>
    <n v="63537"/>
    <n v="66576"/>
    <n v="12199"/>
    <n v="12190"/>
    <n v="74515"/>
    <n v="69590"/>
    <n v="150251"/>
    <n v="5008.3666666666668"/>
    <n v="148356"/>
    <n v="4945.2"/>
    <n v="436"/>
    <n v="528"/>
    <n v="150251"/>
    <n v="148356"/>
    <m/>
    <m/>
    <m/>
    <m/>
    <m/>
    <m/>
    <m/>
    <m/>
    <n v="0"/>
    <n v="0"/>
    <n v="0"/>
    <n v="0"/>
    <m/>
    <m/>
    <n v="0"/>
    <n v="0"/>
    <m/>
    <m/>
    <n v="5915"/>
    <n v="8043"/>
    <n v="4217"/>
    <n v="5071"/>
    <n v="4942"/>
    <n v="5287"/>
    <n v="15074"/>
    <n v="628.08333333333337"/>
    <n v="18401"/>
    <n v="766.70833333333337"/>
    <n v="5636.45"/>
    <n v="5711.9083333333328"/>
  </r>
  <r>
    <x v="13"/>
    <s v="Lamar University"/>
    <m/>
    <n v="226091"/>
    <x v="2"/>
    <s v="sem"/>
    <m/>
    <m/>
    <m/>
    <n v="100939"/>
    <n v="100752"/>
    <n v="25948"/>
    <n v="27575"/>
    <n v="108011"/>
    <n v="102639"/>
    <n v="234898"/>
    <n v="7829.9333333333334"/>
    <n v="230966"/>
    <n v="7698.8666666666668"/>
    <n v="4551"/>
    <n v="3851"/>
    <n v="234898"/>
    <n v="230966"/>
    <m/>
    <m/>
    <m/>
    <m/>
    <m/>
    <m/>
    <m/>
    <m/>
    <n v="0"/>
    <n v="0"/>
    <n v="0"/>
    <n v="0"/>
    <m/>
    <m/>
    <n v="0"/>
    <n v="0"/>
    <m/>
    <m/>
    <n v="33798"/>
    <n v="37653"/>
    <n v="30578"/>
    <n v="32977"/>
    <n v="27457"/>
    <n v="26889"/>
    <n v="91833"/>
    <n v="3826.375"/>
    <n v="97519"/>
    <n v="4063.2916666666665"/>
    <n v="11656.308333333334"/>
    <n v="11762.158333333333"/>
  </r>
  <r>
    <x v="13"/>
    <s v="Midwestern State University"/>
    <m/>
    <n v="226833"/>
    <x v="2"/>
    <s v="sem"/>
    <m/>
    <m/>
    <m/>
    <n v="57294"/>
    <n v="53807"/>
    <n v="13394"/>
    <n v="11855"/>
    <n v="59232"/>
    <n v="59631"/>
    <n v="129920"/>
    <n v="4330.666666666667"/>
    <n v="125293"/>
    <n v="4176.4333333333334"/>
    <n v="229"/>
    <n v="150"/>
    <n v="129920"/>
    <n v="125293"/>
    <m/>
    <m/>
    <m/>
    <m/>
    <m/>
    <m/>
    <m/>
    <m/>
    <n v="0"/>
    <n v="0"/>
    <n v="0"/>
    <n v="0"/>
    <m/>
    <m/>
    <n v="0"/>
    <n v="0"/>
    <m/>
    <m/>
    <n v="2958"/>
    <n v="2956"/>
    <n v="1912"/>
    <n v="1897"/>
    <n v="3156"/>
    <n v="3125"/>
    <n v="8026"/>
    <n v="334.41666666666669"/>
    <n v="7978"/>
    <n v="332.41666666666669"/>
    <n v="4665.0833333333339"/>
    <n v="4508.8500000000004"/>
  </r>
  <r>
    <x v="13"/>
    <s v="Prairie View A&amp;M University"/>
    <m/>
    <n v="227526"/>
    <x v="2"/>
    <s v="sem"/>
    <m/>
    <m/>
    <m/>
    <n v="80259"/>
    <n v="82733"/>
    <n v="14211"/>
    <n v="13550"/>
    <n v="89083"/>
    <n v="89027"/>
    <n v="183553"/>
    <n v="6118.4333333333334"/>
    <n v="185310"/>
    <n v="6177"/>
    <n v="0"/>
    <n v="0"/>
    <n v="183553"/>
    <n v="185310"/>
    <m/>
    <m/>
    <m/>
    <m/>
    <m/>
    <m/>
    <m/>
    <m/>
    <n v="0"/>
    <n v="0"/>
    <n v="0"/>
    <n v="0"/>
    <m/>
    <m/>
    <n v="0"/>
    <n v="0"/>
    <m/>
    <m/>
    <n v="10809"/>
    <n v="10746"/>
    <n v="5250"/>
    <n v="4868"/>
    <n v="10718"/>
    <n v="10296"/>
    <n v="26777"/>
    <n v="1115.7083333333333"/>
    <n v="25910"/>
    <n v="1079.5833333333333"/>
    <n v="7234.1416666666664"/>
    <n v="7256.583333333333"/>
  </r>
  <r>
    <x v="13"/>
    <s v="Sam Houston State University "/>
    <m/>
    <n v="227881"/>
    <x v="2"/>
    <s v="sem"/>
    <m/>
    <m/>
    <m/>
    <n v="176959"/>
    <n v="182813"/>
    <n v="34348"/>
    <n v="35265"/>
    <n v="197545"/>
    <n v="203570"/>
    <n v="408852"/>
    <n v="13628.4"/>
    <n v="421648"/>
    <n v="14054.933333333332"/>
    <n v="0"/>
    <n v="7"/>
    <n v="408852"/>
    <n v="421648"/>
    <m/>
    <m/>
    <m/>
    <m/>
    <m/>
    <m/>
    <m/>
    <m/>
    <n v="0"/>
    <n v="0"/>
    <n v="0"/>
    <n v="0"/>
    <m/>
    <m/>
    <n v="0"/>
    <n v="0"/>
    <m/>
    <m/>
    <n v="15307"/>
    <n v="16339"/>
    <n v="13335"/>
    <n v="13267"/>
    <n v="16186"/>
    <n v="17477"/>
    <n v="44828"/>
    <n v="1867.8333333333333"/>
    <n v="47083"/>
    <n v="1961.7916666666667"/>
    <n v="15496.233333333334"/>
    <n v="16016.724999999999"/>
  </r>
  <r>
    <x v="13"/>
    <s v="Stephen F. Austin State University"/>
    <m/>
    <n v="228431"/>
    <x v="2"/>
    <s v="sem"/>
    <m/>
    <m/>
    <m/>
    <n v="131478"/>
    <n v="129115"/>
    <n v="29548"/>
    <n v="26647"/>
    <n v="141922"/>
    <n v="136024"/>
    <n v="302948"/>
    <n v="10098.266666666666"/>
    <n v="291786"/>
    <n v="9726.2000000000007"/>
    <n v="1892"/>
    <n v="2425"/>
    <n v="302948"/>
    <n v="291786"/>
    <m/>
    <m/>
    <m/>
    <m/>
    <m/>
    <m/>
    <m/>
    <m/>
    <n v="0"/>
    <n v="0"/>
    <n v="0"/>
    <n v="0"/>
    <m/>
    <m/>
    <n v="0"/>
    <n v="0"/>
    <m/>
    <m/>
    <n v="9666"/>
    <n v="10280"/>
    <n v="7147"/>
    <n v="7842"/>
    <n v="10261"/>
    <n v="9877"/>
    <n v="27074"/>
    <n v="1128.0833333333333"/>
    <n v="27999"/>
    <n v="1166.625"/>
    <n v="11226.35"/>
    <n v="10892.825000000001"/>
  </r>
  <r>
    <x v="13"/>
    <s v="Sul Ross State University "/>
    <m/>
    <n v="228501"/>
    <x v="2"/>
    <s v="sem"/>
    <m/>
    <m/>
    <m/>
    <n v="15958"/>
    <n v="14162"/>
    <n v="2831"/>
    <n v="2699"/>
    <n v="15518"/>
    <n v="15877"/>
    <n v="34307"/>
    <n v="1143.5666666666666"/>
    <n v="32738"/>
    <n v="1091.2666666666667"/>
    <n v="604"/>
    <n v="807"/>
    <n v="34307"/>
    <n v="32738"/>
    <m/>
    <m/>
    <m/>
    <m/>
    <m/>
    <m/>
    <m/>
    <m/>
    <n v="0"/>
    <n v="0"/>
    <n v="0"/>
    <n v="0"/>
    <m/>
    <m/>
    <n v="0"/>
    <n v="0"/>
    <m/>
    <m/>
    <n v="3121"/>
    <n v="3102"/>
    <n v="2553"/>
    <n v="2900"/>
    <n v="3071"/>
    <n v="3166"/>
    <n v="8745"/>
    <n v="364.375"/>
    <n v="9168"/>
    <n v="382"/>
    <n v="1507.9416666666666"/>
    <n v="1473.2666666666667"/>
  </r>
  <r>
    <x v="13"/>
    <s v="Tarleton State University"/>
    <m/>
    <n v="228529"/>
    <x v="2"/>
    <s v="sem"/>
    <m/>
    <m/>
    <m/>
    <n v="95400"/>
    <n v="102680"/>
    <n v="24025"/>
    <n v="24669"/>
    <n v="108102"/>
    <n v="114938"/>
    <n v="227527"/>
    <n v="7584.2333333333336"/>
    <n v="242287"/>
    <n v="8076.2333333333336"/>
    <n v="0"/>
    <n v="0"/>
    <n v="227527"/>
    <n v="242287"/>
    <m/>
    <m/>
    <m/>
    <m/>
    <m/>
    <m/>
    <m/>
    <m/>
    <n v="0"/>
    <n v="0"/>
    <n v="0"/>
    <n v="0"/>
    <m/>
    <m/>
    <n v="0"/>
    <n v="0"/>
    <m/>
    <m/>
    <n v="8078"/>
    <n v="7698"/>
    <n v="6113"/>
    <n v="5775"/>
    <n v="7981"/>
    <n v="8009"/>
    <n v="22172"/>
    <n v="923.83333333333337"/>
    <n v="21482"/>
    <n v="895.08333333333337"/>
    <n v="8508.0666666666675"/>
    <n v="8971.3166666666675"/>
  </r>
  <r>
    <x v="13"/>
    <s v="Texas A&amp;M International University"/>
    <m/>
    <n v="226152"/>
    <x v="2"/>
    <s v="sem"/>
    <m/>
    <m/>
    <m/>
    <n v="60213"/>
    <n v="61336"/>
    <n v="13241"/>
    <n v="12278"/>
    <n v="65955"/>
    <n v="68009"/>
    <n v="139409"/>
    <n v="4646.9666666666662"/>
    <n v="141623"/>
    <n v="4720.7666666666664"/>
    <n v="9092"/>
    <n v="8543"/>
    <n v="139409"/>
    <n v="141623"/>
    <m/>
    <m/>
    <m/>
    <m/>
    <m/>
    <m/>
    <m/>
    <m/>
    <n v="0"/>
    <n v="0"/>
    <n v="0"/>
    <n v="0"/>
    <m/>
    <m/>
    <n v="0"/>
    <n v="0"/>
    <m/>
    <m/>
    <n v="4602"/>
    <n v="4236"/>
    <n v="1914"/>
    <n v="2158"/>
    <n v="4258"/>
    <n v="4879"/>
    <n v="10774"/>
    <n v="448.91666666666669"/>
    <n v="11273"/>
    <n v="469.70833333333331"/>
    <n v="5095.8833333333332"/>
    <n v="5190.4749999999995"/>
  </r>
  <r>
    <x v="13"/>
    <s v="Texas A&amp;M University-Commerce"/>
    <m/>
    <n v="224554"/>
    <x v="2"/>
    <s v="sem"/>
    <m/>
    <m/>
    <m/>
    <n v="69494"/>
    <n v="72497"/>
    <n v="16728"/>
    <n v="13384"/>
    <n v="78226"/>
    <n v="79788"/>
    <n v="164448"/>
    <n v="5481.6"/>
    <n v="165669"/>
    <n v="5522.3"/>
    <n v="1509"/>
    <n v="2020"/>
    <n v="164448"/>
    <n v="165669"/>
    <m/>
    <m/>
    <m/>
    <m/>
    <m/>
    <m/>
    <m/>
    <m/>
    <n v="0"/>
    <n v="0"/>
    <n v="0"/>
    <n v="0"/>
    <m/>
    <m/>
    <n v="0"/>
    <n v="0"/>
    <m/>
    <m/>
    <n v="22939"/>
    <n v="31646"/>
    <n v="25705"/>
    <n v="23353"/>
    <n v="26391"/>
    <n v="24448"/>
    <n v="75035"/>
    <n v="3126.4583333333335"/>
    <n v="79447"/>
    <n v="3310.2916666666665"/>
    <n v="8608.0583333333343"/>
    <n v="8832.5916666666672"/>
  </r>
  <r>
    <x v="13"/>
    <s v="Texas A&amp;M University-Corpus Christi "/>
    <m/>
    <n v="224147"/>
    <x v="2"/>
    <s v="sem"/>
    <m/>
    <m/>
    <m/>
    <n v="94638"/>
    <n v="99252"/>
    <n v="26068"/>
    <n v="24582"/>
    <n v="106847"/>
    <n v="109897"/>
    <n v="227553"/>
    <n v="7585.1"/>
    <n v="233731"/>
    <n v="7791.0333333333338"/>
    <n v="951"/>
    <n v="0"/>
    <n v="227553"/>
    <n v="233731"/>
    <m/>
    <m/>
    <m/>
    <m/>
    <m/>
    <m/>
    <m/>
    <m/>
    <n v="0"/>
    <n v="0"/>
    <n v="0"/>
    <n v="0"/>
    <m/>
    <m/>
    <n v="0"/>
    <n v="0"/>
    <m/>
    <m/>
    <n v="10807"/>
    <n v="10686"/>
    <n v="6629"/>
    <n v="6090"/>
    <n v="11077"/>
    <n v="10904"/>
    <n v="28513"/>
    <n v="1188.0416666666667"/>
    <n v="27680"/>
    <n v="1153.3333333333333"/>
    <n v="8773.1416666666664"/>
    <n v="8944.3666666666668"/>
  </r>
  <r>
    <x v="13"/>
    <s v="Texas A&amp;M University-Kingsville"/>
    <m/>
    <n v="228705"/>
    <x v="2"/>
    <s v="sem"/>
    <m/>
    <m/>
    <m/>
    <n v="63861"/>
    <n v="67470"/>
    <n v="11924"/>
    <n v="6807"/>
    <n v="74102"/>
    <n v="80012"/>
    <n v="149887"/>
    <n v="4996.2333333333336"/>
    <n v="154289"/>
    <n v="5142.9666666666662"/>
    <n v="3179"/>
    <n v="4285"/>
    <n v="149887"/>
    <n v="154289"/>
    <m/>
    <m/>
    <m/>
    <m/>
    <m/>
    <m/>
    <m/>
    <m/>
    <n v="0"/>
    <n v="0"/>
    <n v="0"/>
    <n v="0"/>
    <m/>
    <m/>
    <n v="0"/>
    <n v="0"/>
    <m/>
    <m/>
    <n v="8365"/>
    <n v="9966"/>
    <n v="5100"/>
    <n v="3628"/>
    <n v="9280"/>
    <n v="14791"/>
    <n v="22745"/>
    <n v="947.70833333333337"/>
    <n v="28385"/>
    <n v="1182.7083333333333"/>
    <n v="5943.9416666666666"/>
    <n v="6325.6749999999993"/>
  </r>
  <r>
    <x v="13"/>
    <s v="Texas Southern University "/>
    <m/>
    <n v="229063"/>
    <x v="2"/>
    <s v="sem"/>
    <m/>
    <m/>
    <m/>
    <n v="79510"/>
    <n v="76061"/>
    <n v="10554"/>
    <n v="8650"/>
    <n v="90474"/>
    <n v="82587"/>
    <n v="180538"/>
    <n v="6017.9333333333334"/>
    <n v="167298"/>
    <n v="5576.6"/>
    <n v="0"/>
    <n v="0"/>
    <n v="180538"/>
    <n v="167298"/>
    <m/>
    <m/>
    <m/>
    <m/>
    <m/>
    <m/>
    <m/>
    <m/>
    <n v="0"/>
    <n v="0"/>
    <n v="0"/>
    <n v="0"/>
    <m/>
    <m/>
    <n v="0"/>
    <n v="0"/>
    <m/>
    <m/>
    <n v="26383"/>
    <n v="24135"/>
    <n v="6443"/>
    <n v="5200"/>
    <n v="25778"/>
    <n v="24049"/>
    <n v="58604"/>
    <n v="2441.8333333333335"/>
    <n v="53384"/>
    <n v="2224.3333333333335"/>
    <n v="8459.7666666666664"/>
    <n v="7800.9333333333343"/>
  </r>
  <r>
    <x v="13"/>
    <s v="Texas State University-San Marcos"/>
    <m/>
    <n v="228459"/>
    <x v="2"/>
    <s v="sem"/>
    <m/>
    <m/>
    <m/>
    <n v="337603"/>
    <n v="341423"/>
    <n v="61868"/>
    <n v="61042"/>
    <n v="370796"/>
    <n v="389625"/>
    <n v="770267"/>
    <n v="25675.566666666666"/>
    <n v="792090"/>
    <n v="26403"/>
    <n v="0"/>
    <n v="0"/>
    <n v="770267"/>
    <n v="792090"/>
    <m/>
    <m/>
    <m/>
    <m/>
    <m/>
    <m/>
    <m/>
    <m/>
    <n v="0"/>
    <n v="0"/>
    <n v="0"/>
    <n v="0"/>
    <m/>
    <m/>
    <n v="0"/>
    <n v="0"/>
    <m/>
    <m/>
    <n v="31807"/>
    <n v="30398"/>
    <n v="13620"/>
    <n v="12543"/>
    <n v="32060"/>
    <n v="31296"/>
    <n v="77487"/>
    <n v="3228.625"/>
    <n v="74237"/>
    <n v="3093.2083333333335"/>
    <n v="28904.191666666666"/>
    <n v="29496.208333333332"/>
  </r>
  <r>
    <x v="13"/>
    <s v="University of Houston-Clear Lake "/>
    <m/>
    <n v="225414"/>
    <x v="2"/>
    <s v="sem"/>
    <m/>
    <m/>
    <m/>
    <n v="45631"/>
    <n v="44868"/>
    <n v="13246"/>
    <n v="12976"/>
    <n v="45352"/>
    <n v="45752"/>
    <n v="104229"/>
    <n v="3474.3"/>
    <n v="103596"/>
    <n v="3453.2"/>
    <n v="0"/>
    <n v="0"/>
    <n v="104229"/>
    <n v="103596"/>
    <m/>
    <m/>
    <m/>
    <m/>
    <m/>
    <m/>
    <m/>
    <m/>
    <n v="0"/>
    <n v="0"/>
    <n v="0"/>
    <n v="0"/>
    <m/>
    <m/>
    <n v="0"/>
    <n v="0"/>
    <m/>
    <m/>
    <n v="22085"/>
    <n v="21314"/>
    <n v="9537"/>
    <n v="9240"/>
    <n v="22237"/>
    <n v="22992"/>
    <n v="53859"/>
    <n v="2244.125"/>
    <n v="53546"/>
    <n v="2231.0833333333335"/>
    <n v="5718.4250000000002"/>
    <n v="5684.2833333333328"/>
  </r>
  <r>
    <x v="13"/>
    <s v="University of Texas at Brownsville"/>
    <m/>
    <n v="227377"/>
    <x v="2"/>
    <s v="sem"/>
    <m/>
    <m/>
    <m/>
    <n v="34052"/>
    <n v="76841"/>
    <n v="16988"/>
    <n v="15680"/>
    <n v="74854"/>
    <n v="80700"/>
    <n v="125894"/>
    <n v="4196.4666666666662"/>
    <n v="173221"/>
    <n v="5774.0333333333338"/>
    <n v="2638"/>
    <n v="4199"/>
    <n v="125894"/>
    <n v="173221"/>
    <m/>
    <m/>
    <m/>
    <m/>
    <m/>
    <m/>
    <m/>
    <m/>
    <n v="0"/>
    <n v="0"/>
    <n v="0"/>
    <n v="0"/>
    <m/>
    <m/>
    <n v="0"/>
    <n v="0"/>
    <m/>
    <m/>
    <n v="5855"/>
    <n v="6049"/>
    <n v="2757"/>
    <n v="2366"/>
    <n v="6258"/>
    <n v="6104"/>
    <n v="14870"/>
    <n v="619.58333333333337"/>
    <n v="14519"/>
    <n v="604.95833333333337"/>
    <n v="4816.0499999999993"/>
    <n v="6378.9916666666668"/>
  </r>
  <r>
    <x v="13"/>
    <s v="University of Texas at Tyler"/>
    <m/>
    <n v="228802"/>
    <x v="2"/>
    <s v="sem"/>
    <m/>
    <m/>
    <m/>
    <n v="57825"/>
    <n v="59884"/>
    <n v="10180"/>
    <n v="10867"/>
    <n v="63891"/>
    <n v="64575"/>
    <n v="131896"/>
    <n v="4396.5333333333338"/>
    <n v="135326"/>
    <n v="4510.8666666666668"/>
    <n v="0"/>
    <n v="1065"/>
    <n v="131896"/>
    <n v="135326"/>
    <m/>
    <m/>
    <m/>
    <m/>
    <m/>
    <m/>
    <m/>
    <m/>
    <n v="0"/>
    <n v="0"/>
    <n v="0"/>
    <n v="0"/>
    <m/>
    <m/>
    <n v="0"/>
    <n v="0"/>
    <m/>
    <m/>
    <n v="9411"/>
    <n v="10443"/>
    <n v="5980"/>
    <n v="7369"/>
    <n v="9948"/>
    <n v="11330"/>
    <n v="25339"/>
    <n v="1055.7916666666667"/>
    <n v="29142"/>
    <n v="1214.25"/>
    <n v="5452.3250000000007"/>
    <n v="5725.1166666666668"/>
  </r>
  <r>
    <x v="13"/>
    <s v="University of Texas of the Permian Basin"/>
    <m/>
    <n v="229018"/>
    <x v="2"/>
    <s v="sem"/>
    <m/>
    <m/>
    <m/>
    <n v="32385"/>
    <n v="34742"/>
    <n v="6714"/>
    <n v="9232"/>
    <n v="36364"/>
    <n v="42010"/>
    <n v="75463"/>
    <n v="2515.4333333333334"/>
    <n v="85984"/>
    <n v="2866.1333333333332"/>
    <n v="3777"/>
    <n v="7420"/>
    <n v="75463"/>
    <n v="85984"/>
    <m/>
    <m/>
    <m/>
    <m/>
    <m/>
    <m/>
    <m/>
    <m/>
    <n v="0"/>
    <n v="0"/>
    <n v="0"/>
    <n v="0"/>
    <m/>
    <m/>
    <n v="0"/>
    <n v="0"/>
    <m/>
    <m/>
    <n v="3153"/>
    <n v="3446"/>
    <n v="2031"/>
    <n v="2537"/>
    <n v="3097"/>
    <n v="3976"/>
    <n v="8281"/>
    <n v="345.04166666666669"/>
    <n v="9959"/>
    <n v="414.95833333333331"/>
    <n v="2860.4749999999999"/>
    <n v="3281.0916666666667"/>
  </r>
  <r>
    <x v="13"/>
    <s v="University of Texas-Pan American"/>
    <m/>
    <n v="227368"/>
    <x v="2"/>
    <s v="sem"/>
    <m/>
    <m/>
    <m/>
    <n v="176048"/>
    <n v="180503"/>
    <n v="60103"/>
    <n v="56282"/>
    <n v="195825"/>
    <n v="205768"/>
    <n v="431976"/>
    <n v="14399.2"/>
    <n v="442553"/>
    <n v="14751.766666666666"/>
    <n v="5042"/>
    <n v="4320"/>
    <n v="431976"/>
    <n v="442553"/>
    <m/>
    <m/>
    <m/>
    <m/>
    <m/>
    <m/>
    <m/>
    <m/>
    <n v="0"/>
    <n v="0"/>
    <n v="0"/>
    <n v="0"/>
    <m/>
    <m/>
    <n v="0"/>
    <n v="0"/>
    <m/>
    <m/>
    <n v="16375"/>
    <n v="15809"/>
    <n v="8988"/>
    <n v="8601"/>
    <n v="17038"/>
    <n v="17447"/>
    <n v="42401"/>
    <n v="1766.7083333333333"/>
    <n v="41857"/>
    <n v="1744.0416666666667"/>
    <n v="16165.908333333335"/>
    <n v="16495.808333333334"/>
  </r>
  <r>
    <x v="13"/>
    <s v="West Texas A&amp;M University"/>
    <m/>
    <n v="229814"/>
    <x v="2"/>
    <s v="sem"/>
    <m/>
    <m/>
    <m/>
    <n v="76311"/>
    <n v="78021"/>
    <n v="13194"/>
    <n v="13929"/>
    <n v="83753"/>
    <n v="88111"/>
    <n v="173258"/>
    <n v="5775.2666666666664"/>
    <n v="180061"/>
    <n v="6002.0333333333338"/>
    <n v="0"/>
    <n v="0"/>
    <n v="173258"/>
    <n v="180061"/>
    <m/>
    <m/>
    <m/>
    <m/>
    <m/>
    <m/>
    <m/>
    <m/>
    <n v="0"/>
    <n v="0"/>
    <n v="0"/>
    <n v="0"/>
    <m/>
    <m/>
    <n v="0"/>
    <n v="0"/>
    <m/>
    <m/>
    <n v="7682"/>
    <n v="7734"/>
    <n v="5178"/>
    <n v="5408"/>
    <n v="8049"/>
    <n v="9012"/>
    <n v="20909"/>
    <n v="871.20833333333337"/>
    <n v="22154"/>
    <n v="923.08333333333337"/>
    <n v="6646.4749999999995"/>
    <n v="6925.1166666666668"/>
  </r>
  <r>
    <x v="13"/>
    <s v="Texas A &amp; M University - Central Texas"/>
    <m/>
    <n v="483036"/>
    <x v="3"/>
    <s v="sem"/>
    <m/>
    <m/>
    <m/>
    <n v="13599"/>
    <n v="14791"/>
    <n v="8595"/>
    <n v="8871"/>
    <n v="11549"/>
    <n v="13002"/>
    <n v="33743"/>
    <n v="1124.7666666666667"/>
    <n v="36664"/>
    <n v="1222.1333333333334"/>
    <n v="0"/>
    <n v="0"/>
    <n v="33743"/>
    <n v="36664"/>
    <m/>
    <m/>
    <m/>
    <m/>
    <m/>
    <m/>
    <m/>
    <m/>
    <n v="0"/>
    <n v="0"/>
    <n v="0"/>
    <n v="0"/>
    <m/>
    <m/>
    <n v="0"/>
    <n v="0"/>
    <m/>
    <m/>
    <n v="4299"/>
    <n v="4318"/>
    <n v="3624"/>
    <n v="3756"/>
    <n v="4027"/>
    <n v="3602"/>
    <n v="11950"/>
    <n v="497.91666666666669"/>
    <n v="11676"/>
    <n v="486.5"/>
    <n v="1622.6833333333334"/>
    <n v="1708.6333333333334"/>
  </r>
  <r>
    <x v="13"/>
    <s v="Texas A&amp;M -Texarkana"/>
    <m/>
    <n v="224545"/>
    <x v="3"/>
    <s v="sem"/>
    <m/>
    <m/>
    <m/>
    <n v="15171"/>
    <n v="14519"/>
    <n v="3470"/>
    <n v="3004"/>
    <n v="16149"/>
    <n v="14739"/>
    <n v="34790"/>
    <n v="1159.6666666666667"/>
    <n v="32262"/>
    <n v="1075.4000000000001"/>
    <n v="0"/>
    <n v="0"/>
    <n v="34790"/>
    <n v="32262"/>
    <m/>
    <m/>
    <m/>
    <m/>
    <m/>
    <m/>
    <m/>
    <m/>
    <n v="0"/>
    <n v="0"/>
    <n v="0"/>
    <n v="0"/>
    <m/>
    <m/>
    <n v="0"/>
    <n v="0"/>
    <m/>
    <m/>
    <n v="2346"/>
    <n v="2404"/>
    <n v="2396"/>
    <n v="1578"/>
    <n v="2565"/>
    <n v="2278"/>
    <n v="7307"/>
    <n v="304.45833333333331"/>
    <n v="6260"/>
    <n v="260.83333333333331"/>
    <n v="1464.125"/>
    <n v="1336.2333333333333"/>
  </r>
  <r>
    <x v="13"/>
    <s v="University of Houston-Victoria"/>
    <m/>
    <n v="225502"/>
    <x v="3"/>
    <s v="sem"/>
    <m/>
    <m/>
    <m/>
    <n v="24503"/>
    <n v="25627"/>
    <n v="9014"/>
    <n v="8721"/>
    <n v="26009"/>
    <n v="28724"/>
    <n v="59526"/>
    <n v="1984.2"/>
    <n v="63072"/>
    <n v="2102.4"/>
    <n v="0"/>
    <n v="0"/>
    <n v="59526"/>
    <n v="63072"/>
    <m/>
    <m/>
    <m/>
    <m/>
    <m/>
    <m/>
    <m/>
    <m/>
    <n v="0"/>
    <n v="0"/>
    <n v="0"/>
    <n v="0"/>
    <m/>
    <m/>
    <n v="0"/>
    <n v="0"/>
    <m/>
    <m/>
    <n v="10302"/>
    <n v="9402"/>
    <n v="5323"/>
    <n v="4617"/>
    <n v="10039"/>
    <n v="9489"/>
    <n v="25664"/>
    <n v="1069.3333333333333"/>
    <n v="23508"/>
    <n v="979.5"/>
    <n v="3053.5333333333333"/>
    <n v="3081.9"/>
  </r>
  <r>
    <x v="13"/>
    <s v="Sul Ross State University-Rio Grande College"/>
    <m/>
    <s v="228501B"/>
    <x v="4"/>
    <s v="sem"/>
    <m/>
    <m/>
    <m/>
    <n v="6237"/>
    <n v="5651"/>
    <n v="3018"/>
    <n v="2795"/>
    <n v="6061"/>
    <n v="5244"/>
    <n v="15316"/>
    <n v="510.53333333333336"/>
    <n v="13690"/>
    <n v="456.33333333333331"/>
    <n v="0"/>
    <n v="0"/>
    <n v="15316"/>
    <n v="13690"/>
    <m/>
    <m/>
    <m/>
    <m/>
    <m/>
    <m/>
    <m/>
    <m/>
    <n v="0"/>
    <n v="0"/>
    <n v="0"/>
    <n v="0"/>
    <m/>
    <m/>
    <n v="0"/>
    <n v="0"/>
    <m/>
    <m/>
    <n v="948"/>
    <n v="927"/>
    <n v="765"/>
    <n v="870"/>
    <n v="774"/>
    <n v="1032"/>
    <n v="2487"/>
    <n v="103.625"/>
    <n v="2829"/>
    <n v="117.875"/>
    <n v="614.1583333333333"/>
    <n v="574.20833333333326"/>
  </r>
  <r>
    <x v="13"/>
    <s v="Texas A &amp; M University - San Antonio"/>
    <m/>
    <n v="870501"/>
    <x v="4"/>
    <s v="sem"/>
    <m/>
    <m/>
    <m/>
    <n v="25392"/>
    <n v="27067"/>
    <n v="6638"/>
    <n v="7892"/>
    <n v="28926"/>
    <n v="31585"/>
    <n v="60956"/>
    <n v="2031.8666666666666"/>
    <n v="66544"/>
    <n v="2218.1333333333332"/>
    <n v="0"/>
    <n v="0"/>
    <n v="60956"/>
    <n v="66544"/>
    <m/>
    <m/>
    <m/>
    <m/>
    <m/>
    <m/>
    <m/>
    <m/>
    <n v="0"/>
    <n v="0"/>
    <n v="0"/>
    <n v="0"/>
    <m/>
    <m/>
    <n v="0"/>
    <n v="0"/>
    <m/>
    <m/>
    <n v="6438"/>
    <n v="7172"/>
    <n v="3413"/>
    <n v="3837"/>
    <n v="7257"/>
    <n v="7764"/>
    <n v="17108"/>
    <n v="712.83333333333337"/>
    <n v="18773"/>
    <n v="782.20833333333337"/>
    <n v="2744.7"/>
    <n v="3000.3416666666667"/>
  </r>
  <r>
    <x v="13"/>
    <s v="University of Houston-Downtown"/>
    <m/>
    <n v="225432"/>
    <x v="4"/>
    <s v="sem"/>
    <m/>
    <m/>
    <m/>
    <n v="116385"/>
    <n v="117465"/>
    <n v="31298"/>
    <n v="28724"/>
    <n v="129224"/>
    <n v="126080"/>
    <n v="276907"/>
    <n v="9230.2333333333336"/>
    <n v="272269"/>
    <n v="9075.6333333333332"/>
    <n v="677"/>
    <n v="809"/>
    <n v="276907"/>
    <n v="272269"/>
    <m/>
    <m/>
    <m/>
    <m/>
    <m/>
    <m/>
    <m/>
    <m/>
    <n v="0"/>
    <n v="0"/>
    <n v="0"/>
    <n v="0"/>
    <m/>
    <m/>
    <n v="0"/>
    <n v="0"/>
    <m/>
    <m/>
    <n v="1036"/>
    <n v="1334"/>
    <n v="742"/>
    <n v="958"/>
    <n v="1033"/>
    <n v="1386"/>
    <n v="2811"/>
    <n v="117.125"/>
    <n v="3678"/>
    <n v="153.25"/>
    <n v="9347.3583333333336"/>
    <n v="9228.8833333333332"/>
  </r>
  <r>
    <x v="13"/>
    <s v="Texas A&amp;M University at Galveston"/>
    <m/>
    <n v="228714"/>
    <x v="5"/>
    <s v="sem"/>
    <m/>
    <m/>
    <m/>
    <n v="24269"/>
    <n v="23862"/>
    <n v="3879"/>
    <n v="4015"/>
    <n v="25867"/>
    <n v="27938"/>
    <n v="54015"/>
    <n v="1800.5"/>
    <n v="55815"/>
    <n v="1860.5"/>
    <n v="0"/>
    <n v="0"/>
    <n v="54015"/>
    <n v="55815"/>
    <m/>
    <m/>
    <m/>
    <m/>
    <m/>
    <m/>
    <m/>
    <m/>
    <n v="0"/>
    <n v="0"/>
    <n v="0"/>
    <n v="0"/>
    <m/>
    <m/>
    <n v="0"/>
    <n v="0"/>
    <m/>
    <m/>
    <n v="572"/>
    <n v="739"/>
    <n v="208"/>
    <n v="273"/>
    <n v="708"/>
    <n v="838"/>
    <n v="1488"/>
    <n v="62"/>
    <n v="1850"/>
    <n v="77.083333333333329"/>
    <n v="1862.5"/>
    <n v="1937.5833333333333"/>
  </r>
  <r>
    <x v="13"/>
    <s v="Brazosport College "/>
    <m/>
    <n v="223506"/>
    <x v="11"/>
    <s v="sem"/>
    <m/>
    <n v="31950"/>
    <n v="31295"/>
    <n v="10328"/>
    <n v="10050"/>
    <n v="2800"/>
    <n v="3174"/>
    <n v="31524"/>
    <n v="32125"/>
    <n v="76602"/>
    <n v="2553.4"/>
    <n v="76644"/>
    <n v="2554.8000000000002"/>
    <n v="12016"/>
    <n v="10094"/>
    <n v="76602"/>
    <n v="76644"/>
    <n v="17301"/>
    <n v="12362"/>
    <n v="14199"/>
    <n v="11097"/>
    <n v="4751"/>
    <n v="4616"/>
    <n v="12291"/>
    <n v="9350"/>
    <n v="48542"/>
    <n v="53.935555555555553"/>
    <n v="37425"/>
    <n v="41.583333333333336"/>
    <m/>
    <m/>
    <n v="0"/>
    <n v="0"/>
    <m/>
    <m/>
    <m/>
    <m/>
    <m/>
    <m/>
    <m/>
    <m/>
    <n v="0"/>
    <n v="0"/>
    <n v="0"/>
    <n v="0"/>
    <n v="2607.3355555555559"/>
    <n v="2596.3833333333337"/>
  </r>
  <r>
    <x v="13"/>
    <s v="Midland College "/>
    <m/>
    <n v="226806"/>
    <x v="11"/>
    <s v="sem"/>
    <m/>
    <n v="47276"/>
    <n v="44437"/>
    <n v="13690"/>
    <n v="13489"/>
    <n v="10455"/>
    <n v="10268"/>
    <n v="44378"/>
    <n v="42352"/>
    <n v="115799"/>
    <n v="3859.9666666666667"/>
    <n v="110546"/>
    <n v="3684.8666666666668"/>
    <n v="7820"/>
    <n v="8468"/>
    <n v="115799"/>
    <n v="110546"/>
    <n v="49865"/>
    <n v="67697"/>
    <n v="48781"/>
    <n v="49193"/>
    <n v="54645"/>
    <n v="68765"/>
    <n v="81586"/>
    <n v="77176"/>
    <n v="234877"/>
    <n v="260.97444444444443"/>
    <n v="262831"/>
    <n v="292.03444444444443"/>
    <m/>
    <m/>
    <n v="0"/>
    <n v="0"/>
    <m/>
    <m/>
    <m/>
    <m/>
    <m/>
    <m/>
    <m/>
    <m/>
    <n v="0"/>
    <n v="0"/>
    <n v="0"/>
    <n v="0"/>
    <n v="4120.9411111111112"/>
    <n v="3976.9011111111113"/>
  </r>
  <r>
    <x v="13"/>
    <s v="South Texas College"/>
    <m/>
    <n v="409315"/>
    <x v="11"/>
    <s v="sem"/>
    <m/>
    <n v="235789"/>
    <n v="244155"/>
    <n v="39471"/>
    <n v="44379"/>
    <n v="28487"/>
    <n v="30753"/>
    <n v="247460"/>
    <n v="249475"/>
    <n v="551207"/>
    <n v="18373.566666666666"/>
    <n v="568762"/>
    <n v="18958.733333333334"/>
    <n v="124002"/>
    <n v="147425"/>
    <n v="551207"/>
    <n v="568762"/>
    <n v="48147"/>
    <n v="109890"/>
    <n v="60509"/>
    <n v="61137"/>
    <n v="67819"/>
    <n v="107828"/>
    <n v="170775"/>
    <n v="369928"/>
    <n v="347250"/>
    <n v="385.83333333333331"/>
    <n v="648783"/>
    <n v="720.87"/>
    <m/>
    <m/>
    <n v="0"/>
    <n v="0"/>
    <m/>
    <m/>
    <m/>
    <m/>
    <m/>
    <m/>
    <m/>
    <m/>
    <n v="0"/>
    <n v="0"/>
    <n v="0"/>
    <n v="0"/>
    <n v="18759.399999999998"/>
    <n v="19679.603333333333"/>
  </r>
  <r>
    <x v="13"/>
    <s v="Amarillo College "/>
    <m/>
    <n v="222576"/>
    <x v="6"/>
    <s v="sem"/>
    <m/>
    <n v="87451"/>
    <n v="82833"/>
    <n v="24513"/>
    <n v="23373"/>
    <n v="0"/>
    <n v="0"/>
    <n v="86691"/>
    <n v="83186"/>
    <n v="198655"/>
    <n v="6621.833333333333"/>
    <n v="189392"/>
    <n v="6313.0666666666666"/>
    <n v="21310"/>
    <n v="22621"/>
    <n v="198655"/>
    <n v="189392"/>
    <n v="123852"/>
    <n v="111606"/>
    <n v="150274"/>
    <n v="140872"/>
    <n v="110459"/>
    <n v="106392"/>
    <n v="158658"/>
    <n v="139911"/>
    <n v="543243"/>
    <n v="603.60333333333335"/>
    <n v="498781"/>
    <n v="554.20111111111112"/>
    <m/>
    <m/>
    <n v="0"/>
    <n v="0"/>
    <m/>
    <m/>
    <m/>
    <m/>
    <m/>
    <m/>
    <m/>
    <m/>
    <n v="0"/>
    <n v="0"/>
    <n v="0"/>
    <n v="0"/>
    <n v="7225.4366666666665"/>
    <n v="6867.2677777777781"/>
  </r>
  <r>
    <x v="13"/>
    <s v="Austin Community College "/>
    <m/>
    <n v="222992"/>
    <x v="6"/>
    <s v="sem"/>
    <m/>
    <n v="328386"/>
    <n v="305130"/>
    <n v="172797"/>
    <n v="163880"/>
    <n v="0"/>
    <n v="0"/>
    <n v="290811"/>
    <n v="280583"/>
    <n v="791994"/>
    <n v="26399.8"/>
    <n v="749593"/>
    <n v="24986.433333333334"/>
    <n v="53331"/>
    <n v="58099"/>
    <n v="791994"/>
    <n v="749593"/>
    <n v="124524"/>
    <n v="153613"/>
    <n v="67441"/>
    <n v="83343"/>
    <n v="161638"/>
    <n v="92316"/>
    <n v="115888"/>
    <n v="103726"/>
    <n v="469491"/>
    <n v="521.65666666666664"/>
    <n v="432998"/>
    <n v="481.10888888888888"/>
    <m/>
    <m/>
    <n v="0"/>
    <n v="0"/>
    <m/>
    <m/>
    <m/>
    <m/>
    <m/>
    <m/>
    <m/>
    <m/>
    <n v="0"/>
    <n v="0"/>
    <n v="0"/>
    <n v="0"/>
    <n v="26921.456666666665"/>
    <n v="25467.542222222222"/>
  </r>
  <r>
    <x v="13"/>
    <s v="Blinn College "/>
    <m/>
    <n v="223427"/>
    <x v="6"/>
    <s v="sem"/>
    <m/>
    <n v="169126"/>
    <n v="169394"/>
    <n v="49542"/>
    <n v="30511"/>
    <n v="0"/>
    <n v="17548"/>
    <n v="180304"/>
    <n v="183504"/>
    <n v="398972"/>
    <n v="13299.066666666668"/>
    <n v="400957"/>
    <n v="13365.233333333334"/>
    <n v="15268"/>
    <n v="14059"/>
    <n v="398972"/>
    <n v="400957"/>
    <n v="34151"/>
    <n v="32632"/>
    <n v="40990"/>
    <n v="18131"/>
    <n v="33412"/>
    <n v="23345"/>
    <n v="35333"/>
    <n v="37924"/>
    <n v="143886"/>
    <n v="159.87333333333333"/>
    <n v="112032"/>
    <n v="124.48"/>
    <m/>
    <m/>
    <n v="0"/>
    <n v="0"/>
    <m/>
    <m/>
    <m/>
    <m/>
    <m/>
    <m/>
    <m/>
    <m/>
    <n v="0"/>
    <n v="0"/>
    <n v="0"/>
    <n v="0"/>
    <n v="13458.94"/>
    <n v="13489.713333333333"/>
  </r>
  <r>
    <x v="13"/>
    <s v="Brookhaven College  (DCCCD)"/>
    <m/>
    <n v="223524"/>
    <x v="6"/>
    <s v="sem"/>
    <m/>
    <n v="86029"/>
    <n v="79259"/>
    <n v="46359"/>
    <n v="47034"/>
    <n v="0"/>
    <n v="0"/>
    <n v="70915"/>
    <n v="65929"/>
    <n v="203303"/>
    <n v="6776.7666666666664"/>
    <n v="192222"/>
    <n v="6407.4"/>
    <n v="8669"/>
    <n v="10400"/>
    <n v="203303"/>
    <n v="192222"/>
    <n v="65960"/>
    <n v="46338"/>
    <n v="64564"/>
    <n v="57365"/>
    <n v="57663"/>
    <n v="57154"/>
    <n v="70341"/>
    <n v="65664"/>
    <n v="258528"/>
    <n v="287.25333333333333"/>
    <n v="226521"/>
    <n v="251.69"/>
    <m/>
    <m/>
    <n v="0"/>
    <n v="0"/>
    <m/>
    <m/>
    <m/>
    <m/>
    <m/>
    <m/>
    <m/>
    <m/>
    <n v="0"/>
    <n v="0"/>
    <n v="0"/>
    <n v="0"/>
    <n v="7064.0199999999995"/>
    <n v="6659.0899999999992"/>
  </r>
  <r>
    <x v="13"/>
    <s v="Central Texas College "/>
    <m/>
    <n v="223816"/>
    <x v="6"/>
    <s v="sem"/>
    <m/>
    <n v="123024"/>
    <n v="126359"/>
    <n v="92510"/>
    <n v="76072"/>
    <n v="3994"/>
    <n v="11554"/>
    <n v="96353"/>
    <n v="83091"/>
    <n v="315881"/>
    <n v="10529.366666666667"/>
    <n v="297076"/>
    <n v="9902.5333333333328"/>
    <n v="16799"/>
    <n v="16731"/>
    <n v="315881"/>
    <n v="297076"/>
    <n v="90921"/>
    <n v="98203"/>
    <n v="123240"/>
    <n v="116019"/>
    <n v="116694"/>
    <n v="98322"/>
    <n v="105520"/>
    <n v="73153"/>
    <n v="436375"/>
    <n v="484.86111111111109"/>
    <n v="385697"/>
    <n v="428.55222222222221"/>
    <m/>
    <m/>
    <n v="0"/>
    <n v="0"/>
    <m/>
    <m/>
    <m/>
    <m/>
    <m/>
    <m/>
    <m/>
    <m/>
    <n v="0"/>
    <n v="0"/>
    <n v="0"/>
    <n v="0"/>
    <n v="11014.227777777778"/>
    <n v="10331.085555555555"/>
  </r>
  <r>
    <x v="13"/>
    <s v="Collin County Community College District"/>
    <m/>
    <n v="247834"/>
    <x v="6"/>
    <s v="sem"/>
    <m/>
    <n v="220007"/>
    <n v="221014"/>
    <n v="45459"/>
    <n v="48505"/>
    <n v="42198"/>
    <n v="41400"/>
    <n v="228868"/>
    <n v="229468"/>
    <n v="536532"/>
    <n v="17884.400000000001"/>
    <n v="540387"/>
    <n v="18012.900000000001"/>
    <n v="22205"/>
    <n v="24517"/>
    <n v="536532"/>
    <n v="540387"/>
    <n v="149880"/>
    <n v="167788"/>
    <n v="124339"/>
    <n v="122787"/>
    <n v="131161"/>
    <n v="142206"/>
    <n v="226703"/>
    <n v="228769"/>
    <n v="632083"/>
    <n v="702.31444444444446"/>
    <n v="661550"/>
    <n v="735.05555555555554"/>
    <m/>
    <m/>
    <n v="0"/>
    <n v="0"/>
    <m/>
    <m/>
    <m/>
    <m/>
    <m/>
    <m/>
    <m/>
    <m/>
    <n v="0"/>
    <n v="0"/>
    <n v="0"/>
    <n v="0"/>
    <n v="18586.714444444446"/>
    <n v="18747.955555555556"/>
  </r>
  <r>
    <x v="13"/>
    <s v="Del Mar College "/>
    <m/>
    <n v="224350"/>
    <x v="6"/>
    <s v="sem"/>
    <m/>
    <n v="92301"/>
    <n v="82292"/>
    <n v="22086"/>
    <n v="22111"/>
    <n v="10123"/>
    <n v="9704"/>
    <n v="89028"/>
    <n v="84783"/>
    <n v="213538"/>
    <n v="7117.9333333333334"/>
    <n v="198890"/>
    <n v="6629.666666666667"/>
    <n v="16321"/>
    <n v="16865"/>
    <n v="213538"/>
    <n v="198890"/>
    <n v="84288"/>
    <n v="75497"/>
    <n v="58476"/>
    <n v="49513"/>
    <n v="63174"/>
    <n v="50227"/>
    <n v="89576"/>
    <n v="142308"/>
    <n v="295514"/>
    <n v="328.34888888888889"/>
    <n v="317545"/>
    <n v="352.82777777777778"/>
    <m/>
    <m/>
    <n v="0"/>
    <n v="0"/>
    <m/>
    <m/>
    <m/>
    <m/>
    <m/>
    <m/>
    <m/>
    <m/>
    <n v="0"/>
    <n v="0"/>
    <n v="0"/>
    <n v="0"/>
    <n v="7446.2822222222221"/>
    <n v="6982.4944444444445"/>
  </r>
  <r>
    <x v="13"/>
    <s v="Eastfield College  (DCCCD)"/>
    <m/>
    <n v="224572"/>
    <x v="6"/>
    <s v="sem"/>
    <m/>
    <n v="94072"/>
    <n v="96567"/>
    <n v="49420"/>
    <n v="55933"/>
    <n v="0"/>
    <n v="0"/>
    <n v="87939"/>
    <n v="86404"/>
    <n v="231431"/>
    <n v="7714.3666666666668"/>
    <n v="238904"/>
    <n v="7963.4666666666662"/>
    <n v="17724"/>
    <n v="19782"/>
    <n v="231431"/>
    <n v="238904"/>
    <n v="89159"/>
    <n v="74212"/>
    <n v="58288"/>
    <n v="57107"/>
    <n v="53746"/>
    <n v="65592"/>
    <n v="82288"/>
    <n v="71591"/>
    <n v="283481"/>
    <n v="314.97888888888889"/>
    <n v="268502"/>
    <n v="298.33555555555557"/>
    <m/>
    <m/>
    <n v="0"/>
    <n v="0"/>
    <m/>
    <m/>
    <m/>
    <m/>
    <m/>
    <m/>
    <m/>
    <m/>
    <n v="0"/>
    <n v="0"/>
    <n v="0"/>
    <n v="0"/>
    <n v="8029.3455555555556"/>
    <n v="8261.8022222222226"/>
  </r>
  <r>
    <x v="13"/>
    <s v="El Centro College  (DCCCD)"/>
    <m/>
    <n v="224615"/>
    <x v="6"/>
    <s v="sem"/>
    <m/>
    <n v="77644"/>
    <n v="78404"/>
    <n v="30159"/>
    <n v="29955"/>
    <n v="0"/>
    <n v="0"/>
    <n v="70587"/>
    <n v="66275"/>
    <n v="178390"/>
    <n v="5946.333333333333"/>
    <n v="174634"/>
    <n v="5821.1333333333332"/>
    <n v="11192"/>
    <n v="13013"/>
    <n v="178390"/>
    <n v="174634"/>
    <n v="233456"/>
    <n v="305029"/>
    <n v="368027"/>
    <n v="329985"/>
    <n v="334014"/>
    <n v="312033"/>
    <n v="271796"/>
    <n v="295214"/>
    <n v="1207293"/>
    <n v="1341.4366666666667"/>
    <n v="1242261"/>
    <n v="1380.29"/>
    <m/>
    <m/>
    <n v="0"/>
    <n v="0"/>
    <m/>
    <m/>
    <m/>
    <m/>
    <m/>
    <m/>
    <m/>
    <m/>
    <n v="0"/>
    <n v="0"/>
    <n v="0"/>
    <n v="0"/>
    <n v="7287.7699999999995"/>
    <n v="7201.4233333333332"/>
  </r>
  <r>
    <x v="13"/>
    <s v="El Paso County Community College District"/>
    <m/>
    <n v="224642"/>
    <x v="6"/>
    <s v="sem"/>
    <m/>
    <n v="253084"/>
    <n v="243140"/>
    <n v="58283"/>
    <n v="55667"/>
    <n v="0"/>
    <n v="0"/>
    <n v="263960"/>
    <n v="253794"/>
    <n v="575327"/>
    <n v="19177.566666666666"/>
    <n v="552601"/>
    <n v="18420.033333333333"/>
    <n v="70271"/>
    <n v="61196"/>
    <n v="575327"/>
    <n v="552601"/>
    <n v="121978"/>
    <n v="119775"/>
    <n v="126534"/>
    <n v="119910"/>
    <n v="110699"/>
    <n v="99506"/>
    <n v="157377"/>
    <n v="129050"/>
    <n v="516588"/>
    <n v="573.98666666666668"/>
    <n v="468241"/>
    <n v="520.26777777777772"/>
    <m/>
    <m/>
    <n v="0"/>
    <n v="0"/>
    <m/>
    <m/>
    <m/>
    <m/>
    <m/>
    <m/>
    <m/>
    <m/>
    <n v="0"/>
    <n v="0"/>
    <n v="0"/>
    <n v="0"/>
    <n v="19751.553333333333"/>
    <n v="18940.301111111112"/>
  </r>
  <r>
    <x v="13"/>
    <s v="Houston Community College"/>
    <m/>
    <n v="225423"/>
    <x v="6"/>
    <s v="sem"/>
    <m/>
    <n v="494412"/>
    <n v="470921"/>
    <n v="269882"/>
    <n v="265340"/>
    <n v="0"/>
    <n v="0"/>
    <n v="368037"/>
    <n v="361800"/>
    <n v="1132331"/>
    <n v="37744.366666666669"/>
    <n v="1098061"/>
    <n v="36602.033333333333"/>
    <n v="73521"/>
    <n v="64049"/>
    <n v="1132331"/>
    <n v="1098061"/>
    <n v="428435"/>
    <n v="496483"/>
    <n v="473653"/>
    <n v="468618"/>
    <n v="323638"/>
    <n v="378767"/>
    <n v="589403"/>
    <n v="612662"/>
    <n v="1815129"/>
    <n v="2016.81"/>
    <n v="1956530"/>
    <n v="2173.9222222222224"/>
    <m/>
    <m/>
    <n v="0"/>
    <n v="0"/>
    <m/>
    <m/>
    <m/>
    <m/>
    <m/>
    <m/>
    <m/>
    <m/>
    <n v="0"/>
    <n v="0"/>
    <n v="0"/>
    <n v="0"/>
    <n v="39761.176666666666"/>
    <n v="38775.955555555556"/>
  </r>
  <r>
    <x v="13"/>
    <s v="Kilgore College "/>
    <s v="Met the criteria for Two-Year 2 in 2013-14."/>
    <n v="226019"/>
    <x v="6"/>
    <s v="sem"/>
    <m/>
    <n v="59183"/>
    <n v="55586"/>
    <n v="9925"/>
    <n v="9588"/>
    <n v="4662"/>
    <n v="4715"/>
    <n v="59315"/>
    <n v="56543"/>
    <n v="133085"/>
    <n v="4436.166666666667"/>
    <n v="126432"/>
    <n v="4214.3999999999996"/>
    <n v="12147"/>
    <n v="10455"/>
    <n v="133085"/>
    <n v="126432"/>
    <n v="140614"/>
    <n v="135319"/>
    <n v="142264"/>
    <n v="139854"/>
    <n v="140561"/>
    <n v="158078"/>
    <n v="123321"/>
    <n v="142899"/>
    <n v="546760"/>
    <n v="607.51111111111106"/>
    <n v="576150"/>
    <n v="640.16666666666663"/>
    <m/>
    <m/>
    <n v="0"/>
    <n v="0"/>
    <m/>
    <m/>
    <m/>
    <m/>
    <m/>
    <m/>
    <m/>
    <m/>
    <n v="0"/>
    <n v="0"/>
    <n v="0"/>
    <n v="0"/>
    <n v="5043.6777777777779"/>
    <n v="4854.5666666666666"/>
  </r>
  <r>
    <x v="13"/>
    <s v="Laredo Community College "/>
    <m/>
    <n v="226134"/>
    <x v="6"/>
    <s v="sem"/>
    <m/>
    <n v="78062"/>
    <n v="72757"/>
    <n v="14802"/>
    <n v="13630"/>
    <n v="5888"/>
    <n v="5087"/>
    <n v="80078"/>
    <n v="74649"/>
    <n v="178830"/>
    <n v="5961"/>
    <n v="166123"/>
    <n v="5537.4333333333334"/>
    <n v="6203"/>
    <n v="6500"/>
    <n v="178830"/>
    <n v="166123"/>
    <n v="6814"/>
    <n v="11214"/>
    <n v="20380"/>
    <n v="18398"/>
    <n v="25910"/>
    <n v="20344"/>
    <n v="14670"/>
    <n v="12760"/>
    <n v="67774"/>
    <n v="75.304444444444442"/>
    <n v="62716"/>
    <n v="69.684444444444438"/>
    <m/>
    <m/>
    <n v="0"/>
    <n v="0"/>
    <m/>
    <m/>
    <m/>
    <m/>
    <m/>
    <m/>
    <m/>
    <m/>
    <n v="0"/>
    <n v="0"/>
    <n v="0"/>
    <n v="0"/>
    <n v="6036.304444444444"/>
    <n v="5607.1177777777775"/>
  </r>
  <r>
    <x v="13"/>
    <s v="Lone Star College System District"/>
    <m/>
    <n v="227182"/>
    <x v="6"/>
    <s v="sem"/>
    <m/>
    <n v="511892"/>
    <n v="517772"/>
    <n v="236690"/>
    <n v="237095"/>
    <n v="0"/>
    <n v="0"/>
    <n v="480347"/>
    <n v="479670"/>
    <n v="1228929"/>
    <n v="40964.300000000003"/>
    <n v="1234537"/>
    <n v="41151.23333333333"/>
    <n v="48881"/>
    <n v="74001"/>
    <n v="1228929"/>
    <n v="1234537"/>
    <n v="121269"/>
    <n v="113152"/>
    <n v="118951"/>
    <n v="128070"/>
    <n v="119810"/>
    <n v="116483"/>
    <n v="166108"/>
    <n v="158195"/>
    <n v="526138"/>
    <n v="584.59777777777776"/>
    <n v="515900"/>
    <n v="573.22222222222217"/>
    <m/>
    <m/>
    <n v="0"/>
    <n v="0"/>
    <m/>
    <m/>
    <m/>
    <m/>
    <m/>
    <m/>
    <m/>
    <m/>
    <n v="0"/>
    <n v="0"/>
    <n v="0"/>
    <n v="0"/>
    <n v="41548.897777777784"/>
    <n v="41724.455555555549"/>
  </r>
  <r>
    <x v="13"/>
    <s v="McLennan Community College "/>
    <m/>
    <n v="226578"/>
    <x v="6"/>
    <s v="sem"/>
    <m/>
    <n v="90152"/>
    <n v="84266"/>
    <n v="19460"/>
    <n v="17576"/>
    <n v="10768"/>
    <n v="10112"/>
    <n v="86885"/>
    <n v="80302"/>
    <n v="207265"/>
    <n v="6908.833333333333"/>
    <n v="192256"/>
    <n v="6408.5333333333338"/>
    <n v="9733"/>
    <n v="9491"/>
    <n v="207265"/>
    <n v="192256"/>
    <n v="49034"/>
    <n v="50478"/>
    <n v="51392"/>
    <n v="50081"/>
    <n v="72977"/>
    <n v="51839"/>
    <n v="44422"/>
    <n v="43791"/>
    <n v="217825"/>
    <n v="242.02777777777777"/>
    <n v="196189"/>
    <n v="217.98777777777778"/>
    <m/>
    <m/>
    <n v="0"/>
    <n v="0"/>
    <m/>
    <m/>
    <m/>
    <m/>
    <m/>
    <m/>
    <m/>
    <m/>
    <n v="0"/>
    <n v="0"/>
    <n v="0"/>
    <n v="0"/>
    <n v="7150.8611111111104"/>
    <n v="6626.5211111111112"/>
  </r>
  <r>
    <x v="13"/>
    <s v="Navarro College "/>
    <m/>
    <n v="227146"/>
    <x v="6"/>
    <s v="sem"/>
    <m/>
    <n v="101572"/>
    <n v="97795"/>
    <n v="23289"/>
    <n v="22002"/>
    <n v="9080"/>
    <n v="7570"/>
    <n v="99348"/>
    <n v="97965"/>
    <n v="233289"/>
    <n v="7776.3"/>
    <n v="225332"/>
    <n v="7511.0666666666666"/>
    <n v="26597"/>
    <n v="29816"/>
    <n v="233289"/>
    <n v="225332"/>
    <n v="46726"/>
    <n v="68680"/>
    <n v="72024"/>
    <n v="57129"/>
    <n v="64505"/>
    <n v="49566"/>
    <n v="79863"/>
    <n v="65147"/>
    <n v="263118"/>
    <n v="292.35333333333335"/>
    <n v="240522"/>
    <n v="267.24666666666667"/>
    <m/>
    <m/>
    <n v="0"/>
    <n v="0"/>
    <m/>
    <m/>
    <m/>
    <m/>
    <m/>
    <m/>
    <m/>
    <m/>
    <n v="0"/>
    <n v="0"/>
    <n v="0"/>
    <n v="0"/>
    <n v="8068.6533333333336"/>
    <n v="7778.3133333333335"/>
  </r>
  <r>
    <x v="13"/>
    <s v="North Central Texas Community College"/>
    <m/>
    <n v="224110"/>
    <x v="6"/>
    <s v="sem"/>
    <m/>
    <n v="80726"/>
    <n v="80733"/>
    <n v="24769"/>
    <n v="25368"/>
    <n v="0"/>
    <n v="0"/>
    <n v="87239"/>
    <n v="86885"/>
    <n v="192734"/>
    <n v="6424.4666666666662"/>
    <n v="192986"/>
    <n v="6432.8666666666668"/>
    <n v="12525"/>
    <n v="17014"/>
    <n v="192734"/>
    <n v="192986"/>
    <n v="17217"/>
    <n v="39314"/>
    <n v="21205"/>
    <n v="20224"/>
    <n v="20657"/>
    <n v="20710"/>
    <n v="40881"/>
    <n v="33738"/>
    <n v="99960"/>
    <n v="111.06666666666666"/>
    <n v="113986"/>
    <n v="126.65111111111111"/>
    <m/>
    <m/>
    <n v="0"/>
    <n v="0"/>
    <m/>
    <m/>
    <m/>
    <m/>
    <m/>
    <m/>
    <m/>
    <m/>
    <n v="0"/>
    <n v="0"/>
    <n v="0"/>
    <n v="0"/>
    <n v="6535.5333333333328"/>
    <n v="6559.5177777777781"/>
  </r>
  <r>
    <x v="13"/>
    <s v="North Lake College  (DCCCD)"/>
    <m/>
    <n v="227191"/>
    <x v="6"/>
    <s v="sem"/>
    <m/>
    <n v="72889"/>
    <n v="64983"/>
    <n v="35796"/>
    <n v="43827"/>
    <n v="0"/>
    <n v="0"/>
    <n v="71114"/>
    <n v="62733"/>
    <n v="179799"/>
    <n v="5993.3"/>
    <n v="171543"/>
    <n v="5718.1"/>
    <n v="9722"/>
    <n v="12367"/>
    <n v="179799"/>
    <n v="171543"/>
    <n v="133032"/>
    <n v="135050"/>
    <n v="65133"/>
    <n v="80813"/>
    <n v="55494"/>
    <n v="71043"/>
    <n v="151571"/>
    <n v="168914"/>
    <n v="405230"/>
    <n v="450.25555555555553"/>
    <n v="455820"/>
    <n v="506.46666666666664"/>
    <m/>
    <m/>
    <n v="0"/>
    <n v="0"/>
    <m/>
    <m/>
    <m/>
    <m/>
    <m/>
    <m/>
    <m/>
    <m/>
    <n v="0"/>
    <n v="0"/>
    <n v="0"/>
    <n v="0"/>
    <n v="6443.5555555555557"/>
    <n v="6224.5666666666666"/>
  </r>
  <r>
    <x v="13"/>
    <s v="Northwest Vista College (ACCD)"/>
    <m/>
    <n v="420398"/>
    <x v="6"/>
    <s v="sem"/>
    <m/>
    <n v="122533"/>
    <n v="123873"/>
    <n v="42781"/>
    <n v="40868"/>
    <n v="0"/>
    <n v="0"/>
    <n v="121878"/>
    <n v="119695"/>
    <n v="287192"/>
    <n v="9573.0666666666675"/>
    <n v="284436"/>
    <n v="9481.2000000000007"/>
    <n v="24258"/>
    <n v="25404"/>
    <n v="287192"/>
    <n v="284436"/>
    <n v="13092"/>
    <n v="15670"/>
    <n v="19632"/>
    <n v="17517"/>
    <n v="18354"/>
    <n v="16871"/>
    <n v="17577"/>
    <n v="21536"/>
    <n v="68655"/>
    <n v="76.283333333333331"/>
    <n v="71594"/>
    <n v="79.548888888888882"/>
    <m/>
    <m/>
    <n v="0"/>
    <n v="0"/>
    <m/>
    <m/>
    <m/>
    <m/>
    <m/>
    <m/>
    <m/>
    <m/>
    <n v="0"/>
    <n v="0"/>
    <n v="0"/>
    <n v="0"/>
    <n v="9649.35"/>
    <n v="9560.7488888888893"/>
  </r>
  <r>
    <x v="13"/>
    <s v="Palo Alto College  (ACCD)"/>
    <m/>
    <n v="246354"/>
    <x v="6"/>
    <s v="sem"/>
    <m/>
    <n v="61712"/>
    <n v="64572"/>
    <n v="29720"/>
    <n v="27573"/>
    <n v="0"/>
    <n v="0"/>
    <n v="56232"/>
    <n v="55274"/>
    <n v="147664"/>
    <n v="4922.1333333333332"/>
    <n v="147419"/>
    <n v="4913.9666666666662"/>
    <n v="17812"/>
    <n v="15090"/>
    <n v="147664"/>
    <n v="147419"/>
    <n v="29867"/>
    <n v="39539"/>
    <n v="43861"/>
    <n v="37327"/>
    <n v="38685"/>
    <n v="48149"/>
    <n v="39770"/>
    <n v="34110"/>
    <n v="152183"/>
    <n v="169.09222222222223"/>
    <n v="159125"/>
    <n v="176.80555555555554"/>
    <m/>
    <m/>
    <n v="0"/>
    <n v="0"/>
    <m/>
    <m/>
    <m/>
    <m/>
    <m/>
    <m/>
    <m/>
    <m/>
    <n v="0"/>
    <n v="0"/>
    <n v="0"/>
    <n v="0"/>
    <n v="5091.2255555555557"/>
    <n v="5090.7722222222219"/>
  </r>
  <r>
    <x v="13"/>
    <s v="Richland College  (DCCCD)"/>
    <m/>
    <n v="227766"/>
    <x v="6"/>
    <s v="sem"/>
    <m/>
    <n v="138926"/>
    <n v="136612"/>
    <n v="74330"/>
    <n v="75474"/>
    <n v="0"/>
    <n v="0"/>
    <n v="121579"/>
    <n v="114678"/>
    <n v="334835"/>
    <n v="11161.166666666666"/>
    <n v="326764"/>
    <n v="10892.133333333333"/>
    <n v="28511"/>
    <n v="33864"/>
    <n v="334835"/>
    <n v="326764"/>
    <n v="145147"/>
    <n v="130188"/>
    <n v="159561"/>
    <n v="148606"/>
    <n v="149706"/>
    <n v="133178"/>
    <n v="187345"/>
    <n v="196034"/>
    <n v="641759"/>
    <n v="713.06555555555553"/>
    <n v="608006"/>
    <n v="675.5622222222222"/>
    <m/>
    <m/>
    <n v="0"/>
    <n v="0"/>
    <m/>
    <m/>
    <m/>
    <m/>
    <m/>
    <m/>
    <m/>
    <m/>
    <n v="0"/>
    <n v="0"/>
    <n v="0"/>
    <n v="0"/>
    <n v="11874.232222222221"/>
    <n v="11567.695555555556"/>
  </r>
  <r>
    <x v="13"/>
    <s v="San Antonio College (ACCD)"/>
    <m/>
    <n v="227924"/>
    <x v="6"/>
    <s v="sem"/>
    <m/>
    <n v="194741"/>
    <n v="195941"/>
    <n v="80080"/>
    <n v="76263"/>
    <n v="0"/>
    <n v="0"/>
    <n v="173733"/>
    <n v="171271"/>
    <n v="448554"/>
    <n v="14951.8"/>
    <n v="443475"/>
    <n v="14782.5"/>
    <n v="24660"/>
    <n v="25330"/>
    <n v="448554"/>
    <n v="443475"/>
    <n v="60485"/>
    <n v="45880"/>
    <n v="68378"/>
    <n v="62285"/>
    <n v="61839"/>
    <n v="71183"/>
    <n v="67474"/>
    <n v="61138"/>
    <n v="258176"/>
    <n v="286.86222222222221"/>
    <n v="240486"/>
    <n v="267.20666666666665"/>
    <m/>
    <m/>
    <n v="0"/>
    <n v="0"/>
    <m/>
    <m/>
    <m/>
    <m/>
    <m/>
    <m/>
    <m/>
    <m/>
    <n v="0"/>
    <n v="0"/>
    <n v="0"/>
    <n v="0"/>
    <n v="15238.662222222221"/>
    <n v="15049.706666666667"/>
  </r>
  <r>
    <x v="13"/>
    <s v="San Jacinto College"/>
    <m/>
    <n v="227979"/>
    <x v="6"/>
    <s v="sem"/>
    <m/>
    <n v="243654"/>
    <n v="235501"/>
    <n v="97992"/>
    <n v="99158"/>
    <n v="0"/>
    <n v="0"/>
    <n v="239886"/>
    <n v="230770"/>
    <n v="581532"/>
    <n v="19384.400000000001"/>
    <n v="565429"/>
    <n v="18847.633333333335"/>
    <n v="27542"/>
    <n v="26861"/>
    <n v="581532"/>
    <n v="565429"/>
    <n v="114638"/>
    <n v="93931"/>
    <n v="87047"/>
    <n v="69792"/>
    <n v="107091"/>
    <n v="94718"/>
    <n v="125221"/>
    <n v="113029"/>
    <n v="433997"/>
    <n v="482.2188888888889"/>
    <n v="371470"/>
    <n v="412.74444444444447"/>
    <m/>
    <m/>
    <n v="0"/>
    <n v="0"/>
    <m/>
    <m/>
    <m/>
    <m/>
    <m/>
    <m/>
    <m/>
    <m/>
    <n v="0"/>
    <n v="0"/>
    <n v="0"/>
    <n v="0"/>
    <n v="19866.61888888889"/>
    <n v="19260.37777777778"/>
  </r>
  <r>
    <x v="13"/>
    <s v="South Plains College "/>
    <m/>
    <n v="228158"/>
    <x v="6"/>
    <s v="sem"/>
    <m/>
    <n v="92667"/>
    <n v="91278"/>
    <n v="13135"/>
    <n v="14270"/>
    <n v="6727"/>
    <n v="6891"/>
    <n v="93993"/>
    <n v="92205"/>
    <n v="206522"/>
    <n v="6884.0666666666666"/>
    <n v="204644"/>
    <n v="6821.4666666666662"/>
    <n v="20797"/>
    <n v="19437"/>
    <n v="206522"/>
    <n v="204644"/>
    <n v="46052"/>
    <n v="41431"/>
    <n v="41812"/>
    <n v="61601"/>
    <n v="36285"/>
    <n v="50717"/>
    <n v="47490"/>
    <n v="60595"/>
    <n v="171639"/>
    <n v="190.71"/>
    <n v="214344"/>
    <n v="238.16"/>
    <m/>
    <m/>
    <n v="0"/>
    <n v="0"/>
    <m/>
    <m/>
    <m/>
    <m/>
    <m/>
    <m/>
    <m/>
    <m/>
    <n v="0"/>
    <n v="0"/>
    <n v="0"/>
    <n v="0"/>
    <n v="7074.7766666666666"/>
    <n v="7059.6266666666661"/>
  </r>
  <r>
    <x v="13"/>
    <s v="St. Philip's College  (ACCD)"/>
    <m/>
    <n v="227854"/>
    <x v="6"/>
    <s v="sem"/>
    <m/>
    <n v="79277"/>
    <n v="77918"/>
    <n v="32230"/>
    <n v="30661"/>
    <n v="0"/>
    <n v="0"/>
    <n v="67797"/>
    <n v="67934"/>
    <n v="179304"/>
    <n v="5976.8"/>
    <n v="176513"/>
    <n v="5883.7666666666664"/>
    <n v="17143"/>
    <n v="18965"/>
    <n v="179304"/>
    <n v="176513"/>
    <n v="27776"/>
    <n v="28622"/>
    <n v="23397"/>
    <n v="30335"/>
    <n v="24089"/>
    <n v="23616"/>
    <n v="27828"/>
    <n v="29017"/>
    <n v="103090"/>
    <n v="114.54444444444445"/>
    <n v="111590"/>
    <n v="123.98888888888889"/>
    <m/>
    <m/>
    <n v="0"/>
    <n v="0"/>
    <m/>
    <m/>
    <m/>
    <m/>
    <m/>
    <m/>
    <m/>
    <m/>
    <n v="0"/>
    <n v="0"/>
    <n v="0"/>
    <n v="0"/>
    <n v="6091.3444444444449"/>
    <n v="6007.7555555555555"/>
  </r>
  <r>
    <x v="13"/>
    <s v="Tarrant County College"/>
    <m/>
    <n v="228547"/>
    <x v="6"/>
    <s v="sem"/>
    <m/>
    <n v="412815"/>
    <n v="404550"/>
    <n v="184871"/>
    <n v="210276"/>
    <n v="0"/>
    <n v="0"/>
    <n v="375569"/>
    <n v="378451"/>
    <n v="973255"/>
    <n v="32441.833333333332"/>
    <n v="993277"/>
    <n v="33109.23333333333"/>
    <n v="43245"/>
    <n v="50699"/>
    <n v="973255"/>
    <n v="993277"/>
    <n v="183936"/>
    <n v="191405"/>
    <n v="212788"/>
    <n v="191310"/>
    <n v="201120"/>
    <n v="169659"/>
    <n v="203654"/>
    <n v="202575"/>
    <n v="801498"/>
    <n v="890.55333333333328"/>
    <n v="754949"/>
    <n v="838.83222222222219"/>
    <m/>
    <m/>
    <n v="0"/>
    <n v="0"/>
    <m/>
    <m/>
    <m/>
    <m/>
    <m/>
    <m/>
    <m/>
    <m/>
    <n v="0"/>
    <n v="0"/>
    <n v="0"/>
    <n v="0"/>
    <n v="33332.386666666665"/>
    <n v="33948.06555555555"/>
  </r>
  <r>
    <x v="13"/>
    <s v="Texas Southmost College "/>
    <s v="Met the criteria for Two-Year 2 in 2012-13 and 2013-14."/>
    <n v="229072"/>
    <x v="6"/>
    <s v="sem"/>
    <m/>
    <n v="83414"/>
    <n v="32068"/>
    <n v="3474"/>
    <n v="2470"/>
    <n v="2468"/>
    <n v="1445"/>
    <n v="47676"/>
    <n v="31102"/>
    <n v="137032"/>
    <n v="4567.7333333333336"/>
    <n v="67085"/>
    <n v="2236.1666666666665"/>
    <n v="11532"/>
    <n v="7965"/>
    <n v="137032"/>
    <n v="67085"/>
    <n v="23955"/>
    <n v="30650"/>
    <n v="19478"/>
    <n v="21432"/>
    <n v="24460"/>
    <n v="28718"/>
    <n v="34328"/>
    <n v="16992"/>
    <n v="102221"/>
    <n v="113.57888888888888"/>
    <n v="97792"/>
    <n v="108.65777777777778"/>
    <m/>
    <m/>
    <n v="0"/>
    <n v="0"/>
    <m/>
    <m/>
    <m/>
    <m/>
    <m/>
    <m/>
    <m/>
    <m/>
    <n v="0"/>
    <n v="0"/>
    <n v="0"/>
    <n v="0"/>
    <n v="4681.3122222222228"/>
    <n v="2344.8244444444445"/>
  </r>
  <r>
    <x v="13"/>
    <s v="Texas State Technical College-Waco"/>
    <s v="Met the criteria for Two-Year 2 in 2012-13 and 2013-14."/>
    <n v="228680"/>
    <x v="6"/>
    <s v="sem"/>
    <m/>
    <n v="51230"/>
    <n v="44130"/>
    <n v="33936"/>
    <n v="30969"/>
    <m/>
    <m/>
    <n v="49739"/>
    <n v="45571"/>
    <n v="134905"/>
    <n v="4496.833333333333"/>
    <n v="120670"/>
    <n v="4022.3333333333335"/>
    <n v="4021"/>
    <n v="1856"/>
    <n v="134905"/>
    <n v="120670"/>
    <n v="868"/>
    <n v="1152"/>
    <n v="0"/>
    <n v="0"/>
    <n v="0"/>
    <n v="0"/>
    <n v="0"/>
    <n v="0"/>
    <n v="868"/>
    <n v="0.96444444444444444"/>
    <n v="1152"/>
    <n v="1.28"/>
    <m/>
    <m/>
    <n v="0"/>
    <n v="0"/>
    <m/>
    <m/>
    <m/>
    <m/>
    <m/>
    <m/>
    <m/>
    <m/>
    <n v="0"/>
    <n v="0"/>
    <n v="0"/>
    <n v="0"/>
    <n v="4497.7977777777778"/>
    <n v="4023.6133333333337"/>
  </r>
  <r>
    <x v="13"/>
    <s v="Trinity Valley Community College"/>
    <m/>
    <n v="225308"/>
    <x v="6"/>
    <s v="sem"/>
    <m/>
    <n v="64060"/>
    <n v="65017"/>
    <n v="13908"/>
    <n v="13135"/>
    <n v="11849"/>
    <n v="12263"/>
    <n v="66918"/>
    <n v="65453"/>
    <n v="156735"/>
    <n v="5224.5"/>
    <n v="155868"/>
    <n v="5195.6000000000004"/>
    <n v="15539"/>
    <n v="16644"/>
    <n v="156735"/>
    <n v="155868"/>
    <n v="57548"/>
    <n v="52696"/>
    <n v="62064"/>
    <n v="45763"/>
    <n v="55031"/>
    <n v="58932"/>
    <n v="73990"/>
    <n v="74418"/>
    <n v="248633"/>
    <n v="276.25888888888886"/>
    <n v="231809"/>
    <n v="257.56555555555553"/>
    <m/>
    <m/>
    <n v="0"/>
    <n v="0"/>
    <m/>
    <m/>
    <m/>
    <m/>
    <m/>
    <m/>
    <m/>
    <m/>
    <n v="0"/>
    <n v="0"/>
    <n v="0"/>
    <n v="0"/>
    <n v="5500.7588888888886"/>
    <n v="5453.1655555555562"/>
  </r>
  <r>
    <x v="13"/>
    <s v="Tyler Junior College "/>
    <m/>
    <n v="229355"/>
    <x v="6"/>
    <s v="sem"/>
    <m/>
    <n v="102619"/>
    <n v="103442"/>
    <n v="25907"/>
    <n v="26269"/>
    <n v="7572"/>
    <n v="7588"/>
    <n v="103382"/>
    <n v="102536"/>
    <n v="239480"/>
    <n v="7982.666666666667"/>
    <n v="239835"/>
    <n v="7994.5"/>
    <n v="8381"/>
    <n v="16164"/>
    <n v="239480"/>
    <n v="239835"/>
    <n v="57762"/>
    <n v="56760"/>
    <n v="66862"/>
    <n v="78507"/>
    <n v="69153"/>
    <n v="63166"/>
    <n v="78968"/>
    <n v="92585"/>
    <n v="272745"/>
    <n v="303.05"/>
    <n v="291018"/>
    <n v="323.35333333333335"/>
    <m/>
    <m/>
    <n v="0"/>
    <n v="0"/>
    <m/>
    <m/>
    <m/>
    <m/>
    <m/>
    <m/>
    <m/>
    <m/>
    <n v="0"/>
    <n v="0"/>
    <n v="0"/>
    <n v="0"/>
    <n v="8285.7166666666672"/>
    <n v="8317.8533333333326"/>
  </r>
  <r>
    <x v="13"/>
    <s v="Alvin Community College "/>
    <m/>
    <n v="222567"/>
    <x v="7"/>
    <s v="sem"/>
    <m/>
    <n v="42179"/>
    <n v="39990"/>
    <n v="16911"/>
    <n v="17076"/>
    <n v="0"/>
    <n v="0"/>
    <n v="42695"/>
    <n v="42494"/>
    <n v="101785"/>
    <n v="3392.8333333333335"/>
    <n v="99560"/>
    <n v="3318.6666666666665"/>
    <n v="11508"/>
    <n v="14847"/>
    <n v="101785"/>
    <n v="99560"/>
    <n v="19831"/>
    <n v="18446"/>
    <n v="25324"/>
    <n v="18449"/>
    <n v="26131"/>
    <n v="21847"/>
    <n v="23439"/>
    <n v="32351"/>
    <n v="94725"/>
    <n v="105.25"/>
    <n v="91093"/>
    <n v="101.21444444444444"/>
    <m/>
    <m/>
    <n v="0"/>
    <n v="0"/>
    <m/>
    <m/>
    <m/>
    <m/>
    <m/>
    <m/>
    <m/>
    <m/>
    <n v="0"/>
    <n v="0"/>
    <n v="0"/>
    <n v="0"/>
    <n v="3498.0833333333335"/>
    <n v="3419.8811111111108"/>
  </r>
  <r>
    <x v="13"/>
    <s v="Angelina College "/>
    <m/>
    <n v="222822"/>
    <x v="7"/>
    <s v="sem"/>
    <m/>
    <n v="45965"/>
    <n v="42876"/>
    <n v="8750"/>
    <n v="8513"/>
    <n v="4132"/>
    <n v="3831"/>
    <n v="47271"/>
    <n v="48373"/>
    <n v="106118"/>
    <n v="3537.2666666666669"/>
    <n v="103593"/>
    <n v="3453.1"/>
    <n v="12958"/>
    <n v="14416"/>
    <n v="106118"/>
    <n v="103593"/>
    <n v="70202"/>
    <n v="80926"/>
    <n v="34791"/>
    <n v="33446"/>
    <n v="75173"/>
    <n v="77163"/>
    <n v="31650"/>
    <n v="38158"/>
    <n v="211816"/>
    <n v="235.35111111111112"/>
    <n v="229693"/>
    <n v="255.21444444444444"/>
    <m/>
    <m/>
    <n v="0"/>
    <n v="0"/>
    <m/>
    <m/>
    <m/>
    <m/>
    <m/>
    <m/>
    <m/>
    <m/>
    <n v="0"/>
    <n v="0"/>
    <n v="0"/>
    <n v="0"/>
    <n v="3772.617777777778"/>
    <n v="3708.3144444444442"/>
  </r>
  <r>
    <x v="13"/>
    <s v="Cedar Valley College  (DCCCD)"/>
    <m/>
    <n v="223773"/>
    <x v="7"/>
    <s v="sem"/>
    <m/>
    <n v="40766"/>
    <n v="41691"/>
    <n v="21245"/>
    <n v="23220"/>
    <n v="0"/>
    <n v="0"/>
    <n v="39274"/>
    <n v="36815"/>
    <n v="101285"/>
    <n v="3376.1666666666665"/>
    <n v="101726"/>
    <n v="3390.8666666666668"/>
    <n v="10858"/>
    <n v="11575"/>
    <n v="101285"/>
    <n v="101726"/>
    <n v="40669"/>
    <n v="40893"/>
    <n v="56103"/>
    <n v="44000"/>
    <n v="57375"/>
    <n v="29347"/>
    <n v="47897"/>
    <n v="38976"/>
    <n v="202044"/>
    <n v="224.49333333333334"/>
    <n v="153216"/>
    <n v="170.24"/>
    <m/>
    <m/>
    <n v="0"/>
    <n v="0"/>
    <m/>
    <m/>
    <m/>
    <m/>
    <m/>
    <m/>
    <m/>
    <m/>
    <n v="0"/>
    <n v="0"/>
    <n v="0"/>
    <n v="0"/>
    <n v="3600.66"/>
    <n v="3561.1066666666666"/>
  </r>
  <r>
    <x v="13"/>
    <s v="Cisco Junior College"/>
    <m/>
    <n v="223898"/>
    <x v="7"/>
    <s v="sem"/>
    <m/>
    <n v="38904"/>
    <n v="34024"/>
    <n v="6020"/>
    <n v="6533"/>
    <n v="2242"/>
    <n v="1923"/>
    <n v="36793"/>
    <n v="33633"/>
    <n v="83959"/>
    <n v="2798.6333333333332"/>
    <n v="76113"/>
    <n v="2537.1"/>
    <n v="6498"/>
    <n v="7313"/>
    <n v="83959"/>
    <n v="76113"/>
    <n v="1730"/>
    <n v="3388"/>
    <n v="9240"/>
    <n v="2938"/>
    <n v="3346"/>
    <n v="0"/>
    <n v="8064"/>
    <n v="252"/>
    <n v="22380"/>
    <n v="24.866666666666667"/>
    <n v="6578"/>
    <n v="7.3088888888888892"/>
    <m/>
    <m/>
    <n v="0"/>
    <n v="0"/>
    <m/>
    <m/>
    <m/>
    <m/>
    <m/>
    <m/>
    <m/>
    <m/>
    <n v="0"/>
    <n v="0"/>
    <n v="0"/>
    <n v="0"/>
    <n v="2823.5"/>
    <n v="2544.4088888888887"/>
  </r>
  <r>
    <x v="13"/>
    <s v="Coastal Bend College"/>
    <m/>
    <n v="223320"/>
    <x v="7"/>
    <s v="sem"/>
    <m/>
    <n v="30336"/>
    <n v="29244"/>
    <n v="7661"/>
    <n v="7407"/>
    <n v="2389"/>
    <n v="2069"/>
    <n v="30488"/>
    <n v="30202"/>
    <n v="70874"/>
    <n v="2362.4666666666667"/>
    <n v="68922"/>
    <n v="2297.4"/>
    <n v="15334"/>
    <n v="11536"/>
    <n v="70874"/>
    <n v="68922"/>
    <n v="65541"/>
    <n v="45567"/>
    <n v="91375"/>
    <n v="72208"/>
    <n v="86943"/>
    <n v="76745"/>
    <n v="52579"/>
    <n v="39723"/>
    <n v="296438"/>
    <n v="329.37555555555554"/>
    <n v="234243"/>
    <n v="260.27"/>
    <m/>
    <m/>
    <n v="0"/>
    <n v="0"/>
    <m/>
    <m/>
    <m/>
    <m/>
    <m/>
    <m/>
    <m/>
    <m/>
    <n v="0"/>
    <n v="0"/>
    <n v="0"/>
    <n v="0"/>
    <n v="2691.8422222222221"/>
    <n v="2557.67"/>
  </r>
  <r>
    <x v="13"/>
    <s v="College of the Mainland"/>
    <m/>
    <n v="226408"/>
    <x v="7"/>
    <s v="sem"/>
    <m/>
    <n v="34440"/>
    <n v="34589"/>
    <n v="9005"/>
    <n v="9194"/>
    <n v="6715"/>
    <n v="6548"/>
    <n v="32222"/>
    <n v="33692"/>
    <n v="82382"/>
    <n v="2746.0666666666666"/>
    <n v="84023"/>
    <n v="2800.7666666666669"/>
    <n v="9708"/>
    <n v="12272"/>
    <n v="82382"/>
    <n v="84023"/>
    <n v="46303"/>
    <n v="33857"/>
    <n v="29761"/>
    <n v="34661"/>
    <n v="42814"/>
    <n v="37751"/>
    <n v="38606"/>
    <n v="34604"/>
    <n v="157484"/>
    <n v="174.98222222222222"/>
    <n v="140873"/>
    <n v="156.52555555555554"/>
    <m/>
    <m/>
    <n v="0"/>
    <n v="0"/>
    <m/>
    <m/>
    <m/>
    <m/>
    <m/>
    <m/>
    <m/>
    <m/>
    <n v="0"/>
    <n v="0"/>
    <n v="0"/>
    <n v="0"/>
    <n v="2921.048888888889"/>
    <n v="2957.2922222222223"/>
  </r>
  <r>
    <x v="13"/>
    <s v="Grayson County College "/>
    <m/>
    <n v="225070"/>
    <x v="7"/>
    <s v="sem"/>
    <m/>
    <n v="47270"/>
    <n v="45245"/>
    <n v="9020"/>
    <n v="8716"/>
    <n v="3864"/>
    <n v="3285"/>
    <n v="45327"/>
    <n v="46773"/>
    <n v="105481"/>
    <n v="3516.0333333333333"/>
    <n v="104019"/>
    <n v="3467.3"/>
    <n v="6124"/>
    <n v="6418"/>
    <n v="105481"/>
    <n v="104019"/>
    <n v="30536"/>
    <n v="16341"/>
    <n v="19752"/>
    <n v="14243"/>
    <n v="27717"/>
    <n v="17524"/>
    <n v="13882"/>
    <n v="13093"/>
    <n v="91887"/>
    <n v="102.09666666666666"/>
    <n v="61201"/>
    <n v="68.001111111111115"/>
    <m/>
    <m/>
    <n v="0"/>
    <n v="0"/>
    <m/>
    <m/>
    <m/>
    <m/>
    <m/>
    <m/>
    <m/>
    <m/>
    <n v="0"/>
    <n v="0"/>
    <n v="0"/>
    <n v="0"/>
    <n v="3618.13"/>
    <n v="3535.3011111111114"/>
  </r>
  <r>
    <x v="13"/>
    <s v="Hill College"/>
    <m/>
    <n v="225371"/>
    <x v="7"/>
    <s v="sem"/>
    <m/>
    <n v="40589"/>
    <n v="42117"/>
    <n v="11042"/>
    <n v="10748"/>
    <n v="2570"/>
    <n v="2481"/>
    <n v="39595"/>
    <n v="40135"/>
    <n v="93796"/>
    <n v="3126.5333333333333"/>
    <n v="95481"/>
    <n v="3182.7"/>
    <n v="9460"/>
    <n v="9983"/>
    <n v="93796"/>
    <n v="95481"/>
    <n v="22341"/>
    <n v="15994"/>
    <n v="16733"/>
    <n v="6392"/>
    <n v="15767"/>
    <n v="8718"/>
    <n v="19476"/>
    <n v="12301"/>
    <n v="74317"/>
    <n v="82.574444444444438"/>
    <n v="43405"/>
    <n v="48.227777777777774"/>
    <m/>
    <m/>
    <n v="0"/>
    <n v="0"/>
    <m/>
    <m/>
    <m/>
    <m/>
    <m/>
    <m/>
    <m/>
    <m/>
    <n v="0"/>
    <n v="0"/>
    <n v="0"/>
    <n v="0"/>
    <n v="3209.1077777777778"/>
    <n v="3230.9277777777775"/>
  </r>
  <r>
    <x v="13"/>
    <s v="Howard College (HCJCD)"/>
    <m/>
    <n v="225520"/>
    <x v="7"/>
    <s v="sem"/>
    <m/>
    <n v="36024"/>
    <n v="33447"/>
    <n v="6073"/>
    <n v="4869"/>
    <n v="2414"/>
    <n v="1850"/>
    <n v="36339"/>
    <n v="32035"/>
    <n v="80850"/>
    <n v="2695"/>
    <n v="72201"/>
    <n v="2406.6999999999998"/>
    <n v="15363"/>
    <n v="15529"/>
    <n v="80850"/>
    <n v="72201"/>
    <n v="152001"/>
    <n v="144936"/>
    <n v="158222"/>
    <n v="179106"/>
    <n v="172275"/>
    <n v="158654"/>
    <n v="156967"/>
    <n v="166090"/>
    <n v="639465"/>
    <n v="710.51666666666665"/>
    <n v="648786"/>
    <n v="720.87333333333333"/>
    <m/>
    <m/>
    <n v="0"/>
    <n v="0"/>
    <m/>
    <m/>
    <m/>
    <m/>
    <m/>
    <m/>
    <m/>
    <m/>
    <n v="0"/>
    <n v="0"/>
    <n v="0"/>
    <n v="0"/>
    <n v="3405.5166666666664"/>
    <n v="3127.5733333333333"/>
  </r>
  <r>
    <x v="13"/>
    <s v="Lamar Institute of Technology"/>
    <m/>
    <n v="441760"/>
    <x v="7"/>
    <s v="sem"/>
    <m/>
    <n v="26870"/>
    <n v="25665"/>
    <n v="2273"/>
    <n v="4392"/>
    <n v="1662"/>
    <n v="0"/>
    <n v="28553"/>
    <n v="27421"/>
    <n v="59358"/>
    <n v="1978.6"/>
    <n v="57478"/>
    <n v="1915.9333333333334"/>
    <n v="1058"/>
    <n v="1848"/>
    <n v="59358"/>
    <n v="57478"/>
    <n v="23149"/>
    <n v="27867"/>
    <n v="26021"/>
    <n v="34349"/>
    <n v="29386"/>
    <n v="34766"/>
    <n v="42880"/>
    <n v="31407"/>
    <n v="121436"/>
    <n v="134.92888888888888"/>
    <n v="128389"/>
    <n v="142.65444444444444"/>
    <m/>
    <m/>
    <n v="0"/>
    <n v="0"/>
    <m/>
    <m/>
    <m/>
    <m/>
    <m/>
    <m/>
    <m/>
    <m/>
    <n v="0"/>
    <n v="0"/>
    <n v="0"/>
    <n v="0"/>
    <n v="2113.528888888889"/>
    <n v="2058.5877777777778"/>
  </r>
  <r>
    <x v="13"/>
    <s v="Lamar State College-Port Arthur"/>
    <m/>
    <n v="226116"/>
    <x v="7"/>
    <s v="sem"/>
    <m/>
    <n v="24987"/>
    <n v="28861"/>
    <n v="8681"/>
    <n v="12076"/>
    <n v="4534"/>
    <n v="3835"/>
    <n v="23547"/>
    <n v="22087"/>
    <n v="61749"/>
    <n v="2058.3000000000002"/>
    <n v="66859"/>
    <n v="2228.6333333333332"/>
    <n v="2051"/>
    <n v="1993"/>
    <n v="61749"/>
    <n v="66859"/>
    <n v="85340"/>
    <n v="73200"/>
    <n v="57968"/>
    <n v="49680"/>
    <n v="85216"/>
    <n v="80236"/>
    <n v="81824"/>
    <n v="80000"/>
    <n v="310348"/>
    <n v="344.83111111111111"/>
    <n v="283116"/>
    <n v="314.57333333333332"/>
    <m/>
    <m/>
    <n v="0"/>
    <n v="0"/>
    <m/>
    <m/>
    <m/>
    <m/>
    <m/>
    <m/>
    <m/>
    <m/>
    <n v="0"/>
    <n v="0"/>
    <n v="0"/>
    <n v="0"/>
    <n v="2403.1311111111113"/>
    <n v="2543.2066666666665"/>
  </r>
  <r>
    <x v="13"/>
    <s v="Lee College "/>
    <m/>
    <n v="226204"/>
    <x v="7"/>
    <s v="sem"/>
    <m/>
    <n v="54138"/>
    <n v="50680"/>
    <n v="20018"/>
    <n v="20797"/>
    <n v="2729"/>
    <n v="2454"/>
    <n v="50018"/>
    <n v="49885"/>
    <n v="126903"/>
    <n v="4230.1000000000004"/>
    <n v="123816"/>
    <n v="4127.2"/>
    <n v="9643"/>
    <n v="11868"/>
    <n v="126903"/>
    <n v="123816"/>
    <n v="20557"/>
    <n v="21350"/>
    <n v="21350"/>
    <n v="14702"/>
    <n v="17850"/>
    <n v="19924"/>
    <n v="26603"/>
    <n v="22679"/>
    <n v="86360"/>
    <n v="95.955555555555549"/>
    <n v="78655"/>
    <n v="87.394444444444446"/>
    <m/>
    <m/>
    <n v="0"/>
    <n v="0"/>
    <m/>
    <m/>
    <m/>
    <m/>
    <m/>
    <m/>
    <m/>
    <m/>
    <n v="0"/>
    <n v="0"/>
    <n v="0"/>
    <n v="0"/>
    <n v="4326.0555555555557"/>
    <n v="4214.594444444444"/>
  </r>
  <r>
    <x v="13"/>
    <s v="Mountain View College  (DCCCD)"/>
    <m/>
    <n v="226930"/>
    <x v="7"/>
    <s v="sem"/>
    <m/>
    <n v="58036"/>
    <n v="56639"/>
    <n v="26299"/>
    <n v="28994"/>
    <n v="0"/>
    <n v="0"/>
    <n v="56870"/>
    <n v="53347"/>
    <n v="141205"/>
    <n v="4706.833333333333"/>
    <n v="138980"/>
    <n v="4632.666666666667"/>
    <n v="9700"/>
    <n v="8911"/>
    <n v="141205"/>
    <n v="138980"/>
    <n v="21474"/>
    <n v="24781"/>
    <n v="34906"/>
    <n v="29198"/>
    <n v="26101"/>
    <n v="40857"/>
    <n v="32599"/>
    <n v="32275"/>
    <n v="115080"/>
    <n v="127.86666666666666"/>
    <n v="127111"/>
    <n v="141.23444444444445"/>
    <m/>
    <m/>
    <n v="0"/>
    <n v="0"/>
    <m/>
    <m/>
    <m/>
    <m/>
    <m/>
    <m/>
    <m/>
    <m/>
    <n v="0"/>
    <n v="0"/>
    <n v="0"/>
    <n v="0"/>
    <n v="4834.7"/>
    <n v="4773.9011111111113"/>
  </r>
  <r>
    <x v="13"/>
    <s v="Northeast Texas Community College "/>
    <m/>
    <n v="227225"/>
    <x v="7"/>
    <s v="sem"/>
    <m/>
    <n v="31558"/>
    <n v="29247"/>
    <n v="5728"/>
    <n v="5411"/>
    <n v="0"/>
    <n v="0"/>
    <n v="33767"/>
    <n v="32842"/>
    <n v="71053"/>
    <n v="2368.4333333333334"/>
    <n v="67500"/>
    <n v="2250"/>
    <n v="5934"/>
    <n v="5903"/>
    <n v="71053"/>
    <n v="67500"/>
    <n v="7603"/>
    <n v="2573"/>
    <n v="11226"/>
    <n v="8931"/>
    <n v="6775"/>
    <n v="8669"/>
    <n v="3661"/>
    <n v="944"/>
    <n v="29265"/>
    <n v="32.516666666666666"/>
    <n v="21117"/>
    <n v="23.463333333333335"/>
    <m/>
    <m/>
    <n v="0"/>
    <n v="0"/>
    <m/>
    <m/>
    <m/>
    <m/>
    <m/>
    <m/>
    <m/>
    <m/>
    <n v="0"/>
    <n v="0"/>
    <n v="0"/>
    <n v="0"/>
    <n v="2400.9500000000003"/>
    <n v="2273.4633333333331"/>
  </r>
  <r>
    <x v="13"/>
    <s v="Odessa College "/>
    <m/>
    <n v="227304"/>
    <x v="7"/>
    <s v="sem"/>
    <m/>
    <n v="39644"/>
    <n v="39479"/>
    <n v="7411"/>
    <n v="7079"/>
    <n v="5157"/>
    <n v="5528"/>
    <n v="41428"/>
    <n v="40070"/>
    <n v="93640"/>
    <n v="3121.3333333333335"/>
    <n v="92156"/>
    <n v="3071.8666666666668"/>
    <n v="10932"/>
    <n v="12039"/>
    <n v="93640"/>
    <n v="92156"/>
    <n v="87062"/>
    <n v="63553"/>
    <n v="69155"/>
    <n v="69525"/>
    <n v="76886"/>
    <n v="49736"/>
    <n v="75192"/>
    <n v="74381"/>
    <n v="308295"/>
    <n v="342.55"/>
    <n v="257195"/>
    <n v="285.77222222222224"/>
    <m/>
    <m/>
    <n v="0"/>
    <n v="0"/>
    <m/>
    <m/>
    <m/>
    <m/>
    <m/>
    <m/>
    <m/>
    <m/>
    <n v="0"/>
    <n v="0"/>
    <n v="0"/>
    <n v="0"/>
    <n v="3463.8833333333337"/>
    <n v="3357.6388888888891"/>
  </r>
  <r>
    <x v="13"/>
    <s v="Paris Junior College"/>
    <m/>
    <n v="227401"/>
    <x v="7"/>
    <s v="sem"/>
    <m/>
    <n v="54685"/>
    <n v="47677"/>
    <n v="9909"/>
    <n v="10265"/>
    <n v="4176"/>
    <n v="3729"/>
    <n v="52700"/>
    <n v="51682"/>
    <n v="121470"/>
    <n v="4049"/>
    <n v="113353"/>
    <n v="3778.4333333333334"/>
    <n v="12380"/>
    <n v="14002"/>
    <n v="121470"/>
    <n v="113353"/>
    <n v="20160"/>
    <n v="30249"/>
    <n v="28023"/>
    <n v="19011"/>
    <n v="12471"/>
    <n v="19927"/>
    <n v="18601"/>
    <n v="36404"/>
    <n v="79255"/>
    <n v="88.061111111111117"/>
    <n v="105591"/>
    <n v="117.32333333333334"/>
    <m/>
    <m/>
    <n v="0"/>
    <n v="0"/>
    <m/>
    <m/>
    <m/>
    <m/>
    <m/>
    <m/>
    <m/>
    <m/>
    <n v="0"/>
    <n v="0"/>
    <n v="0"/>
    <n v="0"/>
    <n v="4137.0611111111111"/>
    <n v="3895.7566666666667"/>
  </r>
  <r>
    <x v="13"/>
    <s v="Southwest Texas Junior College "/>
    <m/>
    <n v="228316"/>
    <x v="7"/>
    <s v="sem"/>
    <m/>
    <n v="44321"/>
    <n v="44737"/>
    <n v="6943"/>
    <n v="7549"/>
    <n v="3398"/>
    <n v="3571"/>
    <n v="49884"/>
    <n v="46326"/>
    <n v="104546"/>
    <n v="3484.8666666666668"/>
    <n v="102183"/>
    <n v="3406.1"/>
    <n v="15590"/>
    <n v="16149"/>
    <n v="104546"/>
    <n v="102183"/>
    <n v="23806"/>
    <n v="68895"/>
    <n v="46101"/>
    <n v="23866"/>
    <n v="33059"/>
    <n v="37668"/>
    <n v="31338"/>
    <n v="23769"/>
    <n v="134304"/>
    <n v="149.22666666666666"/>
    <n v="154198"/>
    <n v="171.33111111111111"/>
    <m/>
    <m/>
    <n v="0"/>
    <n v="0"/>
    <m/>
    <m/>
    <m/>
    <m/>
    <m/>
    <m/>
    <m/>
    <m/>
    <n v="0"/>
    <n v="0"/>
    <n v="0"/>
    <n v="0"/>
    <n v="3634.0933333333332"/>
    <n v="3577.431111111111"/>
  </r>
  <r>
    <x v="13"/>
    <s v="Temple College "/>
    <m/>
    <n v="228608"/>
    <x v="7"/>
    <s v="sem"/>
    <m/>
    <n v="49675"/>
    <n v="47922"/>
    <n v="13686"/>
    <n v="14085"/>
    <n v="0"/>
    <n v="0"/>
    <n v="50271"/>
    <n v="51027"/>
    <n v="113632"/>
    <n v="3787.7333333333331"/>
    <n v="113034"/>
    <n v="3767.8"/>
    <n v="11775"/>
    <n v="11347"/>
    <n v="113632"/>
    <n v="113034"/>
    <n v="19647"/>
    <n v="30474"/>
    <n v="33426"/>
    <n v="36776"/>
    <n v="38309"/>
    <n v="24116"/>
    <n v="32318"/>
    <n v="45345"/>
    <n v="123700"/>
    <n v="137.44444444444446"/>
    <n v="136711"/>
    <n v="151.90111111111111"/>
    <m/>
    <m/>
    <n v="0"/>
    <n v="0"/>
    <m/>
    <m/>
    <m/>
    <m/>
    <m/>
    <m/>
    <m/>
    <m/>
    <n v="0"/>
    <n v="0"/>
    <n v="0"/>
    <n v="0"/>
    <n v="3925.1777777777775"/>
    <n v="3919.7011111111115"/>
  </r>
  <r>
    <x v="13"/>
    <s v="Texarkana College "/>
    <m/>
    <n v="228699"/>
    <x v="7"/>
    <s v="sem"/>
    <m/>
    <n v="34811"/>
    <n v="32808"/>
    <n v="8389"/>
    <n v="7133"/>
    <n v="0"/>
    <n v="0"/>
    <n v="34348"/>
    <n v="37517"/>
    <n v="77548"/>
    <n v="2584.9333333333334"/>
    <n v="77458"/>
    <n v="2581.9333333333334"/>
    <n v="12273"/>
    <n v="11159"/>
    <n v="77548"/>
    <n v="77458"/>
    <n v="97504"/>
    <n v="65955"/>
    <n v="90332"/>
    <n v="73502"/>
    <n v="58958"/>
    <n v="73123"/>
    <n v="68737"/>
    <n v="80988"/>
    <n v="315531"/>
    <n v="350.59"/>
    <n v="293568"/>
    <n v="326.18666666666667"/>
    <m/>
    <m/>
    <n v="0"/>
    <n v="0"/>
    <m/>
    <m/>
    <m/>
    <m/>
    <m/>
    <m/>
    <m/>
    <m/>
    <n v="0"/>
    <n v="0"/>
    <n v="0"/>
    <n v="0"/>
    <n v="2935.5233333333335"/>
    <n v="2908.12"/>
  </r>
  <r>
    <x v="13"/>
    <s v="Texas State Technical College-Harlingen "/>
    <m/>
    <n v="229319"/>
    <x v="7"/>
    <s v="sem"/>
    <m/>
    <n v="42120"/>
    <n v="43354"/>
    <n v="28125"/>
    <n v="25819"/>
    <n v="0"/>
    <n v="0"/>
    <n v="50505"/>
    <n v="51167"/>
    <n v="120750"/>
    <n v="4025"/>
    <n v="120340"/>
    <n v="4011.3333333333335"/>
    <n v="11440"/>
    <n v="8788"/>
    <n v="120750"/>
    <n v="120340"/>
    <n v="21534"/>
    <n v="26656"/>
    <n v="54185"/>
    <n v="45128"/>
    <n v="20228"/>
    <n v="33484"/>
    <n v="37965"/>
    <n v="36440"/>
    <n v="133912"/>
    <n v="148.79111111111112"/>
    <n v="141708"/>
    <n v="157.45333333333335"/>
    <m/>
    <m/>
    <n v="0"/>
    <n v="0"/>
    <m/>
    <m/>
    <m/>
    <m/>
    <m/>
    <m/>
    <m/>
    <m/>
    <n v="0"/>
    <n v="0"/>
    <n v="0"/>
    <n v="0"/>
    <n v="4173.7911111111107"/>
    <n v="4168.7866666666669"/>
  </r>
  <r>
    <x v="13"/>
    <s v="Vernon College "/>
    <m/>
    <n v="229504"/>
    <x v="7"/>
    <s v="sem"/>
    <m/>
    <n v="28647"/>
    <n v="27793"/>
    <n v="4437"/>
    <n v="4414"/>
    <n v="5412"/>
    <n v="5024"/>
    <n v="26792"/>
    <n v="27022"/>
    <n v="65288"/>
    <n v="2176.2666666666669"/>
    <n v="64253"/>
    <n v="2141.7666666666669"/>
    <n v="4879"/>
    <n v="4667"/>
    <n v="65288"/>
    <n v="64253"/>
    <n v="49399"/>
    <n v="60994"/>
    <n v="37725"/>
    <n v="54073"/>
    <n v="30659"/>
    <n v="35153"/>
    <n v="63520"/>
    <n v="80697"/>
    <n v="181303"/>
    <n v="201.44777777777779"/>
    <n v="230917"/>
    <n v="256.57444444444445"/>
    <m/>
    <m/>
    <n v="0"/>
    <n v="0"/>
    <m/>
    <m/>
    <m/>
    <m/>
    <m/>
    <m/>
    <m/>
    <m/>
    <n v="0"/>
    <n v="0"/>
    <n v="0"/>
    <n v="0"/>
    <n v="2377.7144444444448"/>
    <n v="2398.3411111111113"/>
  </r>
  <r>
    <x v="13"/>
    <s v="Victoria College "/>
    <m/>
    <n v="229540"/>
    <x v="7"/>
    <s v="sem"/>
    <m/>
    <n v="36447"/>
    <n v="34462"/>
    <n v="9994"/>
    <n v="10701"/>
    <n v="0"/>
    <n v="0"/>
    <n v="36068"/>
    <n v="34759"/>
    <n v="82509"/>
    <n v="2750.3"/>
    <n v="79922"/>
    <n v="2664.0666666666666"/>
    <n v="4948"/>
    <n v="5722"/>
    <n v="82509"/>
    <n v="79922"/>
    <n v="38286"/>
    <n v="43706"/>
    <n v="30715"/>
    <n v="24617"/>
    <n v="31139"/>
    <n v="40627"/>
    <n v="50562"/>
    <n v="59597"/>
    <n v="150702"/>
    <n v="167.44666666666666"/>
    <n v="168547"/>
    <n v="187.27444444444444"/>
    <m/>
    <m/>
    <n v="0"/>
    <n v="0"/>
    <m/>
    <m/>
    <m/>
    <m/>
    <m/>
    <m/>
    <m/>
    <m/>
    <n v="0"/>
    <n v="0"/>
    <n v="0"/>
    <n v="0"/>
    <n v="2917.7466666666669"/>
    <n v="2851.3411111111109"/>
  </r>
  <r>
    <x v="13"/>
    <s v="Weatherford College "/>
    <m/>
    <n v="229799"/>
    <x v="7"/>
    <s v="sem"/>
    <m/>
    <n v="48298"/>
    <n v="48145"/>
    <n v="7287"/>
    <n v="8449"/>
    <n v="5019"/>
    <n v="4193"/>
    <n v="52039"/>
    <n v="53500"/>
    <n v="112643"/>
    <n v="3754.7666666666669"/>
    <n v="114287"/>
    <n v="3809.5666666666666"/>
    <n v="8355"/>
    <n v="8601"/>
    <n v="112643"/>
    <n v="114287"/>
    <n v="44781"/>
    <n v="52062"/>
    <n v="31773"/>
    <n v="34781"/>
    <n v="27407"/>
    <n v="42426"/>
    <n v="61744"/>
    <n v="89712"/>
    <n v="165705"/>
    <n v="184.11666666666667"/>
    <n v="218981"/>
    <n v="243.31222222222223"/>
    <m/>
    <m/>
    <n v="0"/>
    <n v="0"/>
    <m/>
    <m/>
    <m/>
    <m/>
    <m/>
    <m/>
    <m/>
    <m/>
    <n v="0"/>
    <n v="0"/>
    <n v="0"/>
    <n v="0"/>
    <n v="3938.8833333333337"/>
    <n v="4052.8788888888889"/>
  </r>
  <r>
    <x v="13"/>
    <s v="Wharton County Junior College "/>
    <m/>
    <n v="229841"/>
    <x v="7"/>
    <s v="sem"/>
    <m/>
    <n v="62253"/>
    <n v="62004"/>
    <n v="12994"/>
    <n v="13306"/>
    <n v="6713"/>
    <n v="6618"/>
    <n v="66069"/>
    <n v="64724"/>
    <n v="148029"/>
    <n v="4934.3"/>
    <n v="146652"/>
    <n v="4888.3999999999996"/>
    <n v="8677"/>
    <n v="9391"/>
    <n v="148029"/>
    <n v="146652"/>
    <n v="9872"/>
    <n v="8641"/>
    <n v="7593"/>
    <n v="7613"/>
    <n v="11020"/>
    <n v="9455"/>
    <n v="11674"/>
    <n v="9953"/>
    <n v="40159"/>
    <n v="44.621111111111112"/>
    <n v="35662"/>
    <n v="39.624444444444443"/>
    <m/>
    <m/>
    <n v="0"/>
    <n v="0"/>
    <m/>
    <m/>
    <m/>
    <m/>
    <m/>
    <m/>
    <m/>
    <m/>
    <n v="0"/>
    <n v="0"/>
    <n v="0"/>
    <n v="0"/>
    <n v="4978.9211111111117"/>
    <n v="4928.0244444444443"/>
  </r>
  <r>
    <x v="13"/>
    <s v="Clarendon College "/>
    <m/>
    <n v="223922"/>
    <x v="8"/>
    <s v="sem"/>
    <m/>
    <n v="14059"/>
    <n v="12273"/>
    <n v="2558"/>
    <n v="2474"/>
    <n v="1309"/>
    <n v="936"/>
    <n v="12820"/>
    <n v="12312"/>
    <n v="30746"/>
    <n v="1024.8666666666666"/>
    <n v="27995"/>
    <n v="933.16666666666663"/>
    <n v="4521"/>
    <n v="4128"/>
    <n v="30746"/>
    <n v="27995"/>
    <n v="5338"/>
    <n v="1976"/>
    <n v="2380"/>
    <n v="7423"/>
    <n v="1015"/>
    <n v="4622"/>
    <n v="4265"/>
    <n v="5656"/>
    <n v="12998"/>
    <n v="14.442222222222222"/>
    <n v="19677"/>
    <n v="21.863333333333333"/>
    <m/>
    <m/>
    <n v="0"/>
    <n v="0"/>
    <m/>
    <m/>
    <m/>
    <m/>
    <m/>
    <m/>
    <m/>
    <m/>
    <n v="0"/>
    <n v="0"/>
    <n v="0"/>
    <n v="0"/>
    <n v="1039.3088888888888"/>
    <n v="955.03"/>
  </r>
  <r>
    <x v="13"/>
    <s v="Frank Phillips College "/>
    <m/>
    <n v="224891"/>
    <x v="8"/>
    <s v="sem"/>
    <m/>
    <n v="9349"/>
    <n v="10474"/>
    <n v="1459"/>
    <n v="1727"/>
    <n v="446"/>
    <n v="382"/>
    <n v="10735"/>
    <n v="10513"/>
    <n v="21989"/>
    <n v="732.9666666666667"/>
    <n v="23096"/>
    <n v="769.86666666666667"/>
    <n v="4119"/>
    <n v="4593"/>
    <n v="21989"/>
    <n v="23096"/>
    <n v="20402"/>
    <n v="12306"/>
    <n v="20380"/>
    <n v="18406"/>
    <n v="20062"/>
    <n v="12910"/>
    <n v="21579"/>
    <n v="21199"/>
    <n v="82423"/>
    <n v="91.581111111111113"/>
    <n v="64821"/>
    <n v="72.023333333333326"/>
    <m/>
    <m/>
    <n v="0"/>
    <n v="0"/>
    <m/>
    <m/>
    <m/>
    <m/>
    <m/>
    <m/>
    <m/>
    <m/>
    <n v="0"/>
    <n v="0"/>
    <n v="0"/>
    <n v="0"/>
    <n v="824.54777777777781"/>
    <n v="841.89"/>
  </r>
  <r>
    <x v="13"/>
    <s v="Galveston College "/>
    <m/>
    <n v="224961"/>
    <x v="8"/>
    <s v="sem"/>
    <m/>
    <n v="19746"/>
    <n v="20142"/>
    <n v="4579"/>
    <n v="4834"/>
    <n v="3749"/>
    <n v="3726"/>
    <n v="17918"/>
    <n v="17433"/>
    <n v="45992"/>
    <n v="1533.0666666666666"/>
    <n v="46135"/>
    <n v="1537.8333333333333"/>
    <n v="2677"/>
    <n v="3047"/>
    <n v="45992"/>
    <n v="46135"/>
    <n v="3464"/>
    <n v="1012"/>
    <n v="1632"/>
    <n v="1311"/>
    <n v="0"/>
    <n v="1172"/>
    <n v="1838"/>
    <n v="2474"/>
    <n v="6934"/>
    <n v="7.7044444444444444"/>
    <n v="5969"/>
    <n v="6.6322222222222225"/>
    <m/>
    <m/>
    <n v="0"/>
    <n v="0"/>
    <m/>
    <m/>
    <m/>
    <m/>
    <m/>
    <m/>
    <m/>
    <m/>
    <n v="0"/>
    <n v="0"/>
    <n v="0"/>
    <n v="0"/>
    <n v="1540.7711111111109"/>
    <n v="1544.4655555555555"/>
  </r>
  <r>
    <x v="13"/>
    <s v="Lamar State College-Orange"/>
    <m/>
    <n v="226107"/>
    <x v="8"/>
    <s v="sem"/>
    <m/>
    <n v="21669"/>
    <n v="21777"/>
    <n v="6563"/>
    <n v="6229"/>
    <n v="0"/>
    <n v="0"/>
    <n v="23618"/>
    <n v="21967"/>
    <n v="51850"/>
    <n v="1728.3333333333333"/>
    <n v="49973"/>
    <n v="1665.7666666666667"/>
    <n v="4364"/>
    <n v="4486"/>
    <n v="51850"/>
    <n v="49973"/>
    <n v="2234"/>
    <n v="3363"/>
    <n v="1716"/>
    <n v="1284"/>
    <n v="616"/>
    <n v="984"/>
    <n v="2060"/>
    <n v="1284"/>
    <n v="6626"/>
    <n v="7.362222222222222"/>
    <n v="6915"/>
    <n v="7.6833333333333336"/>
    <m/>
    <m/>
    <n v="0"/>
    <n v="0"/>
    <m/>
    <m/>
    <m/>
    <m/>
    <m/>
    <m/>
    <m/>
    <m/>
    <n v="0"/>
    <n v="0"/>
    <n v="0"/>
    <n v="0"/>
    <n v="1735.6955555555555"/>
    <n v="1673.45"/>
  </r>
  <r>
    <x v="13"/>
    <s v="Northeast Lakeview College (ACCD)"/>
    <m/>
    <s v="???"/>
    <x v="8"/>
    <s v="sem"/>
    <m/>
    <n v="4347"/>
    <n v="4506"/>
    <n v="784"/>
    <n v="1101"/>
    <n v="0"/>
    <n v="0"/>
    <n v="4923"/>
    <n v="6246"/>
    <n v="10054"/>
    <n v="335.13333333333333"/>
    <n v="11853"/>
    <n v="395.1"/>
    <n v="0"/>
    <n v="0"/>
    <n v="10054"/>
    <n v="11853"/>
    <n v="15160"/>
    <n v="15136"/>
    <n v="12288"/>
    <n v="15616"/>
    <n v="8960"/>
    <n v="12688"/>
    <n v="8248"/>
    <n v="16128"/>
    <n v="44656"/>
    <n v="49.617777777777775"/>
    <n v="59568"/>
    <n v="66.186666666666667"/>
    <m/>
    <m/>
    <n v="0"/>
    <n v="0"/>
    <m/>
    <m/>
    <m/>
    <m/>
    <m/>
    <m/>
    <m/>
    <m/>
    <n v="0"/>
    <n v="0"/>
    <n v="0"/>
    <n v="0"/>
    <n v="384.75111111111107"/>
    <n v="461.28666666666669"/>
  </r>
  <r>
    <x v="13"/>
    <s v="Panola College"/>
    <m/>
    <n v="227386"/>
    <x v="8"/>
    <s v="sem"/>
    <m/>
    <n v="23217"/>
    <n v="23464"/>
    <n v="3474"/>
    <n v="3839"/>
    <n v="1720"/>
    <n v="1430"/>
    <n v="25475"/>
    <n v="27012"/>
    <n v="53886"/>
    <n v="1796.2"/>
    <n v="55745"/>
    <n v="1858.1666666666667"/>
    <n v="4716"/>
    <n v="5264"/>
    <n v="53886"/>
    <n v="55745"/>
    <n v="10491"/>
    <n v="10810"/>
    <n v="8811"/>
    <n v="11775"/>
    <n v="7199"/>
    <n v="10901"/>
    <n v="13957"/>
    <n v="12106"/>
    <n v="40458"/>
    <n v="44.953333333333333"/>
    <n v="45592"/>
    <n v="50.657777777777781"/>
    <m/>
    <m/>
    <n v="0"/>
    <n v="0"/>
    <m/>
    <m/>
    <m/>
    <m/>
    <m/>
    <m/>
    <m/>
    <m/>
    <n v="0"/>
    <n v="0"/>
    <n v="0"/>
    <n v="0"/>
    <n v="1841.1533333333334"/>
    <n v="1908.8244444444445"/>
  </r>
  <r>
    <x v="13"/>
    <s v="Ranger College "/>
    <m/>
    <n v="227687"/>
    <x v="8"/>
    <s v="sem"/>
    <m/>
    <n v="16285"/>
    <n v="17823"/>
    <n v="3662"/>
    <n v="3981"/>
    <n v="1126"/>
    <n v="1043"/>
    <n v="19687"/>
    <n v="19607"/>
    <n v="40760"/>
    <n v="1358.6666666666667"/>
    <n v="42454"/>
    <n v="1415.1333333333334"/>
    <n v="5401"/>
    <n v="6874"/>
    <n v="40760"/>
    <n v="42454"/>
    <n v="2480"/>
    <n v="10114"/>
    <n v="1105"/>
    <n v="7352"/>
    <n v="4880"/>
    <n v="5580"/>
    <n v="7368"/>
    <n v="7432"/>
    <n v="15833"/>
    <n v="17.592222222222222"/>
    <n v="30478"/>
    <n v="33.864444444444445"/>
    <m/>
    <m/>
    <n v="0"/>
    <n v="0"/>
    <m/>
    <m/>
    <m/>
    <m/>
    <m/>
    <m/>
    <m/>
    <m/>
    <n v="0"/>
    <n v="0"/>
    <n v="0"/>
    <n v="0"/>
    <n v="1376.258888888889"/>
    <n v="1448.9977777777779"/>
  </r>
  <r>
    <x v="13"/>
    <s v="Southwest Collegiate Institute for the Deaf (HCJCD)"/>
    <m/>
    <n v="382911"/>
    <x v="8"/>
    <s v="sem"/>
    <m/>
    <n v="1357"/>
    <n v="1348"/>
    <n v="36"/>
    <n v="18"/>
    <n v="3"/>
    <n v="6"/>
    <n v="1548"/>
    <n v="1470"/>
    <n v="2944"/>
    <n v="98.13333333333334"/>
    <n v="2842"/>
    <n v="94.733333333333334"/>
    <n v="0"/>
    <n v="36"/>
    <n v="2944"/>
    <n v="2842"/>
    <m/>
    <m/>
    <m/>
    <m/>
    <m/>
    <m/>
    <m/>
    <m/>
    <n v="0"/>
    <n v="0"/>
    <n v="0"/>
    <n v="0"/>
    <m/>
    <m/>
    <n v="0"/>
    <n v="0"/>
    <m/>
    <m/>
    <m/>
    <m/>
    <m/>
    <m/>
    <m/>
    <m/>
    <n v="0"/>
    <n v="0"/>
    <n v="0"/>
    <n v="0"/>
    <n v="98.13333333333334"/>
    <n v="94.733333333333334"/>
  </r>
  <r>
    <x v="13"/>
    <s v="Texas State Technical College-Marshall"/>
    <m/>
    <n v="408394"/>
    <x v="8"/>
    <s v="sem"/>
    <m/>
    <n v="7037"/>
    <n v="6856"/>
    <n v="4869"/>
    <n v="4743"/>
    <n v="0"/>
    <n v="0"/>
    <n v="6961"/>
    <n v="7225"/>
    <n v="18867"/>
    <n v="628.9"/>
    <n v="18824"/>
    <n v="627.4666666666667"/>
    <n v="1901"/>
    <n v="1843"/>
    <n v="18867"/>
    <n v="18824"/>
    <n v="4184"/>
    <n v="4035"/>
    <n v="6216"/>
    <n v="6032"/>
    <n v="7206"/>
    <n v="4992"/>
    <n v="4859"/>
    <n v="4650"/>
    <n v="22465"/>
    <n v="24.961111111111112"/>
    <n v="19709"/>
    <n v="21.898888888888887"/>
    <m/>
    <m/>
    <n v="0"/>
    <n v="0"/>
    <m/>
    <m/>
    <m/>
    <m/>
    <m/>
    <m/>
    <m/>
    <m/>
    <n v="0"/>
    <n v="0"/>
    <n v="0"/>
    <n v="0"/>
    <n v="653.86111111111109"/>
    <n v="649.3655555555556"/>
  </r>
  <r>
    <x v="13"/>
    <s v="Texas State Technical College-West Texas"/>
    <m/>
    <n v="229328"/>
    <x v="8"/>
    <s v="sem"/>
    <m/>
    <n v="8866"/>
    <n v="8599"/>
    <n v="6651"/>
    <n v="6628"/>
    <n v="0"/>
    <n v="0"/>
    <n v="8078"/>
    <n v="11121"/>
    <n v="23595"/>
    <n v="786.5"/>
    <n v="26348"/>
    <n v="878.26666666666665"/>
    <n v="381"/>
    <n v="1943"/>
    <n v="23595"/>
    <n v="26348"/>
    <n v="9980"/>
    <n v="2120"/>
    <n v="8544"/>
    <n v="7216"/>
    <n v="12996"/>
    <n v="3198"/>
    <n v="8336"/>
    <n v="3260"/>
    <n v="39856"/>
    <n v="44.284444444444446"/>
    <n v="15794"/>
    <n v="17.548888888888889"/>
    <m/>
    <m/>
    <n v="0"/>
    <n v="0"/>
    <m/>
    <m/>
    <m/>
    <m/>
    <m/>
    <m/>
    <m/>
    <m/>
    <n v="0"/>
    <n v="0"/>
    <n v="0"/>
    <n v="0"/>
    <n v="830.78444444444449"/>
    <n v="895.81555555555553"/>
  </r>
  <r>
    <x v="13"/>
    <s v="Western Texas College "/>
    <m/>
    <n v="229832"/>
    <x v="8"/>
    <s v="sem"/>
    <m/>
    <n v="18418"/>
    <n v="17903"/>
    <n v="8321"/>
    <n v="8393"/>
    <n v="2290"/>
    <n v="2760"/>
    <n v="17958"/>
    <n v="17048"/>
    <n v="46987"/>
    <n v="1566.2333333333333"/>
    <n v="46104"/>
    <n v="1536.8"/>
    <n v="8280"/>
    <n v="7916"/>
    <n v="46987"/>
    <n v="46104"/>
    <n v="39988"/>
    <n v="45219"/>
    <n v="42642"/>
    <n v="41568"/>
    <n v="20974"/>
    <n v="22066"/>
    <n v="47085"/>
    <n v="30300"/>
    <n v="150689"/>
    <n v="167.43222222222221"/>
    <n v="139153"/>
    <n v="154.61444444444444"/>
    <m/>
    <m/>
    <n v="0"/>
    <n v="0"/>
    <m/>
    <m/>
    <m/>
    <m/>
    <m/>
    <m/>
    <m/>
    <m/>
    <n v="0"/>
    <n v="0"/>
    <n v="0"/>
    <n v="0"/>
    <n v="1733.6655555555556"/>
    <n v="1691.4144444444444"/>
  </r>
  <r>
    <x v="13"/>
    <s v="Alamo Community College District (ACCD)"/>
    <m/>
    <m/>
    <x v="12"/>
    <s v="sem"/>
    <m/>
    <n v="462610"/>
    <n v="466810"/>
    <n v="185595"/>
    <n v="176466"/>
    <n v="0"/>
    <n v="0"/>
    <n v="424563"/>
    <n v="420420"/>
    <n v="1072768"/>
    <n v="35758.933333333334"/>
    <n v="1063696"/>
    <n v="35456.533333333333"/>
    <n v="83873"/>
    <n v="84789"/>
    <n v="1072768"/>
    <n v="1063696"/>
    <n v="146380"/>
    <n v="144847"/>
    <n v="167556"/>
    <n v="163080"/>
    <n v="151927"/>
    <n v="172507"/>
    <n v="160897"/>
    <n v="161929"/>
    <n v="626760"/>
    <n v="696.4"/>
    <n v="642363"/>
    <n v="713.73666666666668"/>
    <m/>
    <m/>
    <n v="0"/>
    <n v="0"/>
    <m/>
    <m/>
    <m/>
    <m/>
    <m/>
    <m/>
    <m/>
    <m/>
    <n v="0"/>
    <n v="0"/>
    <n v="0"/>
    <n v="0"/>
    <n v="36455.333333333336"/>
    <n v="36170.269999999997"/>
  </r>
  <r>
    <x v="13"/>
    <s v="Dallas County Community College District (DCCD)"/>
    <m/>
    <m/>
    <x v="12"/>
    <s v="sem"/>
    <m/>
    <n v="568362"/>
    <n v="554155"/>
    <n v="283608"/>
    <n v="304437"/>
    <n v="0"/>
    <n v="0"/>
    <n v="518278"/>
    <n v="486181"/>
    <n v="1370248"/>
    <n v="45674.933333333334"/>
    <n v="1344773"/>
    <n v="44825.76666666667"/>
    <n v="96376"/>
    <n v="109912"/>
    <n v="1370248"/>
    <n v="1344773"/>
    <n v="728897"/>
    <n v="756491"/>
    <n v="806582"/>
    <n v="747074"/>
    <n v="734099"/>
    <n v="709204"/>
    <n v="843837"/>
    <n v="868668"/>
    <n v="3113415"/>
    <n v="3459.35"/>
    <n v="3081437"/>
    <n v="3423.818888888889"/>
    <m/>
    <m/>
    <n v="0"/>
    <n v="0"/>
    <m/>
    <m/>
    <m/>
    <m/>
    <m/>
    <m/>
    <m/>
    <m/>
    <n v="0"/>
    <n v="0"/>
    <n v="0"/>
    <n v="0"/>
    <n v="49134.283333333333"/>
    <n v="48249.585555555561"/>
  </r>
  <r>
    <x v="13"/>
    <s v="Howard County Community/Junior College District (HCJCD)"/>
    <m/>
    <m/>
    <x v="12"/>
    <s v="sem"/>
    <m/>
    <n v="37381"/>
    <n v="34795"/>
    <n v="6109"/>
    <n v="4887"/>
    <n v="2417"/>
    <n v="1856"/>
    <n v="37887"/>
    <n v="33505"/>
    <n v="83794"/>
    <n v="2793.1333333333332"/>
    <n v="75043"/>
    <n v="2501.4333333333334"/>
    <n v="15363"/>
    <n v="15565"/>
    <n v="83794"/>
    <n v="75043"/>
    <n v="152001"/>
    <n v="144936"/>
    <n v="158222"/>
    <n v="179106"/>
    <n v="172275"/>
    <n v="158654"/>
    <n v="156967"/>
    <n v="166090"/>
    <n v="639465"/>
    <n v="710.51666666666665"/>
    <n v="648786"/>
    <n v="720.87333333333333"/>
    <m/>
    <m/>
    <n v="0"/>
    <n v="0"/>
    <m/>
    <m/>
    <m/>
    <m/>
    <m/>
    <m/>
    <m/>
    <m/>
    <n v="0"/>
    <n v="0"/>
    <n v="0"/>
    <n v="0"/>
    <n v="3503.6499999999996"/>
    <n v="3222.3066666666668"/>
  </r>
  <r>
    <x v="13"/>
    <s v="University of North Texas at Dallas"/>
    <s v="New fall 2009. No degrees yet granted."/>
    <n v="443711"/>
    <x v="13"/>
    <s v="sem"/>
    <m/>
    <m/>
    <m/>
    <n v="13413"/>
    <n v="14760"/>
    <n v="3793"/>
    <n v="3202"/>
    <n v="16167"/>
    <n v="16208"/>
    <n v="33373"/>
    <n v="1112.4333333333334"/>
    <n v="34170"/>
    <n v="1139"/>
    <n v="0"/>
    <m/>
    <n v="33373"/>
    <n v="0"/>
    <m/>
    <m/>
    <m/>
    <m/>
    <m/>
    <m/>
    <m/>
    <m/>
    <n v="0"/>
    <n v="0"/>
    <n v="0"/>
    <n v="0"/>
    <m/>
    <m/>
    <n v="0"/>
    <n v="0"/>
    <m/>
    <m/>
    <n v="1428"/>
    <n v="1440"/>
    <n v="1194"/>
    <n v="1125"/>
    <n v="1527"/>
    <n v="1329"/>
    <n v="4149"/>
    <n v="172.875"/>
    <n v="3894"/>
    <n v="162.25"/>
    <n v="1285.3083333333334"/>
    <n v="1301.25"/>
  </r>
  <r>
    <x v="13"/>
    <s v="Alamo Community College District (ACCD)"/>
    <m/>
    <m/>
    <x v="14"/>
    <s v="sem"/>
    <m/>
    <n v="458263"/>
    <n v="462304"/>
    <n v="184811"/>
    <n v="175365"/>
    <n v="0"/>
    <n v="0"/>
    <n v="419640"/>
    <n v="414174"/>
    <n v="1062714"/>
    <n v="35423.800000000003"/>
    <n v="1051843"/>
    <n v="35061.433333333334"/>
    <n v="83873"/>
    <n v="84789"/>
    <n v="1062714"/>
    <n v="1051843"/>
    <n v="131220"/>
    <n v="129711"/>
    <n v="155268"/>
    <n v="147464"/>
    <n v="142967"/>
    <n v="159819"/>
    <n v="152649"/>
    <n v="145801"/>
    <n v="582104"/>
    <n v="646.78222222222223"/>
    <n v="582795"/>
    <n v="647.54999999999995"/>
    <m/>
    <m/>
    <n v="0"/>
    <n v="0"/>
    <m/>
    <m/>
    <m/>
    <m/>
    <m/>
    <m/>
    <m/>
    <m/>
    <n v="0"/>
    <n v="0"/>
    <n v="0"/>
    <n v="0"/>
    <n v="36070.582222222227"/>
    <n v="35708.983333333337"/>
  </r>
  <r>
    <x v="13"/>
    <s v="Dallas County Community College District (DCCD)"/>
    <m/>
    <m/>
    <x v="14"/>
    <s v="sem"/>
    <m/>
    <n v="469560"/>
    <n v="455825"/>
    <n v="236064"/>
    <n v="252223"/>
    <n v="0"/>
    <n v="0"/>
    <n v="422134"/>
    <n v="396019"/>
    <n v="1127758"/>
    <n v="37591.933333333334"/>
    <n v="1104067"/>
    <n v="36802.23333333333"/>
    <n v="75818"/>
    <n v="89426"/>
    <n v="1127758"/>
    <n v="1104067"/>
    <n v="666754"/>
    <n v="690817"/>
    <n v="715573"/>
    <n v="673876"/>
    <n v="650623"/>
    <n v="639000"/>
    <n v="763341"/>
    <n v="797417"/>
    <n v="2796291"/>
    <n v="3106.99"/>
    <n v="2801110"/>
    <n v="3112.3444444444444"/>
    <m/>
    <m/>
    <n v="0"/>
    <n v="0"/>
    <m/>
    <m/>
    <m/>
    <m/>
    <m/>
    <m/>
    <m/>
    <m/>
    <n v="0"/>
    <n v="0"/>
    <n v="0"/>
    <n v="0"/>
    <n v="40698.923333333332"/>
    <n v="39914.577777777777"/>
  </r>
  <r>
    <x v="13"/>
    <s v="Dallas County Community College District (DCCD)"/>
    <m/>
    <m/>
    <x v="15"/>
    <s v="sem"/>
    <m/>
    <n v="98802"/>
    <n v="98330"/>
    <n v="47544"/>
    <n v="52214"/>
    <n v="0"/>
    <n v="0"/>
    <n v="96144"/>
    <n v="90162"/>
    <n v="242490"/>
    <n v="8083"/>
    <n v="240706"/>
    <n v="8023.5333333333338"/>
    <n v="20558"/>
    <n v="20486"/>
    <n v="242490"/>
    <n v="240706"/>
    <n v="62143"/>
    <n v="65674"/>
    <n v="91009"/>
    <n v="73198"/>
    <n v="83476"/>
    <n v="70204"/>
    <n v="80496"/>
    <n v="71251"/>
    <n v="317124"/>
    <n v="352.36"/>
    <n v="280327"/>
    <n v="311.47444444444443"/>
    <m/>
    <m/>
    <n v="0"/>
    <n v="0"/>
    <m/>
    <m/>
    <m/>
    <m/>
    <m/>
    <m/>
    <m/>
    <m/>
    <n v="0"/>
    <n v="0"/>
    <n v="0"/>
    <n v="0"/>
    <n v="8435.36"/>
    <n v="8335.0077777777788"/>
  </r>
  <r>
    <x v="13"/>
    <s v="Howard County Community/Junior College District (HCJCD)"/>
    <m/>
    <m/>
    <x v="15"/>
    <s v="sem"/>
    <m/>
    <n v="36024"/>
    <n v="33447"/>
    <n v="6073"/>
    <n v="4869"/>
    <n v="2414"/>
    <n v="1850"/>
    <n v="36339"/>
    <n v="32035"/>
    <n v="80850"/>
    <n v="2695"/>
    <n v="72201"/>
    <n v="2406.6999999999998"/>
    <n v="15363"/>
    <n v="15529"/>
    <n v="80850"/>
    <n v="72201"/>
    <n v="152001"/>
    <n v="144936"/>
    <n v="158222"/>
    <n v="179106"/>
    <n v="172275"/>
    <n v="158654"/>
    <n v="156967"/>
    <n v="166090"/>
    <n v="639465"/>
    <n v="710.51666666666665"/>
    <n v="648786"/>
    <n v="720.87333333333333"/>
    <m/>
    <m/>
    <n v="0"/>
    <n v="0"/>
    <m/>
    <m/>
    <m/>
    <m/>
    <m/>
    <m/>
    <m/>
    <m/>
    <n v="0"/>
    <n v="0"/>
    <n v="0"/>
    <n v="0"/>
    <n v="3405.5166666666664"/>
    <n v="3127.5733333333333"/>
  </r>
  <r>
    <x v="13"/>
    <s v="Alamo Community College District (ACCD)"/>
    <m/>
    <m/>
    <x v="16"/>
    <s v="sem"/>
    <m/>
    <n v="4347"/>
    <n v="4506"/>
    <n v="784"/>
    <n v="1101"/>
    <n v="0"/>
    <n v="0"/>
    <n v="4923"/>
    <n v="6246"/>
    <n v="10054"/>
    <n v="335.13333333333333"/>
    <n v="11853"/>
    <n v="395.1"/>
    <n v="0"/>
    <n v="0"/>
    <n v="10054"/>
    <n v="11853"/>
    <n v="15160"/>
    <n v="15136"/>
    <n v="12288"/>
    <n v="15616"/>
    <n v="8960"/>
    <n v="12688"/>
    <n v="8248"/>
    <n v="16128"/>
    <n v="44656"/>
    <n v="49.617777777777775"/>
    <n v="59568"/>
    <n v="66.186666666666667"/>
    <m/>
    <m/>
    <n v="0"/>
    <n v="0"/>
    <m/>
    <m/>
    <m/>
    <m/>
    <m/>
    <m/>
    <m/>
    <m/>
    <n v="0"/>
    <n v="0"/>
    <n v="0"/>
    <n v="0"/>
    <n v="384.75111111111107"/>
    <n v="461.28666666666669"/>
  </r>
  <r>
    <x v="13"/>
    <s v="Howard County Community/Junior College District (HCJCD)"/>
    <m/>
    <m/>
    <x v="16"/>
    <s v="sem"/>
    <m/>
    <n v="1357"/>
    <n v="1348"/>
    <n v="36"/>
    <n v="18"/>
    <n v="3"/>
    <n v="6"/>
    <n v="1548"/>
    <n v="1470"/>
    <n v="2944"/>
    <n v="98.13333333333334"/>
    <n v="2842"/>
    <n v="94.733333333333334"/>
    <n v="0"/>
    <n v="36"/>
    <n v="2944"/>
    <n v="2842"/>
    <n v="0"/>
    <n v="0"/>
    <n v="0"/>
    <n v="0"/>
    <n v="0"/>
    <n v="0"/>
    <n v="0"/>
    <n v="0"/>
    <n v="0"/>
    <n v="0"/>
    <n v="0"/>
    <n v="0"/>
    <m/>
    <m/>
    <n v="0"/>
    <n v="0"/>
    <m/>
    <m/>
    <m/>
    <m/>
    <m/>
    <m/>
    <m/>
    <m/>
    <n v="0"/>
    <n v="0"/>
    <n v="0"/>
    <n v="0"/>
    <n v="98.13333333333334"/>
    <n v="94.733333333333334"/>
  </r>
  <r>
    <x v="14"/>
    <s v="George Mason University "/>
    <m/>
    <n v="232186"/>
    <x v="0"/>
    <s v="sem"/>
    <s v="sem"/>
    <m/>
    <m/>
    <n v="258730"/>
    <n v="263037"/>
    <n v="59362"/>
    <n v="53609"/>
    <n v="268629.5"/>
    <n v="284867"/>
    <n v="586721.5"/>
    <n v="19557.383333333335"/>
    <n v="601513"/>
    <n v="20050.433333333334"/>
    <n v="27627"/>
    <n v="23333"/>
    <n v="586721.5"/>
    <n v="601513"/>
    <m/>
    <m/>
    <m/>
    <m/>
    <m/>
    <m/>
    <m/>
    <m/>
    <n v="0"/>
    <n v="0"/>
    <n v="0"/>
    <n v="0"/>
    <m/>
    <m/>
    <n v="0"/>
    <n v="0"/>
    <m/>
    <m/>
    <n v="78204"/>
    <n v="76077.100000000006"/>
    <n v="19755"/>
    <n v="20177.5"/>
    <n v="77898"/>
    <n v="75631"/>
    <n v="175857"/>
    <n v="7327.375"/>
    <n v="171885.6"/>
    <n v="7161.9000000000005"/>
    <n v="26884.758333333335"/>
    <n v="27212.333333333336"/>
  </r>
  <r>
    <x v="14"/>
    <s v="Old Dominion University "/>
    <m/>
    <n v="232982"/>
    <x v="0"/>
    <s v="sem"/>
    <s v="sem"/>
    <m/>
    <m/>
    <n v="217547"/>
    <n v="221331"/>
    <n v="56292"/>
    <n v="53718"/>
    <n v="237481"/>
    <n v="241240"/>
    <n v="511320"/>
    <n v="17044"/>
    <n v="516289"/>
    <n v="17209.633333333335"/>
    <n v="16"/>
    <n v="78"/>
    <n v="511320"/>
    <n v="516289"/>
    <m/>
    <m/>
    <m/>
    <m/>
    <m/>
    <m/>
    <m/>
    <m/>
    <n v="0"/>
    <n v="0"/>
    <n v="0"/>
    <n v="0"/>
    <m/>
    <m/>
    <n v="0"/>
    <n v="0"/>
    <m/>
    <m/>
    <n v="29111"/>
    <n v="28300"/>
    <n v="13687"/>
    <n v="14213"/>
    <n v="29777"/>
    <n v="29735"/>
    <n v="72575"/>
    <n v="3023.9583333333335"/>
    <n v="72248"/>
    <n v="3010.3333333333335"/>
    <n v="20067.958333333332"/>
    <n v="20219.966666666667"/>
  </r>
  <r>
    <x v="14"/>
    <s v="University of Virginia"/>
    <m/>
    <n v="234076"/>
    <x v="0"/>
    <s v="sem"/>
    <s v="sem"/>
    <m/>
    <m/>
    <n v="219150.5"/>
    <n v="220375.5"/>
    <n v="24822"/>
    <n v="23301"/>
    <n v="223124"/>
    <n v="226532.5"/>
    <n v="467096.5"/>
    <n v="15569.883333333333"/>
    <n v="470209"/>
    <n v="15673.633333333333"/>
    <n v="0"/>
    <n v="0"/>
    <n v="467096.5"/>
    <n v="470209"/>
    <m/>
    <m/>
    <m/>
    <m/>
    <m/>
    <m/>
    <m/>
    <m/>
    <n v="0"/>
    <n v="0"/>
    <n v="0"/>
    <n v="0"/>
    <m/>
    <m/>
    <n v="0"/>
    <n v="0"/>
    <m/>
    <m/>
    <n v="90536"/>
    <n v="88118.5"/>
    <n v="15852"/>
    <n v="14940.5"/>
    <n v="89139.5"/>
    <n v="84458.5"/>
    <n v="195527.5"/>
    <n v="8146.979166666667"/>
    <n v="187517.5"/>
    <n v="7813.229166666667"/>
    <n v="23716.862499999999"/>
    <n v="23486.862499999999"/>
  </r>
  <r>
    <x v="14"/>
    <s v="Virginia Tech "/>
    <m/>
    <n v="233921"/>
    <x v="0"/>
    <s v="sem"/>
    <s v="sem"/>
    <m/>
    <m/>
    <n v="345714"/>
    <n v="350552"/>
    <n v="37098"/>
    <n v="36715"/>
    <n v="368881"/>
    <n v="369480"/>
    <n v="751693"/>
    <n v="25056.433333333334"/>
    <n v="756747"/>
    <n v="25224.9"/>
    <n v="0"/>
    <n v="0"/>
    <n v="751693"/>
    <n v="756747"/>
    <m/>
    <m/>
    <m/>
    <m/>
    <m/>
    <m/>
    <m/>
    <m/>
    <n v="0"/>
    <n v="0"/>
    <n v="0"/>
    <n v="0"/>
    <m/>
    <m/>
    <n v="0"/>
    <n v="0"/>
    <m/>
    <m/>
    <n v="66593"/>
    <n v="67158"/>
    <n v="7811"/>
    <n v="8193"/>
    <n v="69942"/>
    <n v="68492.399999999994"/>
    <n v="144346"/>
    <n v="6014.416666666667"/>
    <n v="143843.4"/>
    <n v="5993.4749999999995"/>
    <n v="31070.850000000002"/>
    <n v="31218.375"/>
  </r>
  <r>
    <x v="14"/>
    <s v="College of William &amp; Mary"/>
    <m/>
    <n v="231624"/>
    <x v="1"/>
    <s v="sem"/>
    <s v="sem"/>
    <m/>
    <m/>
    <n v="83289.5"/>
    <n v="85280"/>
    <n v="8318"/>
    <n v="8691"/>
    <n v="88067.5"/>
    <n v="89825.4"/>
    <n v="179675"/>
    <n v="5989.166666666667"/>
    <n v="183796.4"/>
    <n v="6126.5466666666662"/>
    <n v="0"/>
    <n v="0"/>
    <n v="179675"/>
    <n v="183796.4"/>
    <m/>
    <m/>
    <m/>
    <m/>
    <m/>
    <m/>
    <m/>
    <m/>
    <n v="0"/>
    <n v="0"/>
    <n v="0"/>
    <n v="0"/>
    <m/>
    <m/>
    <n v="0"/>
    <n v="0"/>
    <m/>
    <m/>
    <n v="25470"/>
    <n v="25182"/>
    <n v="4713"/>
    <n v="4678"/>
    <n v="25548.5"/>
    <n v="25021"/>
    <n v="55731.5"/>
    <n v="2322.1458333333335"/>
    <n v="54881"/>
    <n v="2286.7083333333335"/>
    <n v="8311.3125"/>
    <n v="8413.2549999999992"/>
  </r>
  <r>
    <x v="14"/>
    <s v="Virginia Commonwealth University"/>
    <s v="Met the criteria for Four-Year 1 in 2013-14."/>
    <n v="234030"/>
    <x v="1"/>
    <s v="sem"/>
    <s v="sem"/>
    <m/>
    <m/>
    <n v="297494"/>
    <n v="296226.5"/>
    <n v="43629.5"/>
    <n v="40408.5"/>
    <n v="319380"/>
    <n v="315041.5"/>
    <n v="660503.5"/>
    <n v="22016.783333333333"/>
    <n v="651676.5"/>
    <n v="21722.55"/>
    <n v="7800"/>
    <n v="8235"/>
    <n v="660503.5"/>
    <n v="651676.5"/>
    <m/>
    <m/>
    <m/>
    <m/>
    <m/>
    <m/>
    <m/>
    <m/>
    <n v="0"/>
    <n v="0"/>
    <n v="0"/>
    <n v="0"/>
    <m/>
    <m/>
    <n v="0"/>
    <n v="0"/>
    <m/>
    <m/>
    <n v="60606.5"/>
    <n v="59981"/>
    <n v="14248"/>
    <n v="13129.5"/>
    <n v="63336.5"/>
    <n v="60431"/>
    <n v="138191"/>
    <n v="5757.958333333333"/>
    <n v="133541.5"/>
    <n v="5564.229166666667"/>
    <n v="27774.741666666665"/>
    <n v="27286.779166666667"/>
  </r>
  <r>
    <x v="14"/>
    <s v="James Madison University"/>
    <m/>
    <n v="232423"/>
    <x v="2"/>
    <s v="sem"/>
    <s v="sem"/>
    <m/>
    <m/>
    <n v="248853"/>
    <n v="254870"/>
    <n v="26986"/>
    <n v="26041"/>
    <n v="265966"/>
    <n v="271584"/>
    <n v="541805"/>
    <n v="18060.166666666668"/>
    <n v="552495"/>
    <n v="18416.5"/>
    <n v="5944"/>
    <n v="7085"/>
    <n v="541805"/>
    <n v="552495"/>
    <m/>
    <m/>
    <m/>
    <m/>
    <m/>
    <m/>
    <m/>
    <m/>
    <n v="0"/>
    <n v="0"/>
    <n v="0"/>
    <n v="0"/>
    <m/>
    <m/>
    <n v="0"/>
    <n v="0"/>
    <m/>
    <m/>
    <n v="13480"/>
    <n v="13446"/>
    <n v="7909"/>
    <n v="6971"/>
    <n v="14419"/>
    <n v="14378"/>
    <n v="35808"/>
    <n v="1492"/>
    <n v="34795"/>
    <n v="1449.7916666666667"/>
    <n v="19552.166666666668"/>
    <n v="19866.291666666668"/>
  </r>
  <r>
    <x v="14"/>
    <s v="Norfolk State University "/>
    <m/>
    <n v="232937"/>
    <x v="2"/>
    <s v="sem"/>
    <s v="sem"/>
    <m/>
    <m/>
    <n v="73440"/>
    <n v="74337"/>
    <n v="10809"/>
    <n v="10066"/>
    <n v="82497"/>
    <n v="81469"/>
    <n v="166746"/>
    <n v="5558.2"/>
    <n v="165872"/>
    <n v="5529.0666666666666"/>
    <n v="225"/>
    <n v="405"/>
    <n v="166746"/>
    <n v="165872"/>
    <m/>
    <m/>
    <m/>
    <m/>
    <m/>
    <m/>
    <m/>
    <m/>
    <n v="0"/>
    <n v="0"/>
    <n v="0"/>
    <n v="0"/>
    <m/>
    <m/>
    <n v="0"/>
    <n v="0"/>
    <m/>
    <m/>
    <n v="6067"/>
    <n v="5513"/>
    <n v="985"/>
    <n v="1053"/>
    <n v="5886"/>
    <n v="5969"/>
    <n v="12938"/>
    <n v="539.08333333333337"/>
    <n v="12535"/>
    <n v="522.29166666666663"/>
    <n v="6097.2833333333328"/>
    <n v="6051.3583333333336"/>
  </r>
  <r>
    <x v="14"/>
    <s v="Longwood University "/>
    <s v="Reclassified: met the criteria for Four-Year 3 in 2011-12, 2012-13, and 2013-14."/>
    <n v="232566"/>
    <x v="2"/>
    <s v="sem"/>
    <s v="sem"/>
    <m/>
    <m/>
    <n v="58130"/>
    <n v="58353"/>
    <n v="7671"/>
    <n v="8155"/>
    <n v="60971"/>
    <n v="63140"/>
    <n v="126772"/>
    <n v="4225.7333333333336"/>
    <n v="129648"/>
    <n v="4321.6000000000004"/>
    <n v="99"/>
    <n v="363"/>
    <n v="126772"/>
    <n v="129648"/>
    <m/>
    <m/>
    <m/>
    <m/>
    <m/>
    <m/>
    <m/>
    <m/>
    <n v="0"/>
    <n v="0"/>
    <n v="0"/>
    <n v="0"/>
    <m/>
    <m/>
    <n v="0"/>
    <n v="0"/>
    <m/>
    <m/>
    <n v="2643"/>
    <n v="2518"/>
    <n v="2423"/>
    <n v="2143"/>
    <n v="2652"/>
    <n v="2607"/>
    <n v="7718"/>
    <n v="321.58333333333331"/>
    <n v="7268"/>
    <n v="302.83333333333331"/>
    <n v="4547.3166666666666"/>
    <n v="4624.4333333333334"/>
  </r>
  <r>
    <x v="14"/>
    <s v="Radford University"/>
    <s v="Reclassified: met the criteria for Four-Year 3 in 2011-12, 2012-13, and 2013-14."/>
    <n v="233277"/>
    <x v="2"/>
    <s v="sem"/>
    <s v="sem"/>
    <m/>
    <m/>
    <n v="114592"/>
    <n v="117909"/>
    <n v="11452"/>
    <n v="11410"/>
    <n v="127729"/>
    <n v="130808"/>
    <n v="253773"/>
    <n v="8459.1"/>
    <n v="260127"/>
    <n v="8670.9"/>
    <n v="140"/>
    <n v="3"/>
    <n v="253773"/>
    <n v="260127"/>
    <m/>
    <m/>
    <m/>
    <m/>
    <m/>
    <m/>
    <m/>
    <m/>
    <n v="0"/>
    <n v="0"/>
    <n v="0"/>
    <n v="0"/>
    <m/>
    <m/>
    <n v="0"/>
    <n v="0"/>
    <m/>
    <m/>
    <n v="7714"/>
    <n v="7788"/>
    <n v="3979"/>
    <n v="4158"/>
    <n v="8157"/>
    <n v="8742"/>
    <n v="19850"/>
    <n v="827.08333333333337"/>
    <n v="20688"/>
    <n v="862"/>
    <n v="9286.1833333333343"/>
    <n v="9532.9"/>
  </r>
  <r>
    <x v="14"/>
    <s v="Virginia State University "/>
    <s v="Reclassified: met the criteria for Four-Year 3 in 2011-12, 2012-13, and 2013-14."/>
    <n v="234155"/>
    <x v="2"/>
    <s v="sem"/>
    <s v="sem"/>
    <m/>
    <m/>
    <n v="74557"/>
    <n v="73655"/>
    <n v="6289"/>
    <n v="5115"/>
    <n v="81878"/>
    <n v="78552"/>
    <n v="162724"/>
    <n v="5424.1333333333332"/>
    <n v="157322"/>
    <n v="5244.0666666666666"/>
    <n v="0"/>
    <n v="0"/>
    <n v="162724"/>
    <n v="157322"/>
    <m/>
    <m/>
    <m/>
    <m/>
    <m/>
    <m/>
    <m/>
    <m/>
    <n v="0"/>
    <n v="0"/>
    <n v="0"/>
    <n v="0"/>
    <m/>
    <m/>
    <n v="0"/>
    <n v="0"/>
    <m/>
    <m/>
    <n v="4652"/>
    <n v="4676"/>
    <n v="1314"/>
    <n v="1413"/>
    <n v="4945"/>
    <n v="5195"/>
    <n v="10911"/>
    <n v="454.625"/>
    <n v="11284"/>
    <n v="470.16666666666669"/>
    <n v="5878.7583333333332"/>
    <n v="5714.2333333333336"/>
  </r>
  <r>
    <x v="14"/>
    <s v="Christopher Newport University"/>
    <s v="Met the criteria for Four-Year 3 in 2013-14."/>
    <n v="231712"/>
    <x v="4"/>
    <s v="sem"/>
    <s v="sem"/>
    <m/>
    <m/>
    <n v="68635"/>
    <n v="71587"/>
    <n v="1203"/>
    <n v="1160"/>
    <n v="74483"/>
    <n v="75500"/>
    <n v="144321"/>
    <n v="4810.7"/>
    <n v="148247"/>
    <n v="4941.5666666666666"/>
    <n v="16"/>
    <n v="10"/>
    <n v="144321"/>
    <n v="148247"/>
    <m/>
    <m/>
    <m/>
    <m/>
    <m/>
    <m/>
    <m/>
    <m/>
    <n v="0"/>
    <n v="0"/>
    <n v="0"/>
    <n v="0"/>
    <m/>
    <m/>
    <n v="0"/>
    <n v="0"/>
    <m/>
    <m/>
    <n v="1594"/>
    <n v="1460"/>
    <n v="978"/>
    <n v="747"/>
    <n v="1569"/>
    <n v="1455"/>
    <n v="4141"/>
    <n v="172.54166666666666"/>
    <n v="3662"/>
    <n v="152.58333333333334"/>
    <n v="4983.2416666666668"/>
    <n v="5094.1499999999996"/>
  </r>
  <r>
    <x v="14"/>
    <s v="University of Mary Washington "/>
    <s v="Reclassified: met the criteria for Four-Year 3 in 2011-12, 2012-13, and 2013-14."/>
    <n v="232681"/>
    <x v="2"/>
    <s v="sem"/>
    <s v="sem"/>
    <m/>
    <m/>
    <n v="57992"/>
    <n v="57967"/>
    <n v="6747"/>
    <n v="5573"/>
    <n v="61778"/>
    <n v="60638"/>
    <n v="126517"/>
    <n v="4217.2333333333336"/>
    <n v="124178"/>
    <n v="4139.2666666666664"/>
    <n v="27"/>
    <n v="15"/>
    <n v="126517"/>
    <n v="124178"/>
    <m/>
    <m/>
    <m/>
    <m/>
    <m/>
    <m/>
    <m/>
    <m/>
    <n v="0"/>
    <n v="0"/>
    <n v="0"/>
    <n v="0"/>
    <m/>
    <m/>
    <n v="0"/>
    <n v="0"/>
    <m/>
    <m/>
    <n v="3689"/>
    <n v="2984.8"/>
    <n v="1761"/>
    <n v="1266"/>
    <n v="3479"/>
    <n v="3073"/>
    <n v="8929"/>
    <n v="372.04166666666669"/>
    <n v="7323.8"/>
    <n v="305.15833333333336"/>
    <n v="4589.2750000000005"/>
    <n v="4444.4250000000002"/>
  </r>
  <r>
    <x v="14"/>
    <s v="University of Virginia's College at Wise "/>
    <m/>
    <n v="233897"/>
    <x v="5"/>
    <s v="sem"/>
    <s v="sem"/>
    <m/>
    <m/>
    <n v="23819"/>
    <n v="24128"/>
    <n v="3670"/>
    <n v="4861"/>
    <n v="26348"/>
    <n v="25555"/>
    <n v="53837"/>
    <n v="1794.5666666666666"/>
    <n v="54544"/>
    <n v="1818.1333333333334"/>
    <n v="26"/>
    <n v="20"/>
    <n v="53837"/>
    <n v="54544"/>
    <m/>
    <m/>
    <m/>
    <m/>
    <m/>
    <m/>
    <m/>
    <m/>
    <n v="0"/>
    <n v="0"/>
    <n v="0"/>
    <n v="0"/>
    <m/>
    <m/>
    <n v="0"/>
    <n v="0"/>
    <m/>
    <m/>
    <n v="0"/>
    <m/>
    <n v="0"/>
    <m/>
    <n v="0"/>
    <m/>
    <n v="0"/>
    <n v="0"/>
    <n v="0"/>
    <n v="0"/>
    <n v="1794.5666666666666"/>
    <n v="1818.1333333333334"/>
  </r>
  <r>
    <x v="14"/>
    <s v="J.S. Reynolds Community College"/>
    <m/>
    <n v="232414"/>
    <x v="6"/>
    <s v="sem"/>
    <s v="sem"/>
    <m/>
    <m/>
    <n v="109703"/>
    <n v="102772"/>
    <n v="39293"/>
    <n v="38786"/>
    <n v="106584"/>
    <n v="104224"/>
    <n v="255580"/>
    <n v="8519.3333333333339"/>
    <n v="245782"/>
    <n v="8192.7333333333336"/>
    <n v="13069"/>
    <n v="12586"/>
    <n v="255580"/>
    <n v="245782"/>
    <m/>
    <m/>
    <m/>
    <m/>
    <m/>
    <m/>
    <m/>
    <m/>
    <n v="0"/>
    <n v="0"/>
    <n v="0"/>
    <n v="0"/>
    <m/>
    <m/>
    <n v="0"/>
    <n v="0"/>
    <m/>
    <m/>
    <n v="0"/>
    <m/>
    <n v="0"/>
    <m/>
    <n v="0"/>
    <m/>
    <n v="0"/>
    <n v="0"/>
    <n v="0"/>
    <n v="0"/>
    <n v="8519.3333333333339"/>
    <n v="8192.7333333333336"/>
  </r>
  <r>
    <x v="14"/>
    <s v="Northern Virginia Community College "/>
    <m/>
    <n v="232946"/>
    <x v="6"/>
    <s v="sem"/>
    <s v="sem"/>
    <m/>
    <m/>
    <n v="436303"/>
    <n v="437291"/>
    <n v="180092"/>
    <n v="170971"/>
    <n v="463368"/>
    <n v="463357"/>
    <n v="1079763"/>
    <n v="35992.1"/>
    <n v="1071619"/>
    <n v="35720.633333333331"/>
    <n v="34962"/>
    <n v="34654"/>
    <n v="1079763"/>
    <n v="1071619"/>
    <m/>
    <m/>
    <m/>
    <m/>
    <m/>
    <m/>
    <m/>
    <m/>
    <n v="0"/>
    <n v="0"/>
    <n v="0"/>
    <n v="0"/>
    <m/>
    <m/>
    <n v="0"/>
    <n v="0"/>
    <m/>
    <m/>
    <n v="0"/>
    <m/>
    <n v="0"/>
    <m/>
    <n v="0"/>
    <m/>
    <n v="0"/>
    <n v="0"/>
    <n v="0"/>
    <n v="0"/>
    <n v="35992.1"/>
    <n v="35720.633333333331"/>
  </r>
  <r>
    <x v="14"/>
    <s v="Thomas Nelson Community College "/>
    <m/>
    <n v="233754"/>
    <x v="6"/>
    <s v="sem"/>
    <s v="sem"/>
    <m/>
    <m/>
    <n v="91630"/>
    <n v="90128"/>
    <n v="28431"/>
    <n v="26495"/>
    <n v="95059"/>
    <n v="95121"/>
    <n v="215120"/>
    <n v="7170.666666666667"/>
    <n v="211744"/>
    <n v="7058.1333333333332"/>
    <n v="18525"/>
    <n v="22703"/>
    <n v="215120"/>
    <n v="211744"/>
    <m/>
    <m/>
    <m/>
    <m/>
    <m/>
    <m/>
    <m/>
    <m/>
    <n v="0"/>
    <n v="0"/>
    <n v="0"/>
    <n v="0"/>
    <m/>
    <m/>
    <n v="0"/>
    <n v="0"/>
    <m/>
    <m/>
    <n v="0"/>
    <m/>
    <n v="0"/>
    <m/>
    <n v="0"/>
    <m/>
    <n v="0"/>
    <n v="0"/>
    <n v="0"/>
    <n v="0"/>
    <n v="7170.666666666667"/>
    <n v="7058.1333333333332"/>
  </r>
  <r>
    <x v="14"/>
    <s v="Tidewater Community College "/>
    <m/>
    <n v="233772"/>
    <x v="6"/>
    <s v="sem"/>
    <s v="sem"/>
    <m/>
    <m/>
    <n v="285108"/>
    <n v="258111"/>
    <n v="108599"/>
    <n v="94021"/>
    <n v="277105"/>
    <n v="266319"/>
    <n v="670812"/>
    <n v="22360.400000000001"/>
    <n v="618451"/>
    <n v="20615.033333333333"/>
    <n v="17898"/>
    <n v="18806"/>
    <n v="670812"/>
    <n v="618451"/>
    <m/>
    <m/>
    <m/>
    <m/>
    <m/>
    <m/>
    <m/>
    <m/>
    <n v="0"/>
    <n v="0"/>
    <n v="0"/>
    <n v="0"/>
    <m/>
    <m/>
    <n v="0"/>
    <n v="0"/>
    <m/>
    <m/>
    <n v="0"/>
    <m/>
    <n v="0"/>
    <m/>
    <n v="0"/>
    <m/>
    <n v="0"/>
    <n v="0"/>
    <n v="0"/>
    <n v="0"/>
    <n v="22360.400000000001"/>
    <n v="20615.033333333333"/>
  </r>
  <r>
    <x v="14"/>
    <s v="Blue Ridge Community College "/>
    <m/>
    <n v="231536"/>
    <x v="7"/>
    <s v="sem"/>
    <s v="sem"/>
    <m/>
    <m/>
    <n v="39231"/>
    <n v="36909"/>
    <n v="10174"/>
    <n v="9333"/>
    <n v="40476"/>
    <n v="39214"/>
    <n v="89881"/>
    <n v="2996.0333333333333"/>
    <n v="85456"/>
    <n v="2848.5333333333333"/>
    <n v="10787"/>
    <n v="11564"/>
    <n v="89881"/>
    <n v="85456"/>
    <m/>
    <m/>
    <m/>
    <m/>
    <m/>
    <m/>
    <m/>
    <m/>
    <n v="0"/>
    <n v="0"/>
    <n v="0"/>
    <n v="0"/>
    <m/>
    <m/>
    <n v="0"/>
    <n v="0"/>
    <m/>
    <m/>
    <n v="0"/>
    <m/>
    <n v="0"/>
    <m/>
    <n v="0"/>
    <m/>
    <n v="0"/>
    <n v="0"/>
    <n v="0"/>
    <n v="0"/>
    <n v="2996.0333333333333"/>
    <n v="2848.5333333333333"/>
  </r>
  <r>
    <x v="14"/>
    <s v="Central Virginia Community College "/>
    <m/>
    <n v="231697"/>
    <x v="7"/>
    <s v="sem"/>
    <s v="sem"/>
    <m/>
    <m/>
    <n v="36131"/>
    <n v="34872"/>
    <n v="10520"/>
    <n v="9976"/>
    <n v="37929"/>
    <n v="37585"/>
    <n v="84580"/>
    <n v="2819.3333333333335"/>
    <n v="82433"/>
    <n v="2747.7666666666669"/>
    <n v="28230"/>
    <n v="29823"/>
    <n v="84580"/>
    <n v="82433"/>
    <m/>
    <m/>
    <m/>
    <m/>
    <m/>
    <m/>
    <m/>
    <m/>
    <n v="0"/>
    <n v="0"/>
    <n v="0"/>
    <n v="0"/>
    <m/>
    <m/>
    <n v="0"/>
    <n v="0"/>
    <m/>
    <m/>
    <n v="0"/>
    <m/>
    <n v="0"/>
    <m/>
    <n v="0"/>
    <m/>
    <n v="0"/>
    <n v="0"/>
    <n v="0"/>
    <n v="0"/>
    <n v="2819.3333333333335"/>
    <n v="2747.7666666666669"/>
  </r>
  <r>
    <x v="14"/>
    <s v="Danville Community College "/>
    <m/>
    <n v="231882"/>
    <x v="7"/>
    <s v="sem"/>
    <s v="sem"/>
    <m/>
    <m/>
    <n v="36059"/>
    <n v="35937"/>
    <n v="10868"/>
    <n v="9289"/>
    <n v="37181"/>
    <n v="35892"/>
    <n v="84108"/>
    <n v="2803.6"/>
    <n v="81118"/>
    <n v="2703.9333333333334"/>
    <n v="21293"/>
    <n v="23606"/>
    <n v="84108"/>
    <n v="81118"/>
    <m/>
    <m/>
    <m/>
    <m/>
    <m/>
    <m/>
    <m/>
    <m/>
    <n v="0"/>
    <n v="0"/>
    <n v="0"/>
    <n v="0"/>
    <m/>
    <m/>
    <n v="0"/>
    <n v="0"/>
    <m/>
    <m/>
    <n v="0"/>
    <m/>
    <n v="0"/>
    <m/>
    <n v="0"/>
    <m/>
    <n v="0"/>
    <n v="0"/>
    <n v="0"/>
    <n v="0"/>
    <n v="2803.6"/>
    <n v="2703.9333333333334"/>
  </r>
  <r>
    <x v="14"/>
    <s v="Germanna Community College"/>
    <m/>
    <n v="232195"/>
    <x v="7"/>
    <s v="sem"/>
    <s v="sem"/>
    <m/>
    <m/>
    <n v="59439"/>
    <n v="55361"/>
    <n v="16141"/>
    <n v="15867"/>
    <n v="62430"/>
    <n v="61228"/>
    <n v="138010"/>
    <n v="4600.333333333333"/>
    <n v="132456"/>
    <n v="4415.2"/>
    <n v="17878"/>
    <n v="16946"/>
    <n v="138010"/>
    <n v="132456"/>
    <m/>
    <m/>
    <m/>
    <m/>
    <m/>
    <m/>
    <m/>
    <m/>
    <n v="0"/>
    <n v="0"/>
    <n v="0"/>
    <n v="0"/>
    <m/>
    <m/>
    <n v="0"/>
    <n v="0"/>
    <m/>
    <m/>
    <n v="0"/>
    <m/>
    <n v="0"/>
    <m/>
    <n v="0"/>
    <m/>
    <n v="0"/>
    <n v="0"/>
    <n v="0"/>
    <n v="0"/>
    <n v="4600.333333333333"/>
    <n v="4415.2"/>
  </r>
  <r>
    <x v="14"/>
    <s v="John Tyler Community College"/>
    <s v="Reclassified: met the criteria for Two-Year 1 in 2011-12, 2012-13, and 2013-14."/>
    <n v="232450"/>
    <x v="6"/>
    <s v="sem"/>
    <s v="sem"/>
    <m/>
    <m/>
    <n v="78614"/>
    <n v="73502"/>
    <n v="24389"/>
    <n v="21547"/>
    <n v="80861"/>
    <n v="78563"/>
    <n v="183864"/>
    <n v="6128.8"/>
    <n v="173612"/>
    <n v="5787.0666666666666"/>
    <n v="43091"/>
    <n v="41869"/>
    <n v="183864"/>
    <n v="173612"/>
    <m/>
    <m/>
    <m/>
    <m/>
    <m/>
    <m/>
    <m/>
    <m/>
    <n v="0"/>
    <n v="0"/>
    <n v="0"/>
    <n v="0"/>
    <m/>
    <m/>
    <n v="0"/>
    <n v="0"/>
    <m/>
    <m/>
    <n v="0"/>
    <m/>
    <n v="0"/>
    <m/>
    <n v="0"/>
    <m/>
    <n v="0"/>
    <n v="0"/>
    <n v="0"/>
    <n v="0"/>
    <n v="6128.8"/>
    <n v="5787.0666666666666"/>
  </r>
  <r>
    <x v="14"/>
    <s v="Lord Fairfax Community College"/>
    <m/>
    <n v="232575"/>
    <x v="7"/>
    <s v="sem"/>
    <s v="sem"/>
    <m/>
    <m/>
    <n v="52877"/>
    <n v="51873"/>
    <n v="14797"/>
    <n v="13406"/>
    <n v="59044"/>
    <n v="58541"/>
    <n v="126718"/>
    <n v="4223.9333333333334"/>
    <n v="123820"/>
    <n v="4127.333333333333"/>
    <n v="43937"/>
    <n v="47558"/>
    <n v="126718"/>
    <n v="123820"/>
    <m/>
    <m/>
    <m/>
    <m/>
    <m/>
    <m/>
    <m/>
    <m/>
    <n v="0"/>
    <n v="0"/>
    <n v="0"/>
    <n v="0"/>
    <m/>
    <m/>
    <n v="0"/>
    <n v="0"/>
    <m/>
    <m/>
    <n v="0"/>
    <m/>
    <n v="0"/>
    <m/>
    <n v="0"/>
    <m/>
    <n v="0"/>
    <n v="0"/>
    <n v="0"/>
    <n v="0"/>
    <n v="4223.9333333333334"/>
    <n v="4127.333333333333"/>
  </r>
  <r>
    <x v="14"/>
    <s v="Mountain Empire Community College"/>
    <s v="Met the criteria for Two-Year 3 in 2013-14. "/>
    <n v="232788"/>
    <x v="7"/>
    <s v="sem"/>
    <s v="sem"/>
    <m/>
    <m/>
    <n v="25521"/>
    <n v="23239"/>
    <n v="7806"/>
    <n v="6863"/>
    <n v="28344"/>
    <n v="27126"/>
    <n v="61671"/>
    <n v="2055.6999999999998"/>
    <n v="57228"/>
    <n v="1907.6"/>
    <n v="19970"/>
    <n v="22275"/>
    <n v="61671"/>
    <n v="57228"/>
    <m/>
    <m/>
    <m/>
    <m/>
    <m/>
    <m/>
    <m/>
    <m/>
    <n v="0"/>
    <n v="0"/>
    <n v="0"/>
    <n v="0"/>
    <m/>
    <m/>
    <n v="0"/>
    <n v="0"/>
    <m/>
    <m/>
    <n v="0"/>
    <m/>
    <n v="0"/>
    <m/>
    <n v="0"/>
    <m/>
    <n v="0"/>
    <n v="0"/>
    <n v="0"/>
    <n v="0"/>
    <n v="2055.6999999999998"/>
    <n v="1907.6"/>
  </r>
  <r>
    <x v="14"/>
    <s v="New River Community College "/>
    <m/>
    <n v="232867"/>
    <x v="7"/>
    <s v="sem"/>
    <s v="sem"/>
    <m/>
    <m/>
    <n v="44203"/>
    <n v="38470"/>
    <n v="11068"/>
    <n v="8777"/>
    <n v="42969"/>
    <n v="41413"/>
    <n v="98240"/>
    <n v="3274.6666666666665"/>
    <n v="88660"/>
    <n v="2955.3333333333335"/>
    <n v="27899"/>
    <n v="28085"/>
    <n v="98240"/>
    <n v="88660"/>
    <m/>
    <m/>
    <m/>
    <m/>
    <m/>
    <m/>
    <m/>
    <m/>
    <n v="0"/>
    <n v="0"/>
    <n v="0"/>
    <n v="0"/>
    <m/>
    <m/>
    <n v="0"/>
    <n v="0"/>
    <m/>
    <m/>
    <n v="0"/>
    <m/>
    <n v="0"/>
    <m/>
    <n v="0"/>
    <m/>
    <n v="0"/>
    <n v="0"/>
    <n v="0"/>
    <n v="0"/>
    <n v="3274.6666666666665"/>
    <n v="2955.3333333333335"/>
  </r>
  <r>
    <x v="14"/>
    <s v="Patrick Henry Community College "/>
    <m/>
    <n v="233019"/>
    <x v="7"/>
    <s v="sem"/>
    <s v="sem"/>
    <m/>
    <m/>
    <n v="31342"/>
    <n v="28535"/>
    <n v="10391"/>
    <n v="7900"/>
    <n v="31537"/>
    <n v="30695"/>
    <n v="73270"/>
    <n v="2442.3333333333335"/>
    <n v="67130"/>
    <n v="2237.6666666666665"/>
    <n v="22362"/>
    <n v="27803"/>
    <n v="73270"/>
    <n v="67130"/>
    <m/>
    <m/>
    <m/>
    <m/>
    <m/>
    <m/>
    <m/>
    <m/>
    <n v="0"/>
    <n v="0"/>
    <n v="0"/>
    <n v="0"/>
    <m/>
    <m/>
    <n v="0"/>
    <n v="0"/>
    <m/>
    <m/>
    <n v="0"/>
    <m/>
    <n v="0"/>
    <m/>
    <n v="0"/>
    <m/>
    <n v="0"/>
    <n v="0"/>
    <n v="0"/>
    <n v="0"/>
    <n v="2442.3333333333335"/>
    <n v="2237.6666666666665"/>
  </r>
  <r>
    <x v="14"/>
    <s v="Piedmont Virginia Community College "/>
    <m/>
    <n v="233116"/>
    <x v="7"/>
    <s v="sem"/>
    <s v="sem"/>
    <m/>
    <m/>
    <n v="39108"/>
    <n v="38118"/>
    <n v="10110"/>
    <n v="10573"/>
    <n v="42187"/>
    <n v="41436"/>
    <n v="91405"/>
    <n v="3046.8333333333335"/>
    <n v="90127"/>
    <n v="3004.2333333333331"/>
    <n v="23641"/>
    <n v="25132"/>
    <n v="91405"/>
    <n v="90127"/>
    <m/>
    <m/>
    <m/>
    <m/>
    <m/>
    <m/>
    <m/>
    <m/>
    <n v="0"/>
    <n v="0"/>
    <n v="0"/>
    <n v="0"/>
    <m/>
    <m/>
    <n v="0"/>
    <n v="0"/>
    <m/>
    <m/>
    <n v="0"/>
    <m/>
    <n v="0"/>
    <m/>
    <n v="0"/>
    <m/>
    <n v="0"/>
    <n v="0"/>
    <n v="0"/>
    <n v="0"/>
    <n v="3046.8333333333335"/>
    <n v="3004.2333333333331"/>
  </r>
  <r>
    <x v="14"/>
    <s v="Southside Virginia Community College"/>
    <m/>
    <n v="233639"/>
    <x v="7"/>
    <s v="sem"/>
    <s v="sem"/>
    <m/>
    <m/>
    <n v="47196"/>
    <n v="45800"/>
    <n v="17221"/>
    <n v="14191"/>
    <n v="51494"/>
    <n v="50277"/>
    <n v="115911"/>
    <n v="3863.7"/>
    <n v="110268"/>
    <n v="3675.6"/>
    <n v="63550"/>
    <n v="69549"/>
    <n v="115911"/>
    <n v="110268"/>
    <m/>
    <m/>
    <m/>
    <m/>
    <m/>
    <m/>
    <m/>
    <m/>
    <n v="0"/>
    <n v="0"/>
    <n v="0"/>
    <n v="0"/>
    <m/>
    <m/>
    <n v="0"/>
    <n v="0"/>
    <m/>
    <m/>
    <n v="0"/>
    <m/>
    <n v="0"/>
    <m/>
    <n v="0"/>
    <m/>
    <n v="0"/>
    <n v="0"/>
    <n v="0"/>
    <n v="0"/>
    <n v="3863.7"/>
    <n v="3675.6"/>
  </r>
  <r>
    <x v="14"/>
    <s v="Southwest Virginia Community College "/>
    <s v="Met the criteria for Two-Year 3 in 2012-13 and 2013-14."/>
    <n v="233648"/>
    <x v="7"/>
    <s v="sem"/>
    <s v="sem"/>
    <m/>
    <m/>
    <n v="24684"/>
    <n v="22703"/>
    <n v="9797"/>
    <n v="8020"/>
    <n v="24876"/>
    <n v="24066"/>
    <n v="59357"/>
    <n v="1978.5666666666666"/>
    <n v="54789"/>
    <n v="1826.3"/>
    <n v="19271"/>
    <n v="16667"/>
    <n v="59357"/>
    <n v="54789"/>
    <m/>
    <m/>
    <m/>
    <m/>
    <m/>
    <m/>
    <m/>
    <m/>
    <n v="0"/>
    <n v="0"/>
    <n v="0"/>
    <n v="0"/>
    <m/>
    <m/>
    <n v="0"/>
    <n v="0"/>
    <m/>
    <m/>
    <n v="0"/>
    <m/>
    <n v="0"/>
    <m/>
    <n v="0"/>
    <m/>
    <n v="0"/>
    <n v="0"/>
    <n v="0"/>
    <n v="0"/>
    <n v="1978.5666666666666"/>
    <n v="1826.3"/>
  </r>
  <r>
    <x v="14"/>
    <s v="Virginia Western Community College "/>
    <m/>
    <n v="233949"/>
    <x v="7"/>
    <s v="sem"/>
    <s v="sem"/>
    <m/>
    <m/>
    <n v="63610"/>
    <n v="59965"/>
    <n v="16665"/>
    <n v="16317"/>
    <n v="66570"/>
    <n v="68808"/>
    <n v="146845"/>
    <n v="4894.833333333333"/>
    <n v="145090"/>
    <n v="4836.333333333333"/>
    <n v="35649"/>
    <n v="43154"/>
    <n v="146845"/>
    <n v="145090"/>
    <m/>
    <m/>
    <m/>
    <m/>
    <m/>
    <m/>
    <m/>
    <m/>
    <n v="0"/>
    <n v="0"/>
    <n v="0"/>
    <n v="0"/>
    <m/>
    <m/>
    <n v="0"/>
    <n v="0"/>
    <m/>
    <m/>
    <n v="0"/>
    <m/>
    <n v="0"/>
    <m/>
    <n v="0"/>
    <m/>
    <n v="0"/>
    <n v="0"/>
    <n v="0"/>
    <n v="0"/>
    <n v="4894.833333333333"/>
    <n v="4836.333333333333"/>
  </r>
  <r>
    <x v="14"/>
    <s v="Wytheville Community College "/>
    <m/>
    <n v="234377"/>
    <x v="7"/>
    <s v="sem"/>
    <s v="sem"/>
    <m/>
    <m/>
    <n v="28458"/>
    <n v="27341"/>
    <n v="10541"/>
    <n v="8040"/>
    <n v="30401"/>
    <n v="28568"/>
    <n v="69400"/>
    <n v="2313.3333333333335"/>
    <n v="63949"/>
    <n v="2131.6333333333332"/>
    <n v="24178"/>
    <n v="26089"/>
    <n v="69400"/>
    <n v="63949"/>
    <m/>
    <m/>
    <m/>
    <m/>
    <m/>
    <m/>
    <m/>
    <m/>
    <n v="0"/>
    <n v="0"/>
    <n v="0"/>
    <n v="0"/>
    <m/>
    <m/>
    <n v="0"/>
    <n v="0"/>
    <m/>
    <m/>
    <n v="0"/>
    <m/>
    <n v="0"/>
    <m/>
    <n v="0"/>
    <m/>
    <n v="0"/>
    <n v="0"/>
    <n v="0"/>
    <n v="0"/>
    <n v="2313.3333333333335"/>
    <n v="2131.6333333333332"/>
  </r>
  <r>
    <x v="14"/>
    <s v="D.S. Lancaster Community College "/>
    <m/>
    <n v="231873"/>
    <x v="8"/>
    <s v="sem"/>
    <s v="sem"/>
    <m/>
    <m/>
    <n v="11160"/>
    <n v="10288"/>
    <n v="2900"/>
    <n v="2106"/>
    <n v="11931"/>
    <n v="11036"/>
    <n v="25991"/>
    <n v="866.36666666666667"/>
    <n v="23430"/>
    <n v="781"/>
    <n v="9103"/>
    <n v="7938"/>
    <n v="25991"/>
    <n v="23430"/>
    <m/>
    <m/>
    <m/>
    <m/>
    <m/>
    <m/>
    <m/>
    <m/>
    <n v="0"/>
    <n v="0"/>
    <n v="0"/>
    <n v="0"/>
    <m/>
    <m/>
    <n v="0"/>
    <n v="0"/>
    <m/>
    <m/>
    <n v="0"/>
    <m/>
    <n v="0"/>
    <m/>
    <n v="0"/>
    <m/>
    <n v="0"/>
    <n v="0"/>
    <n v="0"/>
    <n v="0"/>
    <n v="866.36666666666667"/>
    <n v="781"/>
  </r>
  <r>
    <x v="14"/>
    <s v="Eastern Shore Community College"/>
    <m/>
    <n v="232052"/>
    <x v="8"/>
    <s v="sem"/>
    <s v="sem"/>
    <m/>
    <m/>
    <n v="8578"/>
    <n v="8287"/>
    <n v="1516"/>
    <n v="1094"/>
    <n v="8341"/>
    <n v="7290"/>
    <n v="18435"/>
    <n v="614.5"/>
    <n v="16671"/>
    <n v="555.70000000000005"/>
    <n v="4877"/>
    <n v="5154"/>
    <n v="18435"/>
    <n v="16671"/>
    <m/>
    <m/>
    <m/>
    <m/>
    <m/>
    <m/>
    <m/>
    <m/>
    <n v="0"/>
    <n v="0"/>
    <n v="0"/>
    <n v="0"/>
    <m/>
    <m/>
    <n v="0"/>
    <n v="0"/>
    <m/>
    <m/>
    <n v="0"/>
    <m/>
    <n v="0"/>
    <m/>
    <n v="0"/>
    <m/>
    <n v="0"/>
    <n v="0"/>
    <n v="0"/>
    <n v="0"/>
    <n v="614.5"/>
    <n v="555.70000000000005"/>
  </r>
  <r>
    <x v="14"/>
    <s v="Paul D. Camp Community College"/>
    <m/>
    <n v="233037"/>
    <x v="8"/>
    <s v="sem"/>
    <s v="sem"/>
    <m/>
    <m/>
    <n v="13066"/>
    <n v="11613"/>
    <n v="5860"/>
    <n v="4168"/>
    <n v="11864"/>
    <n v="11353"/>
    <n v="30790"/>
    <n v="1026.3333333333333"/>
    <n v="27134"/>
    <n v="904.4666666666667"/>
    <n v="9500"/>
    <n v="9760"/>
    <n v="30790"/>
    <n v="27134"/>
    <m/>
    <m/>
    <m/>
    <m/>
    <m/>
    <m/>
    <m/>
    <m/>
    <n v="0"/>
    <n v="0"/>
    <n v="0"/>
    <n v="0"/>
    <m/>
    <m/>
    <n v="0"/>
    <n v="0"/>
    <m/>
    <m/>
    <n v="0"/>
    <m/>
    <n v="0"/>
    <m/>
    <n v="0"/>
    <m/>
    <n v="0"/>
    <n v="0"/>
    <n v="0"/>
    <n v="0"/>
    <n v="1026.3333333333333"/>
    <n v="904.4666666666667"/>
  </r>
  <r>
    <x v="14"/>
    <s v="Rappahannock Community College"/>
    <m/>
    <n v="233310"/>
    <x v="8"/>
    <s v="sem"/>
    <s v="sem"/>
    <m/>
    <m/>
    <n v="26560"/>
    <n v="25335"/>
    <n v="7115"/>
    <n v="5789"/>
    <n v="28562"/>
    <n v="27219"/>
    <n v="62237"/>
    <n v="2074.5666666666666"/>
    <n v="58343"/>
    <n v="1944.7666666666667"/>
    <n v="41490"/>
    <n v="43695"/>
    <n v="62237"/>
    <n v="58343"/>
    <m/>
    <m/>
    <m/>
    <m/>
    <m/>
    <m/>
    <m/>
    <m/>
    <n v="0"/>
    <n v="0"/>
    <n v="0"/>
    <n v="0"/>
    <m/>
    <m/>
    <n v="0"/>
    <n v="0"/>
    <m/>
    <m/>
    <n v="0"/>
    <m/>
    <n v="0"/>
    <m/>
    <n v="0"/>
    <m/>
    <n v="0"/>
    <n v="0"/>
    <n v="0"/>
    <n v="0"/>
    <n v="2074.5666666666666"/>
    <n v="1944.7666666666667"/>
  </r>
  <r>
    <x v="14"/>
    <s v="Richard Bland College "/>
    <m/>
    <n v="233338"/>
    <x v="8"/>
    <s v="sem"/>
    <s v="sem"/>
    <m/>
    <m/>
    <n v="15080"/>
    <n v="14159"/>
    <n v="2691"/>
    <n v="1937"/>
    <n v="16747"/>
    <n v="15407"/>
    <n v="34518"/>
    <n v="1150.5999999999999"/>
    <n v="31503"/>
    <n v="1050.0999999999999"/>
    <n v="4931"/>
    <n v="5205"/>
    <n v="34518"/>
    <n v="31503"/>
    <m/>
    <m/>
    <m/>
    <m/>
    <m/>
    <m/>
    <m/>
    <m/>
    <n v="0"/>
    <n v="0"/>
    <n v="0"/>
    <n v="0"/>
    <m/>
    <m/>
    <n v="0"/>
    <n v="0"/>
    <m/>
    <m/>
    <n v="0"/>
    <m/>
    <n v="0"/>
    <m/>
    <n v="0"/>
    <m/>
    <n v="0"/>
    <n v="0"/>
    <n v="0"/>
    <n v="0"/>
    <n v="1150.5999999999999"/>
    <n v="1050.0999999999999"/>
  </r>
  <r>
    <x v="14"/>
    <s v="Virginia Highlands Community College "/>
    <m/>
    <n v="233903"/>
    <x v="8"/>
    <s v="sem"/>
    <s v="sem"/>
    <m/>
    <m/>
    <n v="22800"/>
    <n v="21921"/>
    <n v="5927"/>
    <n v="4704"/>
    <n v="23828"/>
    <n v="23195"/>
    <n v="52555"/>
    <n v="1751.8333333333333"/>
    <n v="49820"/>
    <n v="1660.6666666666667"/>
    <n v="16077"/>
    <n v="16178"/>
    <n v="52555"/>
    <n v="49820"/>
    <m/>
    <m/>
    <m/>
    <m/>
    <m/>
    <m/>
    <m/>
    <m/>
    <n v="0"/>
    <n v="0"/>
    <n v="0"/>
    <n v="0"/>
    <m/>
    <m/>
    <n v="0"/>
    <n v="0"/>
    <m/>
    <m/>
    <n v="0"/>
    <m/>
    <n v="0"/>
    <m/>
    <n v="0"/>
    <m/>
    <n v="0"/>
    <n v="0"/>
    <n v="0"/>
    <n v="0"/>
    <n v="1751.8333333333333"/>
    <n v="1660.6666666666667"/>
  </r>
  <r>
    <x v="14"/>
    <m/>
    <s v="all 8's"/>
    <m/>
    <x v="14"/>
    <m/>
    <m/>
    <m/>
    <m/>
    <m/>
    <m/>
    <m/>
    <m/>
    <m/>
    <m/>
    <n v="0"/>
    <n v="0"/>
    <n v="0"/>
    <n v="0"/>
    <n v="0"/>
    <m/>
    <n v="0"/>
    <n v="0"/>
    <m/>
    <m/>
    <m/>
    <m/>
    <m/>
    <m/>
    <m/>
    <m/>
    <n v="0"/>
    <n v="0"/>
    <n v="0"/>
    <n v="0"/>
    <m/>
    <m/>
    <n v="0"/>
    <n v="0"/>
    <m/>
    <m/>
    <n v="0"/>
    <m/>
    <n v="0"/>
    <m/>
    <n v="0"/>
    <m/>
    <n v="0"/>
    <n v="0"/>
    <n v="0"/>
    <n v="0"/>
    <n v="0"/>
    <n v="0"/>
  </r>
  <r>
    <x v="14"/>
    <m/>
    <s v="all 9's"/>
    <m/>
    <x v="15"/>
    <m/>
    <m/>
    <m/>
    <m/>
    <m/>
    <m/>
    <m/>
    <m/>
    <m/>
    <m/>
    <n v="0"/>
    <n v="0"/>
    <n v="0"/>
    <n v="0"/>
    <m/>
    <m/>
    <n v="0"/>
    <n v="0"/>
    <m/>
    <m/>
    <m/>
    <m/>
    <m/>
    <m/>
    <m/>
    <m/>
    <n v="0"/>
    <n v="0"/>
    <n v="0"/>
    <n v="0"/>
    <m/>
    <m/>
    <n v="0"/>
    <n v="0"/>
    <m/>
    <m/>
    <m/>
    <m/>
    <m/>
    <m/>
    <m/>
    <m/>
    <n v="0"/>
    <n v="0"/>
    <n v="0"/>
    <n v="0"/>
    <n v="0"/>
    <n v="0"/>
  </r>
  <r>
    <x v="14"/>
    <m/>
    <s v="All'10's except R.B."/>
    <m/>
    <x v="16"/>
    <m/>
    <m/>
    <m/>
    <m/>
    <m/>
    <m/>
    <m/>
    <m/>
    <m/>
    <m/>
    <n v="0"/>
    <n v="0"/>
    <n v="0"/>
    <n v="0"/>
    <m/>
    <m/>
    <n v="0"/>
    <n v="0"/>
    <m/>
    <m/>
    <m/>
    <m/>
    <m/>
    <m/>
    <m/>
    <m/>
    <n v="0"/>
    <n v="0"/>
    <n v="0"/>
    <n v="0"/>
    <m/>
    <m/>
    <n v="0"/>
    <n v="0"/>
    <m/>
    <m/>
    <m/>
    <m/>
    <m/>
    <m/>
    <m/>
    <m/>
    <n v="0"/>
    <n v="0"/>
    <n v="0"/>
    <n v="0"/>
    <n v="0"/>
    <n v="0"/>
  </r>
  <r>
    <x v="14"/>
    <s v="Richard Bland College B"/>
    <m/>
    <n v="233338"/>
    <x v="16"/>
    <s v="sem"/>
    <m/>
    <m/>
    <m/>
    <m/>
    <m/>
    <m/>
    <m/>
    <m/>
    <m/>
    <n v="0"/>
    <n v="0"/>
    <n v="0"/>
    <n v="0"/>
    <m/>
    <m/>
    <n v="0"/>
    <n v="0"/>
    <m/>
    <m/>
    <m/>
    <m/>
    <m/>
    <m/>
    <m/>
    <m/>
    <n v="0"/>
    <n v="0"/>
    <n v="0"/>
    <n v="0"/>
    <m/>
    <m/>
    <n v="0"/>
    <n v="0"/>
    <m/>
    <m/>
    <m/>
    <m/>
    <m/>
    <m/>
    <m/>
    <m/>
    <n v="0"/>
    <n v="0"/>
    <n v="0"/>
    <n v="0"/>
    <n v="0"/>
    <n v="0"/>
  </r>
  <r>
    <x v="14"/>
    <s v="All Community Colleges except R. Bland"/>
    <m/>
    <s v="All CC - Bland"/>
    <x v="12"/>
    <s v="sem"/>
    <m/>
    <m/>
    <m/>
    <m/>
    <m/>
    <m/>
    <m/>
    <m/>
    <m/>
    <n v="0"/>
    <n v="0"/>
    <n v="0"/>
    <n v="0"/>
    <m/>
    <m/>
    <n v="0"/>
    <n v="0"/>
    <m/>
    <m/>
    <m/>
    <m/>
    <m/>
    <m/>
    <m/>
    <m/>
    <n v="0"/>
    <n v="0"/>
    <n v="0"/>
    <n v="0"/>
    <m/>
    <m/>
    <n v="0"/>
    <n v="0"/>
    <m/>
    <m/>
    <m/>
    <m/>
    <m/>
    <m/>
    <m/>
    <m/>
    <n v="0"/>
    <n v="0"/>
    <n v="0"/>
    <n v="0"/>
    <n v="0"/>
    <n v="0"/>
  </r>
  <r>
    <x v="15"/>
    <s v="West Virginia University"/>
    <m/>
    <n v="238032"/>
    <x v="0"/>
    <s v="sem"/>
    <s v="sem"/>
    <m/>
    <m/>
    <n v="296949"/>
    <n v="299810"/>
    <n v="41146"/>
    <n v="40929"/>
    <n v="323322"/>
    <n v="322192"/>
    <n v="661417"/>
    <n v="22047.233333333334"/>
    <n v="662931"/>
    <n v="22097.7"/>
    <n v="3343"/>
    <n v="3603"/>
    <n v="661417"/>
    <n v="662931"/>
    <m/>
    <m/>
    <m/>
    <m/>
    <m/>
    <m/>
    <m/>
    <m/>
    <n v="0"/>
    <n v="0"/>
    <n v="0"/>
    <n v="0"/>
    <m/>
    <m/>
    <n v="0"/>
    <n v="0"/>
    <m/>
    <m/>
    <n v="48168"/>
    <n v="47989"/>
    <n v="19500"/>
    <n v="14207"/>
    <n v="49007"/>
    <n v="48352"/>
    <n v="116675"/>
    <n v="4861.458333333333"/>
    <n v="110548"/>
    <n v="4606.166666666667"/>
    <n v="26908.691666666666"/>
    <n v="26703.866666666669"/>
  </r>
  <r>
    <x v="15"/>
    <s v="Marshall University "/>
    <m/>
    <n v="237525"/>
    <x v="2"/>
    <s v="sem"/>
    <s v="sem"/>
    <m/>
    <m/>
    <n v="116953"/>
    <n v="115195"/>
    <n v="16461"/>
    <n v="15719"/>
    <n v="130646"/>
    <n v="132414"/>
    <n v="264060"/>
    <n v="8802"/>
    <n v="263328"/>
    <n v="8777.6"/>
    <n v="4215"/>
    <n v="4039"/>
    <n v="264060"/>
    <n v="263328"/>
    <m/>
    <m/>
    <m/>
    <m/>
    <m/>
    <m/>
    <m/>
    <m/>
    <n v="0"/>
    <n v="0"/>
    <n v="0"/>
    <n v="0"/>
    <m/>
    <m/>
    <n v="0"/>
    <n v="0"/>
    <m/>
    <m/>
    <n v="22002"/>
    <n v="22773"/>
    <n v="11103"/>
    <n v="11363"/>
    <n v="22379"/>
    <n v="23648"/>
    <n v="55484"/>
    <n v="2311.8333333333335"/>
    <n v="57784"/>
    <n v="2407.6666666666665"/>
    <n v="11113.833333333334"/>
    <n v="11185.266666666666"/>
  </r>
  <r>
    <x v="15"/>
    <s v="Fairmont State University"/>
    <m/>
    <n v="237367"/>
    <x v="4"/>
    <s v="sem"/>
    <s v="sem"/>
    <m/>
    <m/>
    <n v="52632"/>
    <n v="51389"/>
    <n v="6860"/>
    <n v="6225"/>
    <n v="56311"/>
    <n v="53920"/>
    <n v="115803"/>
    <n v="3860.1"/>
    <n v="111534"/>
    <n v="3717.8"/>
    <n v="36"/>
    <n v="47"/>
    <n v="115803"/>
    <n v="111534"/>
    <m/>
    <m/>
    <m/>
    <m/>
    <m/>
    <m/>
    <m/>
    <m/>
    <n v="0"/>
    <n v="0"/>
    <n v="0"/>
    <n v="0"/>
    <m/>
    <m/>
    <n v="0"/>
    <n v="0"/>
    <m/>
    <m/>
    <n v="2255"/>
    <n v="2025"/>
    <n v="1242"/>
    <n v="962"/>
    <n v="2347"/>
    <n v="1866"/>
    <n v="5844"/>
    <n v="243.5"/>
    <n v="4853"/>
    <n v="202.20833333333334"/>
    <n v="4103.6000000000004"/>
    <n v="3920.0083333333337"/>
  </r>
  <r>
    <x v="15"/>
    <s v="Shepherd University "/>
    <m/>
    <n v="237792"/>
    <x v="4"/>
    <s v="sem"/>
    <s v="sem"/>
    <m/>
    <m/>
    <n v="51726.5"/>
    <n v="50830"/>
    <n v="4213"/>
    <n v="4534"/>
    <n v="55886.5"/>
    <n v="53236.5"/>
    <n v="111826"/>
    <n v="3727.5333333333333"/>
    <n v="108600.5"/>
    <n v="3620.0166666666669"/>
    <n v="106"/>
    <n v="131"/>
    <n v="111826"/>
    <n v="108600.5"/>
    <m/>
    <m/>
    <m/>
    <m/>
    <m/>
    <m/>
    <m/>
    <m/>
    <n v="0"/>
    <n v="0"/>
    <n v="0"/>
    <n v="0"/>
    <m/>
    <m/>
    <n v="0"/>
    <n v="0"/>
    <m/>
    <m/>
    <n v="958"/>
    <n v="1127"/>
    <n v="522"/>
    <n v="472"/>
    <n v="1051"/>
    <n v="1283"/>
    <n v="2531"/>
    <n v="105.45833333333333"/>
    <n v="2882"/>
    <n v="120.08333333333333"/>
    <n v="3832.9916666666668"/>
    <n v="3740.1000000000004"/>
  </r>
  <r>
    <x v="15"/>
    <s v="Bluefield State College "/>
    <m/>
    <n v="237215"/>
    <x v="5"/>
    <s v="sem"/>
    <s v="sem"/>
    <m/>
    <m/>
    <n v="24278"/>
    <n v="23250"/>
    <n v="3108"/>
    <n v="2207"/>
    <n v="25885"/>
    <n v="23525"/>
    <n v="53271"/>
    <n v="1775.7"/>
    <n v="48982"/>
    <n v="1632.7333333333333"/>
    <n v="349"/>
    <n v="412"/>
    <n v="53271"/>
    <n v="48982"/>
    <m/>
    <m/>
    <m/>
    <m/>
    <m/>
    <m/>
    <m/>
    <m/>
    <n v="0"/>
    <n v="0"/>
    <n v="0"/>
    <n v="0"/>
    <m/>
    <m/>
    <n v="0"/>
    <n v="0"/>
    <m/>
    <m/>
    <m/>
    <m/>
    <m/>
    <m/>
    <m/>
    <m/>
    <n v="0"/>
    <n v="0"/>
    <n v="0"/>
    <n v="0"/>
    <n v="1775.7"/>
    <n v="1632.7333333333333"/>
  </r>
  <r>
    <x v="15"/>
    <s v="Concord University "/>
    <m/>
    <n v="237330"/>
    <x v="5"/>
    <s v="sem"/>
    <s v="sem"/>
    <m/>
    <m/>
    <n v="34587"/>
    <n v="35361"/>
    <n v="4041"/>
    <n v="4160"/>
    <n v="37969"/>
    <n v="36214"/>
    <n v="76597"/>
    <n v="2553.2333333333331"/>
    <n v="75735"/>
    <n v="2524.5"/>
    <n v="739"/>
    <n v="551"/>
    <n v="76597"/>
    <n v="75735"/>
    <m/>
    <m/>
    <m/>
    <m/>
    <m/>
    <m/>
    <m/>
    <m/>
    <n v="0"/>
    <n v="0"/>
    <n v="0"/>
    <n v="0"/>
    <m/>
    <m/>
    <n v="0"/>
    <n v="0"/>
    <m/>
    <m/>
    <n v="2312"/>
    <n v="1227"/>
    <n v="2046"/>
    <n v="1149"/>
    <n v="1147"/>
    <n v="1752"/>
    <n v="5505"/>
    <n v="229.375"/>
    <n v="4128"/>
    <n v="172"/>
    <n v="2782.6083333333331"/>
    <n v="2696.5"/>
  </r>
  <r>
    <x v="15"/>
    <s v="Glenville State College "/>
    <m/>
    <n v="237385"/>
    <x v="5"/>
    <s v="sem"/>
    <s v="sem"/>
    <m/>
    <m/>
    <n v="19207"/>
    <n v="18682"/>
    <n v="2725"/>
    <n v="1194"/>
    <n v="21524.1"/>
    <n v="19515.099999999999"/>
    <n v="43456.1"/>
    <n v="1448.5366666666666"/>
    <n v="39391.1"/>
    <n v="1313.0366666666666"/>
    <n v="1840"/>
    <n v="1787"/>
    <n v="43456.1"/>
    <n v="39391.1"/>
    <m/>
    <m/>
    <m/>
    <m/>
    <m/>
    <m/>
    <m/>
    <m/>
    <n v="0"/>
    <n v="0"/>
    <n v="0"/>
    <n v="0"/>
    <m/>
    <m/>
    <n v="0"/>
    <n v="0"/>
    <m/>
    <m/>
    <m/>
    <m/>
    <m/>
    <m/>
    <m/>
    <m/>
    <n v="0"/>
    <n v="0"/>
    <n v="0"/>
    <n v="0"/>
    <n v="1448.5366666666666"/>
    <n v="1313.0366666666666"/>
  </r>
  <r>
    <x v="15"/>
    <s v="West Liberty University"/>
    <m/>
    <n v="237932"/>
    <x v="5"/>
    <s v="sem"/>
    <s v="sem"/>
    <m/>
    <m/>
    <n v="35783"/>
    <n v="35701"/>
    <n v="2472"/>
    <n v="2752"/>
    <n v="39287"/>
    <n v="37771"/>
    <n v="77542"/>
    <n v="2584.7333333333331"/>
    <n v="76224"/>
    <n v="2540.8000000000002"/>
    <n v="1473"/>
    <n v="1750"/>
    <n v="77542"/>
    <n v="76224"/>
    <m/>
    <m/>
    <m/>
    <m/>
    <m/>
    <m/>
    <m/>
    <m/>
    <n v="0"/>
    <n v="0"/>
    <n v="0"/>
    <n v="0"/>
    <m/>
    <m/>
    <n v="0"/>
    <n v="0"/>
    <m/>
    <m/>
    <n v="492"/>
    <n v="992"/>
    <n v="641"/>
    <n v="1498"/>
    <n v="706"/>
    <n v="1813"/>
    <n v="1839"/>
    <n v="76.625"/>
    <n v="4303"/>
    <n v="179.29166666666666"/>
    <n v="2661.3583333333331"/>
    <n v="2720.0916666666667"/>
  </r>
  <r>
    <x v="15"/>
    <s v="West Virginia State University "/>
    <m/>
    <n v="237899"/>
    <x v="5"/>
    <s v="sem"/>
    <s v="sem"/>
    <m/>
    <m/>
    <n v="30993"/>
    <n v="28684"/>
    <n v="2131"/>
    <n v="2201"/>
    <n v="31490"/>
    <n v="31753"/>
    <n v="64614"/>
    <n v="2153.8000000000002"/>
    <n v="62638"/>
    <n v="2087.9333333333334"/>
    <n v="2772"/>
    <n v="2169"/>
    <n v="64614"/>
    <n v="62638"/>
    <m/>
    <m/>
    <m/>
    <m/>
    <m/>
    <m/>
    <m/>
    <m/>
    <n v="0"/>
    <n v="0"/>
    <n v="0"/>
    <n v="0"/>
    <m/>
    <m/>
    <n v="0"/>
    <n v="0"/>
    <m/>
    <m/>
    <n v="546"/>
    <n v="449"/>
    <n v="72"/>
    <n v="62"/>
    <n v="520"/>
    <n v="418"/>
    <n v="1138"/>
    <n v="47.416666666666664"/>
    <n v="929"/>
    <n v="38.708333333333336"/>
    <n v="2201.2166666666667"/>
    <n v="2126.6416666666669"/>
  </r>
  <r>
    <x v="15"/>
    <s v="West Virginia University Institute of Technology"/>
    <m/>
    <n v="237950"/>
    <x v="5"/>
    <s v="sem"/>
    <s v="sem"/>
    <m/>
    <m/>
    <n v="13594"/>
    <n v="13175"/>
    <n v="904"/>
    <n v="1071"/>
    <n v="14289"/>
    <n v="15870"/>
    <n v="28787"/>
    <n v="959.56666666666672"/>
    <n v="30116"/>
    <n v="1003.8666666666667"/>
    <n v="738"/>
    <n v="570"/>
    <n v="28787"/>
    <n v="30116"/>
    <m/>
    <m/>
    <m/>
    <m/>
    <m/>
    <m/>
    <m/>
    <m/>
    <n v="0"/>
    <n v="0"/>
    <n v="0"/>
    <n v="0"/>
    <m/>
    <m/>
    <n v="0"/>
    <n v="0"/>
    <m/>
    <m/>
    <m/>
    <m/>
    <m/>
    <m/>
    <m/>
    <m/>
    <n v="0"/>
    <n v="0"/>
    <n v="0"/>
    <n v="0"/>
    <n v="959.56666666666672"/>
    <n v="1003.8666666666667"/>
  </r>
  <r>
    <x v="15"/>
    <s v="Potomac State College of West Virginia University"/>
    <m/>
    <n v="237701"/>
    <x v="11"/>
    <s v="sem"/>
    <s v="sem"/>
    <m/>
    <m/>
    <n v="19111"/>
    <n v="19789"/>
    <n v="1719"/>
    <n v="1502"/>
    <n v="22771"/>
    <n v="20945"/>
    <n v="43601"/>
    <n v="1453.3666666666666"/>
    <n v="42236"/>
    <n v="1407.8666666666666"/>
    <n v="2043"/>
    <n v="1963"/>
    <n v="43601"/>
    <n v="42236"/>
    <m/>
    <m/>
    <m/>
    <m/>
    <m/>
    <m/>
    <m/>
    <m/>
    <n v="0"/>
    <n v="0"/>
    <n v="0"/>
    <n v="0"/>
    <m/>
    <m/>
    <n v="0"/>
    <n v="0"/>
    <m/>
    <m/>
    <m/>
    <m/>
    <m/>
    <m/>
    <m/>
    <m/>
    <n v="0"/>
    <n v="0"/>
    <n v="0"/>
    <n v="0"/>
    <n v="1453.3666666666666"/>
    <n v="1407.8666666666666"/>
  </r>
  <r>
    <x v="15"/>
    <s v="West Virginia University at Parkersburg"/>
    <s v="Met the criteria for Four-Year 6 in 2013-14."/>
    <n v="237686"/>
    <x v="11"/>
    <s v="sem"/>
    <s v="sem"/>
    <m/>
    <m/>
    <n v="40909"/>
    <n v="38688"/>
    <n v="8115"/>
    <n v="7085"/>
    <n v="41550"/>
    <n v="37202"/>
    <n v="90574"/>
    <n v="3019.1333333333332"/>
    <n v="82975"/>
    <n v="2765.8333333333335"/>
    <n v="3385"/>
    <n v="2937"/>
    <n v="90574"/>
    <n v="82975"/>
    <m/>
    <m/>
    <m/>
    <m/>
    <m/>
    <m/>
    <m/>
    <m/>
    <n v="0"/>
    <n v="0"/>
    <n v="0"/>
    <n v="0"/>
    <m/>
    <m/>
    <n v="0"/>
    <n v="0"/>
    <m/>
    <m/>
    <m/>
    <m/>
    <m/>
    <m/>
    <m/>
    <m/>
    <n v="0"/>
    <n v="0"/>
    <n v="0"/>
    <n v="0"/>
    <n v="3019.1333333333332"/>
    <n v="2765.8333333333335"/>
  </r>
  <r>
    <x v="15"/>
    <s v="New River Community &amp; Technical College"/>
    <m/>
    <n v="447582"/>
    <x v="7"/>
    <s v="sem"/>
    <s v="sem"/>
    <m/>
    <m/>
    <n v="28820"/>
    <n v="28044"/>
    <n v="6362"/>
    <n v="7402"/>
    <n v="29864"/>
    <n v="28876"/>
    <n v="65046"/>
    <n v="2168.1999999999998"/>
    <n v="64322"/>
    <n v="2144.0666666666666"/>
    <n v="1650"/>
    <n v="1460"/>
    <n v="65046"/>
    <n v="64322"/>
    <m/>
    <m/>
    <m/>
    <m/>
    <m/>
    <m/>
    <m/>
    <m/>
    <n v="0"/>
    <n v="0"/>
    <n v="0"/>
    <n v="0"/>
    <m/>
    <m/>
    <n v="0"/>
    <n v="0"/>
    <m/>
    <m/>
    <m/>
    <m/>
    <m/>
    <m/>
    <m/>
    <m/>
    <n v="0"/>
    <n v="0"/>
    <n v="0"/>
    <n v="0"/>
    <n v="2168.1999999999998"/>
    <n v="2144.0666666666666"/>
  </r>
  <r>
    <x v="15"/>
    <s v="Pierpont Community &amp; Technical College"/>
    <m/>
    <n v="443492"/>
    <x v="7"/>
    <s v="sem"/>
    <s v="sem"/>
    <m/>
    <m/>
    <n v="30823"/>
    <n v="28496"/>
    <n v="4272"/>
    <n v="3770"/>
    <n v="32273"/>
    <n v="28960"/>
    <n v="67368"/>
    <n v="2245.6"/>
    <n v="61226"/>
    <n v="2040.8666666666666"/>
    <n v="3833"/>
    <n v="4045"/>
    <n v="67368"/>
    <n v="61226"/>
    <m/>
    <m/>
    <m/>
    <m/>
    <m/>
    <m/>
    <m/>
    <m/>
    <n v="0"/>
    <n v="0"/>
    <n v="0"/>
    <n v="0"/>
    <m/>
    <m/>
    <n v="0"/>
    <n v="0"/>
    <m/>
    <m/>
    <m/>
    <m/>
    <m/>
    <m/>
    <m/>
    <m/>
    <n v="0"/>
    <n v="0"/>
    <n v="0"/>
    <n v="0"/>
    <n v="2245.6"/>
    <n v="2040.8666666666666"/>
  </r>
  <r>
    <x v="15"/>
    <s v="West Virginia Northern Community College"/>
    <s v="Met the criteria for Two-Year 3 in 2012-13 and 2013-14."/>
    <n v="238014"/>
    <x v="7"/>
    <s v="sem"/>
    <s v="sem"/>
    <m/>
    <m/>
    <n v="25473"/>
    <n v="21708.5"/>
    <n v="7144"/>
    <n v="5316.4"/>
    <n v="24375.3"/>
    <n v="20856"/>
    <n v="56992.3"/>
    <n v="1899.7433333333333"/>
    <n v="47880.9"/>
    <n v="1596.03"/>
    <n v="2920"/>
    <n v="2467"/>
    <n v="56992.3"/>
    <n v="47880.9"/>
    <m/>
    <m/>
    <m/>
    <m/>
    <m/>
    <m/>
    <m/>
    <m/>
    <n v="0"/>
    <n v="0"/>
    <n v="0"/>
    <n v="0"/>
    <m/>
    <m/>
    <n v="0"/>
    <n v="0"/>
    <m/>
    <m/>
    <m/>
    <m/>
    <m/>
    <m/>
    <m/>
    <m/>
    <n v="0"/>
    <n v="0"/>
    <n v="0"/>
    <n v="0"/>
    <n v="1899.7433333333333"/>
    <n v="1596.03"/>
  </r>
  <r>
    <x v="15"/>
    <s v="Blue Ridge Community &amp; Technical College"/>
    <m/>
    <n v="446774"/>
    <x v="8"/>
    <s v="sem"/>
    <s v="sem"/>
    <m/>
    <m/>
    <n v="27210.1"/>
    <n v="26305.3"/>
    <n v="3371.9"/>
    <n v="3197"/>
    <n v="27962.9"/>
    <n v="30326.7"/>
    <n v="58544.9"/>
    <n v="1951.4966666666667"/>
    <n v="59829"/>
    <n v="1994.3"/>
    <n v="1075.5999999999999"/>
    <n v="1048.0999999999999"/>
    <n v="58544.9"/>
    <n v="59829"/>
    <m/>
    <m/>
    <m/>
    <m/>
    <m/>
    <m/>
    <m/>
    <m/>
    <n v="0"/>
    <n v="0"/>
    <n v="0"/>
    <n v="0"/>
    <m/>
    <m/>
    <n v="0"/>
    <n v="0"/>
    <m/>
    <m/>
    <m/>
    <m/>
    <m/>
    <m/>
    <m/>
    <m/>
    <n v="0"/>
    <n v="0"/>
    <n v="0"/>
    <n v="0"/>
    <n v="1951.4966666666667"/>
    <n v="1994.3"/>
  </r>
  <r>
    <x v="15"/>
    <s v="Bridgemont Community &amp; Technical College"/>
    <m/>
    <n v="445674"/>
    <x v="8"/>
    <s v="sem"/>
    <s v="sem"/>
    <m/>
    <m/>
    <n v="7584"/>
    <n v="7151"/>
    <n v="528"/>
    <n v="586"/>
    <n v="9012"/>
    <n v="8883.5"/>
    <n v="17124"/>
    <n v="570.79999999999995"/>
    <n v="16620.5"/>
    <n v="554.01666666666665"/>
    <n v="998"/>
    <n v="1199"/>
    <n v="17124"/>
    <n v="16620.5"/>
    <m/>
    <m/>
    <m/>
    <m/>
    <m/>
    <m/>
    <m/>
    <m/>
    <n v="0"/>
    <n v="0"/>
    <n v="0"/>
    <n v="0"/>
    <m/>
    <m/>
    <n v="0"/>
    <n v="0"/>
    <m/>
    <m/>
    <m/>
    <m/>
    <m/>
    <m/>
    <m/>
    <m/>
    <n v="0"/>
    <n v="0"/>
    <n v="0"/>
    <n v="0"/>
    <n v="570.79999999999995"/>
    <n v="554.01666666666665"/>
  </r>
  <r>
    <x v="15"/>
    <s v="Eastern West Virginia Community &amp; Technical College"/>
    <m/>
    <n v="438708"/>
    <x v="8"/>
    <s v="sem"/>
    <s v="sem"/>
    <m/>
    <m/>
    <n v="6250"/>
    <n v="6382"/>
    <n v="1169"/>
    <n v="1441"/>
    <n v="6777"/>
    <n v="7147"/>
    <n v="14196"/>
    <n v="473.2"/>
    <n v="14970"/>
    <n v="499"/>
    <n v="1093"/>
    <n v="1140"/>
    <n v="14196"/>
    <n v="14970"/>
    <m/>
    <m/>
    <m/>
    <m/>
    <m/>
    <m/>
    <m/>
    <m/>
    <n v="0"/>
    <n v="0"/>
    <n v="0"/>
    <n v="0"/>
    <m/>
    <m/>
    <n v="0"/>
    <n v="0"/>
    <m/>
    <m/>
    <m/>
    <m/>
    <m/>
    <m/>
    <m/>
    <m/>
    <n v="0"/>
    <n v="0"/>
    <n v="0"/>
    <n v="0"/>
    <n v="473.2"/>
    <n v="499"/>
  </r>
  <r>
    <x v="15"/>
    <s v="Kanawha Valley Community &amp; Technical College"/>
    <m/>
    <n v="445018"/>
    <x v="8"/>
    <s v="sem"/>
    <s v="sem"/>
    <m/>
    <m/>
    <n v="16500.599999999999"/>
    <n v="15650"/>
    <n v="1627"/>
    <n v="2508"/>
    <n v="16324"/>
    <n v="16872"/>
    <n v="34451.599999999999"/>
    <n v="1148.3866666666665"/>
    <n v="35030"/>
    <n v="1167.6666666666667"/>
    <n v="182"/>
    <n v="131"/>
    <n v="34451.599999999999"/>
    <n v="35030"/>
    <m/>
    <m/>
    <m/>
    <m/>
    <m/>
    <m/>
    <m/>
    <m/>
    <n v="0"/>
    <n v="0"/>
    <n v="0"/>
    <n v="0"/>
    <m/>
    <m/>
    <n v="0"/>
    <n v="0"/>
    <m/>
    <m/>
    <m/>
    <m/>
    <m/>
    <m/>
    <m/>
    <m/>
    <n v="0"/>
    <n v="0"/>
    <n v="0"/>
    <n v="0"/>
    <n v="1148.3866666666665"/>
    <n v="1167.6666666666667"/>
  </r>
  <r>
    <x v="15"/>
    <s v="Mountwest Community &amp; Technical College"/>
    <m/>
    <n v="444954"/>
    <x v="8"/>
    <s v="sem"/>
    <s v="sem"/>
    <m/>
    <m/>
    <n v="23594.400000000001"/>
    <n v="23256"/>
    <n v="5964.2"/>
    <n v="5108"/>
    <n v="26481"/>
    <n v="25422"/>
    <n v="56039.600000000006"/>
    <n v="1867.9866666666669"/>
    <n v="53786"/>
    <n v="1792.8666666666666"/>
    <n v="1854.2"/>
    <n v="927"/>
    <n v="56039.600000000006"/>
    <n v="53786"/>
    <m/>
    <m/>
    <m/>
    <m/>
    <m/>
    <m/>
    <m/>
    <m/>
    <n v="0"/>
    <n v="0"/>
    <n v="0"/>
    <n v="0"/>
    <m/>
    <m/>
    <n v="0"/>
    <n v="0"/>
    <m/>
    <m/>
    <m/>
    <m/>
    <m/>
    <m/>
    <m/>
    <m/>
    <n v="0"/>
    <n v="0"/>
    <n v="0"/>
    <n v="0"/>
    <n v="1867.9866666666669"/>
    <n v="1792.8666666666666"/>
  </r>
  <r>
    <x v="15"/>
    <s v="Southern West Virginia Community &amp; Technical College "/>
    <m/>
    <n v="237817"/>
    <x v="8"/>
    <s v="sem"/>
    <s v="sem"/>
    <m/>
    <m/>
    <n v="20922"/>
    <n v="20929"/>
    <n v="1980"/>
    <n v="1658"/>
    <n v="24143"/>
    <n v="22378"/>
    <n v="47045"/>
    <n v="1568.1666666666667"/>
    <n v="44965"/>
    <n v="1498.8333333333333"/>
    <n v="1688"/>
    <n v="1306"/>
    <n v="47045"/>
    <n v="44965"/>
    <m/>
    <m/>
    <m/>
    <m/>
    <m/>
    <m/>
    <m/>
    <m/>
    <n v="0"/>
    <n v="0"/>
    <n v="0"/>
    <n v="0"/>
    <m/>
    <m/>
    <n v="0"/>
    <n v="0"/>
    <m/>
    <m/>
    <m/>
    <m/>
    <m/>
    <m/>
    <m/>
    <m/>
    <n v="0"/>
    <n v="0"/>
    <n v="0"/>
    <n v="0"/>
    <n v="1568.1666666666667"/>
    <n v="1498.8333333333333"/>
  </r>
</pivotCacheRecords>
</file>

<file path=xl/pivotCache/pivotCacheRecords2.xml><?xml version="1.0" encoding="utf-8"?>
<pivotCacheRecords xmlns="http://schemas.openxmlformats.org/spreadsheetml/2006/main" xmlns:r="http://schemas.openxmlformats.org/officeDocument/2006/relationships" count="680">
  <r>
    <x v="0"/>
    <s v="Auburn University"/>
    <m/>
    <n v="100858"/>
    <x v="0"/>
    <s v="sem"/>
    <m/>
    <m/>
    <m/>
    <n v="259985"/>
    <n v="259107"/>
    <n v="52912"/>
    <n v="50758"/>
    <n v="281418"/>
    <n v="275688"/>
    <n v="594315"/>
    <n v="19810.5"/>
    <n v="585553"/>
    <n v="19518.433333333334"/>
    <n v="25"/>
    <n v="99"/>
    <n v="594315"/>
    <n v="585553"/>
    <m/>
    <m/>
    <m/>
    <m/>
    <m/>
    <m/>
    <m/>
    <m/>
    <n v="0"/>
    <n v="0"/>
    <n v="0"/>
    <n v="0"/>
    <m/>
    <m/>
    <n v="0"/>
    <n v="0"/>
  </r>
  <r>
    <x v="0"/>
    <s v="University of Alabama "/>
    <m/>
    <n v="100751"/>
    <x v="0"/>
    <s v="sem"/>
    <m/>
    <m/>
    <m/>
    <n v="335465"/>
    <n v="358247"/>
    <n v="65235"/>
    <n v="66115"/>
    <n v="378743"/>
    <n v="396463"/>
    <n v="779443"/>
    <n v="25981.433333333334"/>
    <n v="820825"/>
    <n v="27360.833333333332"/>
    <n v="2270"/>
    <n v="3444"/>
    <n v="779443"/>
    <n v="820825"/>
    <m/>
    <m/>
    <m/>
    <m/>
    <m/>
    <m/>
    <m/>
    <m/>
    <n v="0"/>
    <n v="0"/>
    <n v="0"/>
    <n v="0"/>
    <m/>
    <m/>
    <n v="0"/>
    <n v="0"/>
  </r>
  <r>
    <x v="0"/>
    <s v="University of Alabama at Birmingham"/>
    <m/>
    <n v="100663"/>
    <x v="1"/>
    <s v="sem"/>
    <m/>
    <m/>
    <m/>
    <n v="114176"/>
    <n v="114787"/>
    <n v="27236"/>
    <n v="26289"/>
    <n v="125808"/>
    <n v="126614"/>
    <n v="267220"/>
    <n v="8907.3333333333339"/>
    <n v="267690"/>
    <n v="8923"/>
    <n v="53"/>
    <n v="56"/>
    <n v="267220"/>
    <n v="267690"/>
    <m/>
    <m/>
    <m/>
    <m/>
    <m/>
    <m/>
    <m/>
    <m/>
    <n v="0"/>
    <n v="0"/>
    <n v="0"/>
    <n v="0"/>
    <m/>
    <m/>
    <n v="0"/>
    <n v="0"/>
  </r>
  <r>
    <x v="0"/>
    <s v="University of Alabama in Huntsville"/>
    <s v="Met the criteria for Four-Year 3 in 2013-14"/>
    <n v="100706"/>
    <x v="1"/>
    <s v="sem"/>
    <m/>
    <m/>
    <m/>
    <n v="67235"/>
    <n v="64626"/>
    <n v="16673"/>
    <n v="14464"/>
    <n v="70916"/>
    <n v="68285"/>
    <n v="154824"/>
    <n v="5160.8"/>
    <n v="147375"/>
    <n v="4912.5"/>
    <n v="429"/>
    <n v="360"/>
    <n v="154824"/>
    <n v="147375"/>
    <m/>
    <m/>
    <m/>
    <m/>
    <m/>
    <m/>
    <m/>
    <m/>
    <n v="0"/>
    <n v="0"/>
    <n v="0"/>
    <n v="0"/>
    <m/>
    <m/>
    <n v="0"/>
    <n v="0"/>
  </r>
  <r>
    <x v="0"/>
    <s v="Alabama Agricultural &amp; Mechanical University"/>
    <m/>
    <n v="100654"/>
    <x v="2"/>
    <s v="sem"/>
    <m/>
    <m/>
    <m/>
    <n v="51589"/>
    <n v="51713"/>
    <n v="5098"/>
    <n v="3730"/>
    <n v="56726"/>
    <n v="57079"/>
    <n v="113413"/>
    <n v="3780.4333333333334"/>
    <n v="112522"/>
    <n v="3750.7333333333331"/>
    <n v="0"/>
    <n v="0"/>
    <n v="113413"/>
    <n v="112522"/>
    <m/>
    <m/>
    <m/>
    <m/>
    <m/>
    <m/>
    <m/>
    <m/>
    <n v="0"/>
    <n v="0"/>
    <n v="0"/>
    <n v="0"/>
    <m/>
    <m/>
    <n v="0"/>
    <n v="0"/>
  </r>
  <r>
    <x v="0"/>
    <s v="Jacksonville State University "/>
    <m/>
    <n v="101480"/>
    <x v="2"/>
    <s v="sem"/>
    <m/>
    <m/>
    <m/>
    <n v="90905"/>
    <n v="87589"/>
    <n v="24046"/>
    <n v="21686"/>
    <n v="96360"/>
    <n v="92477"/>
    <n v="211311"/>
    <n v="7043.7"/>
    <n v="201752"/>
    <n v="6725.0666666666666"/>
    <n v="1582"/>
    <n v="1509"/>
    <n v="211311"/>
    <n v="201752"/>
    <m/>
    <m/>
    <m/>
    <m/>
    <m/>
    <m/>
    <m/>
    <m/>
    <n v="0"/>
    <n v="0"/>
    <n v="0"/>
    <n v="0"/>
    <m/>
    <m/>
    <n v="0"/>
    <n v="0"/>
  </r>
  <r>
    <x v="0"/>
    <s v="Troy University"/>
    <m/>
    <n v="102368"/>
    <x v="2"/>
    <s v="sem"/>
    <m/>
    <m/>
    <m/>
    <n v="132577"/>
    <n v="123722"/>
    <n v="29852"/>
    <n v="26401"/>
    <n v="133008"/>
    <n v="129018"/>
    <n v="295437"/>
    <n v="9847.9"/>
    <n v="279141"/>
    <n v="9304.7000000000007"/>
    <n v="509"/>
    <n v="916"/>
    <n v="295437"/>
    <n v="279141"/>
    <m/>
    <m/>
    <m/>
    <m/>
    <m/>
    <m/>
    <m/>
    <m/>
    <n v="0"/>
    <n v="0"/>
    <n v="0"/>
    <n v="0"/>
    <m/>
    <m/>
    <n v="0"/>
    <n v="0"/>
  </r>
  <r>
    <x v="0"/>
    <s v="University of South Alabama"/>
    <m/>
    <n v="102094"/>
    <x v="2"/>
    <s v="sem"/>
    <m/>
    <m/>
    <m/>
    <n v="115368"/>
    <n v="116928"/>
    <n v="24909"/>
    <n v="22266"/>
    <n v="128798"/>
    <n v="128080"/>
    <n v="269075"/>
    <n v="8969.1666666666661"/>
    <n v="267274"/>
    <n v="8909.1333333333332"/>
    <n v="266"/>
    <n v="172"/>
    <n v="269075"/>
    <n v="267274"/>
    <m/>
    <m/>
    <m/>
    <m/>
    <m/>
    <m/>
    <m/>
    <m/>
    <n v="0"/>
    <n v="0"/>
    <n v="0"/>
    <n v="0"/>
    <m/>
    <m/>
    <n v="0"/>
    <n v="0"/>
  </r>
  <r>
    <x v="0"/>
    <s v="Alabama State University "/>
    <m/>
    <n v="100724"/>
    <x v="3"/>
    <s v="sem"/>
    <m/>
    <m/>
    <m/>
    <n v="64284"/>
    <n v="69598"/>
    <n v="15082"/>
    <n v="12784"/>
    <n v="74906"/>
    <n v="78705"/>
    <n v="154272"/>
    <n v="5142.3999999999996"/>
    <n v="161087"/>
    <n v="5369.5666666666666"/>
    <n v="0"/>
    <n v="0"/>
    <n v="154272"/>
    <n v="161087"/>
    <m/>
    <m/>
    <m/>
    <m/>
    <m/>
    <m/>
    <m/>
    <m/>
    <n v="0"/>
    <n v="0"/>
    <n v="0"/>
    <n v="0"/>
    <m/>
    <m/>
    <n v="0"/>
    <n v="0"/>
  </r>
  <r>
    <x v="0"/>
    <s v="Auburn University at Montgomery"/>
    <m/>
    <n v="100830"/>
    <x v="3"/>
    <s v="sem"/>
    <m/>
    <m/>
    <m/>
    <n v="44134"/>
    <n v="44045"/>
    <n v="13607"/>
    <n v="12522"/>
    <n v="51295"/>
    <n v="50998"/>
    <n v="109036"/>
    <n v="3634.5333333333333"/>
    <n v="107565"/>
    <n v="3585.5"/>
    <n v="159"/>
    <n v="543"/>
    <n v="109036"/>
    <n v="107565"/>
    <m/>
    <m/>
    <m/>
    <m/>
    <m/>
    <m/>
    <m/>
    <m/>
    <n v="0"/>
    <n v="0"/>
    <n v="0"/>
    <n v="0"/>
    <m/>
    <m/>
    <n v="0"/>
    <n v="0"/>
  </r>
  <r>
    <x v="0"/>
    <s v="University of North Alabama"/>
    <m/>
    <n v="101879"/>
    <x v="3"/>
    <s v="sem"/>
    <m/>
    <m/>
    <m/>
    <n v="69517"/>
    <n v="69739"/>
    <n v="13695"/>
    <n v="13056"/>
    <n v="75503"/>
    <n v="73482"/>
    <n v="158715"/>
    <n v="5290.5"/>
    <n v="156277"/>
    <n v="5209.2333333333336"/>
    <n v="2843"/>
    <n v="2439"/>
    <n v="158715"/>
    <n v="156277"/>
    <m/>
    <m/>
    <m/>
    <m/>
    <m/>
    <m/>
    <m/>
    <m/>
    <n v="0"/>
    <n v="0"/>
    <n v="0"/>
    <n v="0"/>
    <m/>
    <m/>
    <n v="0"/>
    <n v="0"/>
  </r>
  <r>
    <x v="0"/>
    <s v="University of Montevallo"/>
    <m/>
    <n v="101709"/>
    <x v="4"/>
    <s v="sem"/>
    <m/>
    <m/>
    <m/>
    <n v="31661"/>
    <n v="32559"/>
    <n v="5829"/>
    <n v="5820"/>
    <n v="35251"/>
    <n v="35788"/>
    <n v="72741"/>
    <n v="2424.6999999999998"/>
    <n v="74167"/>
    <n v="2472.2333333333331"/>
    <n v="52"/>
    <n v="71"/>
    <n v="72741"/>
    <n v="74167"/>
    <m/>
    <m/>
    <m/>
    <m/>
    <m/>
    <m/>
    <m/>
    <m/>
    <n v="0"/>
    <n v="0"/>
    <n v="0"/>
    <n v="0"/>
    <m/>
    <m/>
    <n v="0"/>
    <n v="0"/>
  </r>
  <r>
    <x v="0"/>
    <s v="University of West Alabama"/>
    <m/>
    <n v="101587"/>
    <x v="4"/>
    <s v="sem"/>
    <m/>
    <m/>
    <m/>
    <n v="23498"/>
    <n v="23569"/>
    <n v="4215"/>
    <n v="3223"/>
    <n v="25288"/>
    <n v="25571"/>
    <n v="53001"/>
    <n v="1766.7"/>
    <n v="52363"/>
    <n v="1745.4333333333334"/>
    <n v="139"/>
    <n v="730"/>
    <n v="53001"/>
    <n v="52363"/>
    <m/>
    <m/>
    <m/>
    <m/>
    <m/>
    <m/>
    <m/>
    <m/>
    <n v="0"/>
    <n v="0"/>
    <n v="0"/>
    <n v="0"/>
    <m/>
    <m/>
    <n v="0"/>
    <n v="0"/>
  </r>
  <r>
    <x v="0"/>
    <s v="Athens State University"/>
    <m/>
    <n v="100812"/>
    <x v="5"/>
    <s v="sem"/>
    <m/>
    <m/>
    <m/>
    <n v="31712"/>
    <n v="31273"/>
    <n v="19256"/>
    <n v="18380"/>
    <n v="32618"/>
    <n v="30076"/>
    <n v="83586"/>
    <n v="2786.2"/>
    <n v="79729"/>
    <n v="2657.6333333333332"/>
    <n v="0"/>
    <n v="0"/>
    <n v="83586"/>
    <n v="79729"/>
    <m/>
    <m/>
    <m/>
    <m/>
    <m/>
    <m/>
    <m/>
    <m/>
    <n v="0"/>
    <n v="0"/>
    <n v="0"/>
    <n v="0"/>
    <m/>
    <m/>
    <n v="0"/>
    <n v="0"/>
  </r>
  <r>
    <x v="0"/>
    <s v="Gadsden State Community College"/>
    <s v="Met the criteria for Two-Year 2 in 2013-14."/>
    <n v="101240"/>
    <x v="6"/>
    <s v="sem"/>
    <m/>
    <m/>
    <m/>
    <n v="65629"/>
    <n v="56399"/>
    <n v="25636"/>
    <n v="22934"/>
    <n v="60162"/>
    <n v="59585"/>
    <n v="151427"/>
    <n v="5047.5666666666666"/>
    <n v="138918"/>
    <n v="4630.6000000000004"/>
    <n v="2848"/>
    <n v="2869"/>
    <n v="151427"/>
    <n v="138918"/>
    <m/>
    <m/>
    <m/>
    <m/>
    <m/>
    <m/>
    <m/>
    <m/>
    <n v="0"/>
    <n v="0"/>
    <n v="0"/>
    <n v="0"/>
    <m/>
    <m/>
    <n v="0"/>
    <n v="0"/>
  </r>
  <r>
    <x v="0"/>
    <s v="Jefferson State Community College"/>
    <m/>
    <n v="101505"/>
    <x v="6"/>
    <s v="sem"/>
    <m/>
    <m/>
    <m/>
    <n v="74288"/>
    <n v="68911"/>
    <n v="39473"/>
    <n v="37089"/>
    <n v="75268"/>
    <n v="72385"/>
    <n v="189029"/>
    <n v="6300.9666666666662"/>
    <n v="178385"/>
    <n v="5946.166666666667"/>
    <n v="4722"/>
    <n v="5103"/>
    <n v="189029"/>
    <n v="178385"/>
    <m/>
    <m/>
    <m/>
    <m/>
    <m/>
    <m/>
    <m/>
    <m/>
    <n v="0"/>
    <n v="0"/>
    <n v="0"/>
    <n v="0"/>
    <m/>
    <m/>
    <n v="0"/>
    <n v="0"/>
  </r>
  <r>
    <x v="0"/>
    <s v="John C. Calhoun State Community College "/>
    <m/>
    <n v="101514"/>
    <x v="6"/>
    <s v="sem"/>
    <m/>
    <m/>
    <m/>
    <n v="101146"/>
    <n v="94288"/>
    <n v="43406"/>
    <n v="41006"/>
    <n v="102046"/>
    <n v="101183"/>
    <n v="246598"/>
    <n v="8219.9333333333325"/>
    <n v="236477"/>
    <n v="7882.5666666666666"/>
    <n v="9766"/>
    <n v="7824"/>
    <n v="246598"/>
    <n v="236477"/>
    <m/>
    <m/>
    <m/>
    <m/>
    <m/>
    <m/>
    <m/>
    <m/>
    <n v="0"/>
    <n v="0"/>
    <n v="0"/>
    <n v="0"/>
    <m/>
    <m/>
    <n v="0"/>
    <n v="0"/>
  </r>
  <r>
    <x v="0"/>
    <s v="Wallace Community College - Hanceville"/>
    <s v="Met the criteria for Two-Year 2 in 2012-13 and 2013-14."/>
    <n v="101295"/>
    <x v="6"/>
    <s v="sem"/>
    <m/>
    <m/>
    <m/>
    <n v="59866"/>
    <n v="53640"/>
    <n v="27052"/>
    <n v="22236"/>
    <n v="59667"/>
    <n v="57357"/>
    <n v="146585"/>
    <n v="4886.166666666667"/>
    <n v="133233"/>
    <n v="4441.1000000000004"/>
    <n v="5314"/>
    <n v="5228"/>
    <n v="146585"/>
    <n v="133233"/>
    <m/>
    <m/>
    <m/>
    <m/>
    <m/>
    <m/>
    <m/>
    <m/>
    <n v="0"/>
    <n v="0"/>
    <n v="0"/>
    <n v="0"/>
    <m/>
    <m/>
    <n v="0"/>
    <n v="0"/>
  </r>
  <r>
    <x v="0"/>
    <s v="Bevill State Community College"/>
    <m/>
    <n v="102429"/>
    <x v="7"/>
    <s v="sem"/>
    <m/>
    <m/>
    <m/>
    <n v="37298"/>
    <n v="34741"/>
    <n v="16306"/>
    <n v="15485"/>
    <n v="38890"/>
    <n v="36216"/>
    <n v="92494"/>
    <n v="3083.1333333333332"/>
    <n v="86442"/>
    <n v="2881.4"/>
    <n v="2066"/>
    <n v="2567"/>
    <n v="92494"/>
    <n v="86442"/>
    <m/>
    <m/>
    <m/>
    <m/>
    <m/>
    <m/>
    <m/>
    <m/>
    <n v="0"/>
    <n v="0"/>
    <n v="0"/>
    <n v="0"/>
    <m/>
    <m/>
    <n v="0"/>
    <n v="0"/>
  </r>
  <r>
    <x v="0"/>
    <s v="Bishop State Community College"/>
    <m/>
    <n v="102030"/>
    <x v="7"/>
    <s v="sem"/>
    <m/>
    <m/>
    <m/>
    <n v="36732"/>
    <n v="34127"/>
    <n v="12916"/>
    <n v="13348"/>
    <n v="37181"/>
    <n v="38396"/>
    <n v="86829"/>
    <n v="2894.3"/>
    <n v="85871"/>
    <n v="2862.3666666666668"/>
    <n v="3231"/>
    <n v="3025"/>
    <n v="86829"/>
    <n v="85871"/>
    <m/>
    <m/>
    <m/>
    <m/>
    <m/>
    <m/>
    <m/>
    <m/>
    <n v="0"/>
    <n v="0"/>
    <n v="0"/>
    <n v="0"/>
    <m/>
    <m/>
    <n v="0"/>
    <n v="0"/>
  </r>
  <r>
    <x v="0"/>
    <s v="Central Alabama Community College"/>
    <s v="Met the criteria for Two-Year 3 in 2012-13 and 2013-14."/>
    <n v="100760"/>
    <x v="7"/>
    <s v="sem"/>
    <m/>
    <m/>
    <m/>
    <n v="23002"/>
    <n v="17754"/>
    <n v="8636"/>
    <n v="6704"/>
    <n v="20219"/>
    <n v="18011"/>
    <n v="51857"/>
    <n v="1728.5666666666666"/>
    <n v="42469"/>
    <n v="1415.6333333333334"/>
    <n v="455"/>
    <n v="1098"/>
    <n v="51857"/>
    <n v="42469"/>
    <m/>
    <m/>
    <m/>
    <m/>
    <m/>
    <m/>
    <m/>
    <m/>
    <n v="0"/>
    <n v="0"/>
    <n v="0"/>
    <n v="0"/>
    <m/>
    <m/>
    <n v="0"/>
    <n v="0"/>
  </r>
  <r>
    <x v="0"/>
    <s v="Enterprise State Community College"/>
    <m/>
    <n v="101143"/>
    <x v="7"/>
    <s v="sem"/>
    <m/>
    <m/>
    <m/>
    <n v="29240"/>
    <n v="25087"/>
    <n v="12862"/>
    <n v="9990"/>
    <n v="27961"/>
    <n v="25182"/>
    <n v="70063"/>
    <n v="2335.4333333333334"/>
    <n v="60259"/>
    <n v="2008.6333333333334"/>
    <n v="3088"/>
    <n v="3803"/>
    <n v="70063"/>
    <n v="60259"/>
    <m/>
    <m/>
    <m/>
    <m/>
    <m/>
    <m/>
    <m/>
    <m/>
    <n v="0"/>
    <n v="0"/>
    <n v="0"/>
    <n v="0"/>
    <m/>
    <m/>
    <n v="0"/>
    <n v="0"/>
  </r>
  <r>
    <x v="0"/>
    <s v="George C. Wallace State Community College - Dothan"/>
    <m/>
    <n v="101286"/>
    <x v="7"/>
    <s v="sem"/>
    <m/>
    <m/>
    <m/>
    <n v="43429"/>
    <n v="42480"/>
    <n v="21192"/>
    <n v="20701"/>
    <n v="45168"/>
    <n v="45807"/>
    <n v="109789"/>
    <n v="3659.6333333333332"/>
    <n v="108988"/>
    <n v="3632.9333333333334"/>
    <n v="2666"/>
    <n v="3092"/>
    <n v="109789"/>
    <n v="108988"/>
    <m/>
    <m/>
    <m/>
    <m/>
    <m/>
    <m/>
    <m/>
    <m/>
    <n v="0"/>
    <n v="0"/>
    <n v="0"/>
    <n v="0"/>
    <m/>
    <m/>
    <n v="0"/>
    <n v="0"/>
  </r>
  <r>
    <x v="0"/>
    <s v="James H. Faulkner State Community College"/>
    <m/>
    <n v="101161"/>
    <x v="7"/>
    <s v="sem"/>
    <m/>
    <m/>
    <m/>
    <n v="48541"/>
    <n v="45192"/>
    <n v="20014"/>
    <n v="18230"/>
    <n v="47713"/>
    <n v="48163"/>
    <n v="116268"/>
    <n v="3875.6"/>
    <n v="111585"/>
    <n v="3719.5"/>
    <n v="2813"/>
    <n v="2719"/>
    <n v="116268"/>
    <n v="111585"/>
    <m/>
    <m/>
    <m/>
    <m/>
    <m/>
    <m/>
    <m/>
    <m/>
    <n v="0"/>
    <n v="0"/>
    <n v="0"/>
    <n v="0"/>
    <m/>
    <m/>
    <n v="0"/>
    <n v="0"/>
  </r>
  <r>
    <x v="0"/>
    <s v="Lawson State Community College "/>
    <m/>
    <n v="101569"/>
    <x v="7"/>
    <s v="sem"/>
    <m/>
    <m/>
    <m/>
    <n v="39365"/>
    <n v="32698"/>
    <n v="12916"/>
    <n v="12314"/>
    <n v="35848"/>
    <n v="32489"/>
    <n v="88129"/>
    <n v="2937.6333333333332"/>
    <n v="77501"/>
    <n v="2583.3666666666668"/>
    <n v="840"/>
    <n v="680"/>
    <n v="88129"/>
    <n v="77501"/>
    <m/>
    <m/>
    <m/>
    <m/>
    <m/>
    <m/>
    <m/>
    <m/>
    <n v="0"/>
    <n v="0"/>
    <n v="0"/>
    <n v="0"/>
    <m/>
    <m/>
    <n v="0"/>
    <n v="0"/>
  </r>
  <r>
    <x v="0"/>
    <s v="Northeast Alabama State Community College "/>
    <m/>
    <n v="101897"/>
    <x v="7"/>
    <s v="sem"/>
    <m/>
    <m/>
    <m/>
    <n v="30649"/>
    <n v="29166"/>
    <n v="13647"/>
    <n v="11793"/>
    <n v="31300"/>
    <n v="27962"/>
    <n v="75596"/>
    <n v="2519.8666666666668"/>
    <n v="68921"/>
    <n v="2297.3666666666668"/>
    <n v="3917"/>
    <n v="4267"/>
    <n v="75596"/>
    <n v="68921"/>
    <m/>
    <m/>
    <m/>
    <m/>
    <m/>
    <m/>
    <m/>
    <m/>
    <n v="0"/>
    <n v="0"/>
    <n v="0"/>
    <n v="0"/>
    <m/>
    <m/>
    <n v="0"/>
    <n v="0"/>
  </r>
  <r>
    <x v="0"/>
    <s v="Northwest-Shoals Community College"/>
    <m/>
    <n v="101736"/>
    <x v="7"/>
    <s v="sem"/>
    <m/>
    <m/>
    <m/>
    <n v="34653"/>
    <n v="32325"/>
    <n v="13315"/>
    <n v="12735"/>
    <n v="36130"/>
    <n v="36289"/>
    <n v="84098"/>
    <n v="2803.2666666666669"/>
    <n v="81349"/>
    <n v="2711.6333333333332"/>
    <n v="4002"/>
    <n v="4328"/>
    <n v="84098"/>
    <n v="81349"/>
    <m/>
    <m/>
    <m/>
    <m/>
    <m/>
    <m/>
    <m/>
    <m/>
    <n v="0"/>
    <n v="0"/>
    <n v="0"/>
    <n v="0"/>
    <m/>
    <m/>
    <n v="0"/>
    <n v="0"/>
  </r>
  <r>
    <x v="0"/>
    <s v="Shelton State Community College"/>
    <m/>
    <n v="102067"/>
    <x v="7"/>
    <s v="sem"/>
    <m/>
    <m/>
    <m/>
    <n v="48990"/>
    <n v="48172"/>
    <n v="22752"/>
    <n v="22682"/>
    <n v="52247"/>
    <n v="50746"/>
    <n v="123989"/>
    <n v="4132.9666666666662"/>
    <n v="121600"/>
    <n v="4053.3333333333335"/>
    <n v="501"/>
    <n v="437"/>
    <n v="123989"/>
    <n v="121600"/>
    <m/>
    <m/>
    <m/>
    <m/>
    <m/>
    <m/>
    <m/>
    <m/>
    <n v="0"/>
    <n v="0"/>
    <n v="0"/>
    <n v="0"/>
    <m/>
    <m/>
    <n v="0"/>
    <n v="0"/>
  </r>
  <r>
    <x v="0"/>
    <s v="Southern Union State Community College"/>
    <m/>
    <n v="251260"/>
    <x v="7"/>
    <s v="sem"/>
    <m/>
    <m/>
    <m/>
    <n v="52038"/>
    <n v="49665"/>
    <n v="21824"/>
    <n v="19863"/>
    <n v="54079"/>
    <n v="51771"/>
    <n v="127941"/>
    <n v="4264.7"/>
    <n v="121299"/>
    <n v="4043.3"/>
    <n v="799"/>
    <n v="814"/>
    <n v="127941"/>
    <n v="121299"/>
    <m/>
    <m/>
    <m/>
    <m/>
    <m/>
    <m/>
    <m/>
    <m/>
    <n v="0"/>
    <n v="0"/>
    <n v="0"/>
    <n v="0"/>
    <m/>
    <m/>
    <n v="0"/>
    <n v="0"/>
  </r>
  <r>
    <x v="0"/>
    <s v="Alabama Southern Community College"/>
    <m/>
    <n v="101949"/>
    <x v="8"/>
    <s v="sem"/>
    <m/>
    <m/>
    <m/>
    <n v="14934"/>
    <n v="14100"/>
    <n v="5146"/>
    <n v="4925"/>
    <n v="14698"/>
    <n v="15433"/>
    <n v="34778"/>
    <n v="1159.2666666666667"/>
    <n v="34458"/>
    <n v="1148.5999999999999"/>
    <n v="1146"/>
    <n v="1155"/>
    <n v="34778"/>
    <n v="34458"/>
    <m/>
    <m/>
    <m/>
    <m/>
    <m/>
    <m/>
    <m/>
    <m/>
    <n v="0"/>
    <n v="0"/>
    <n v="0"/>
    <n v="0"/>
    <m/>
    <m/>
    <n v="0"/>
    <n v="0"/>
  </r>
  <r>
    <x v="0"/>
    <s v="Chattahoochee Valley State Community College "/>
    <m/>
    <n v="101028"/>
    <x v="8"/>
    <s v="sem"/>
    <m/>
    <m/>
    <m/>
    <n v="16736"/>
    <n v="18190"/>
    <n v="5926"/>
    <n v="6794"/>
    <n v="17951"/>
    <n v="19222"/>
    <n v="40613"/>
    <n v="1353.7666666666667"/>
    <n v="44206"/>
    <n v="1473.5333333333333"/>
    <n v="980"/>
    <n v="687"/>
    <n v="40613"/>
    <n v="44206"/>
    <m/>
    <m/>
    <m/>
    <m/>
    <m/>
    <m/>
    <m/>
    <m/>
    <n v="0"/>
    <n v="0"/>
    <n v="0"/>
    <n v="0"/>
    <m/>
    <m/>
    <n v="0"/>
    <n v="0"/>
  </r>
  <r>
    <x v="0"/>
    <s v="George Corley Wallace State Community College - Selma"/>
    <m/>
    <n v="101301"/>
    <x v="8"/>
    <s v="sem"/>
    <m/>
    <m/>
    <m/>
    <n v="20519"/>
    <n v="17376"/>
    <n v="10681"/>
    <n v="10061"/>
    <n v="19796"/>
    <n v="18865"/>
    <n v="50996"/>
    <n v="1699.8666666666666"/>
    <n v="46302"/>
    <n v="1543.4"/>
    <n v="1437"/>
    <n v="1532"/>
    <n v="50996"/>
    <n v="46302"/>
    <m/>
    <m/>
    <m/>
    <m/>
    <m/>
    <m/>
    <m/>
    <m/>
    <n v="0"/>
    <n v="0"/>
    <n v="0"/>
    <n v="0"/>
    <m/>
    <m/>
    <n v="0"/>
    <n v="0"/>
  </r>
  <r>
    <x v="0"/>
    <s v="Jefferson Davis Community College"/>
    <m/>
    <n v="101499"/>
    <x v="8"/>
    <s v="sem"/>
    <m/>
    <m/>
    <m/>
    <n v="11575"/>
    <n v="11595"/>
    <n v="4902"/>
    <n v="4766"/>
    <n v="11707"/>
    <n v="11899"/>
    <n v="28184"/>
    <n v="939.4666666666667"/>
    <n v="28260"/>
    <n v="942"/>
    <n v="328"/>
    <n v="483"/>
    <n v="28184"/>
    <n v="28260"/>
    <m/>
    <m/>
    <m/>
    <m/>
    <m/>
    <m/>
    <m/>
    <m/>
    <n v="0"/>
    <n v="0"/>
    <n v="0"/>
    <n v="0"/>
    <m/>
    <m/>
    <n v="0"/>
    <n v="0"/>
  </r>
  <r>
    <x v="0"/>
    <s v="Lurleen B. Wallace Community College "/>
    <m/>
    <n v="101602"/>
    <x v="8"/>
    <s v="sem"/>
    <m/>
    <m/>
    <m/>
    <n v="16461"/>
    <n v="15563"/>
    <n v="7584"/>
    <n v="7066"/>
    <n v="17522"/>
    <n v="16795"/>
    <n v="41567"/>
    <n v="1385.5666666666666"/>
    <n v="39424"/>
    <n v="1314.1333333333334"/>
    <n v="1870"/>
    <n v="1761"/>
    <n v="41567"/>
    <n v="39424"/>
    <m/>
    <m/>
    <m/>
    <m/>
    <m/>
    <m/>
    <m/>
    <m/>
    <n v="0"/>
    <n v="0"/>
    <n v="0"/>
    <n v="0"/>
    <m/>
    <m/>
    <n v="0"/>
    <n v="0"/>
  </r>
  <r>
    <x v="0"/>
    <s v="Snead State Community College "/>
    <s v="Met the criteria for Two-Year 2 in 2012-13 and 2013-14."/>
    <n v="102076"/>
    <x v="8"/>
    <s v="sem"/>
    <m/>
    <m/>
    <m/>
    <n v="23965"/>
    <n v="24759"/>
    <n v="8221"/>
    <n v="8018"/>
    <n v="27919"/>
    <n v="27416"/>
    <n v="60105"/>
    <n v="2003.5"/>
    <n v="60193"/>
    <n v="2006.4333333333334"/>
    <n v="1432"/>
    <n v="1634"/>
    <n v="60105"/>
    <n v="60193"/>
    <m/>
    <m/>
    <m/>
    <m/>
    <m/>
    <m/>
    <m/>
    <m/>
    <n v="0"/>
    <n v="0"/>
    <n v="0"/>
    <n v="0"/>
    <m/>
    <m/>
    <n v="0"/>
    <n v="0"/>
  </r>
  <r>
    <x v="0"/>
    <s v="Trenholm State Technical College "/>
    <m/>
    <n v="102313"/>
    <x v="9"/>
    <s v="sem"/>
    <m/>
    <m/>
    <m/>
    <n v="17016"/>
    <n v="14286"/>
    <n v="8628"/>
    <n v="9157"/>
    <n v="14834"/>
    <n v="13552"/>
    <n v="40478"/>
    <n v="1349.2666666666667"/>
    <n v="36995"/>
    <n v="1233.1666666666667"/>
    <n v="210"/>
    <n v="72"/>
    <n v="40478"/>
    <n v="36995"/>
    <m/>
    <m/>
    <m/>
    <m/>
    <m/>
    <m/>
    <m/>
    <m/>
    <n v="0"/>
    <n v="0"/>
    <n v="0"/>
    <n v="0"/>
    <m/>
    <m/>
    <n v="0"/>
    <n v="0"/>
  </r>
  <r>
    <x v="0"/>
    <s v="J.F. Drake State Technical College "/>
    <m/>
    <n v="101462"/>
    <x v="10"/>
    <s v="sem"/>
    <m/>
    <m/>
    <m/>
    <n v="11982"/>
    <n v="10608"/>
    <n v="5837"/>
    <n v="5791"/>
    <n v="11230"/>
    <n v="12456"/>
    <n v="29049"/>
    <n v="968.3"/>
    <n v="28855"/>
    <n v="961.83333333333337"/>
    <n v="2649"/>
    <n v="2593"/>
    <n v="29049"/>
    <n v="28855"/>
    <m/>
    <m/>
    <m/>
    <m/>
    <m/>
    <m/>
    <m/>
    <m/>
    <n v="0"/>
    <n v="0"/>
    <n v="0"/>
    <n v="0"/>
    <m/>
    <m/>
    <n v="0"/>
    <n v="0"/>
  </r>
  <r>
    <x v="0"/>
    <s v="J.F. Ingram State Technical College "/>
    <m/>
    <n v="101471"/>
    <x v="10"/>
    <s v="sem"/>
    <m/>
    <m/>
    <m/>
    <n v="6532"/>
    <n v="6441"/>
    <n v="6591"/>
    <n v="5198"/>
    <n v="5330"/>
    <n v="6591"/>
    <n v="18453"/>
    <n v="615.1"/>
    <n v="18230"/>
    <n v="607.66666666666663"/>
    <n v="18"/>
    <n v="0"/>
    <n v="18453"/>
    <n v="18230"/>
    <m/>
    <m/>
    <m/>
    <m/>
    <m/>
    <m/>
    <m/>
    <m/>
    <n v="0"/>
    <n v="0"/>
    <n v="0"/>
    <n v="0"/>
    <m/>
    <m/>
    <n v="0"/>
    <n v="0"/>
  </r>
  <r>
    <x v="0"/>
    <s v="Reid State Technical College "/>
    <m/>
    <n v="101994"/>
    <x v="10"/>
    <s v="sem"/>
    <m/>
    <m/>
    <m/>
    <n v="6330"/>
    <n v="4746"/>
    <n v="3648"/>
    <n v="2666"/>
    <n v="5584"/>
    <n v="5169"/>
    <n v="15562"/>
    <n v="518.73333333333335"/>
    <n v="12581"/>
    <n v="419.36666666666667"/>
    <n v="704"/>
    <n v="844"/>
    <n v="15562"/>
    <n v="12581"/>
    <m/>
    <m/>
    <m/>
    <m/>
    <m/>
    <m/>
    <m/>
    <m/>
    <n v="0"/>
    <n v="0"/>
    <n v="0"/>
    <n v="0"/>
    <m/>
    <m/>
    <n v="0"/>
    <n v="0"/>
  </r>
  <r>
    <x v="1"/>
    <s v="University of Arkansas, Fayetteville"/>
    <m/>
    <n v="106397"/>
    <x v="0"/>
    <s v="sem"/>
    <s v="sem"/>
    <m/>
    <n v="0"/>
    <n v="246316"/>
    <n v="264770"/>
    <n v="42076"/>
    <n v="42430"/>
    <n v="281242"/>
    <n v="293440"/>
    <n v="569634"/>
    <n v="18987.8"/>
    <n v="600640"/>
    <n v="20021.333333333332"/>
    <n v="129"/>
    <n v="152"/>
    <n v="569634"/>
    <n v="600640"/>
    <m/>
    <m/>
    <m/>
    <m/>
    <m/>
    <m/>
    <m/>
    <m/>
    <n v="0"/>
    <n v="0"/>
    <n v="0"/>
    <n v="0"/>
    <m/>
    <m/>
    <n v="0"/>
    <n v="0"/>
  </r>
  <r>
    <x v="1"/>
    <s v="Arkansas State University"/>
    <m/>
    <n v="106458"/>
    <x v="2"/>
    <s v="sem"/>
    <s v="sem"/>
    <m/>
    <n v="0"/>
    <n v="122334"/>
    <n v="121842"/>
    <n v="23610"/>
    <n v="23400"/>
    <n v="131785"/>
    <n v="130541"/>
    <n v="277729"/>
    <n v="9257.6333333333332"/>
    <n v="275783"/>
    <n v="9192.7666666666664"/>
    <n v="3670"/>
    <n v="4590"/>
    <n v="277729"/>
    <n v="275783"/>
    <m/>
    <m/>
    <m/>
    <m/>
    <m/>
    <m/>
    <m/>
    <m/>
    <n v="0"/>
    <n v="0"/>
    <n v="0"/>
    <n v="0"/>
    <m/>
    <m/>
    <n v="0"/>
    <n v="0"/>
  </r>
  <r>
    <x v="1"/>
    <s v="Arkansas Tech University"/>
    <s v="Reclassified: met the criteria for Four-Year 3 in 2010-11, 2011-12 and 2012-13."/>
    <n v="106467"/>
    <x v="2"/>
    <s v="sem"/>
    <s v="sem"/>
    <m/>
    <n v="0"/>
    <n v="98931"/>
    <n v="98893"/>
    <n v="15630"/>
    <n v="13732"/>
    <n v="108145"/>
    <n v="109990"/>
    <n v="222706"/>
    <n v="7423.5333333333338"/>
    <n v="222615"/>
    <n v="7420.5"/>
    <n v="5994"/>
    <n v="6891"/>
    <n v="222706"/>
    <n v="222615"/>
    <m/>
    <m/>
    <m/>
    <m/>
    <m/>
    <m/>
    <m/>
    <m/>
    <n v="0"/>
    <n v="0"/>
    <n v="0"/>
    <n v="0"/>
    <m/>
    <m/>
    <n v="0"/>
    <n v="0"/>
  </r>
  <r>
    <x v="1"/>
    <s v="University of Arkansas at Little Rock"/>
    <s v="Met the criteria for Four-Year 2 in 2012-13."/>
    <n v="106245"/>
    <x v="2"/>
    <s v="sem"/>
    <s v="sem"/>
    <m/>
    <n v="0"/>
    <n v="104543"/>
    <n v="102646"/>
    <n v="22237"/>
    <n v="21964"/>
    <n v="110450"/>
    <n v="107750"/>
    <n v="237230"/>
    <n v="7907.666666666667"/>
    <n v="232360"/>
    <n v="7745.333333333333"/>
    <n v="15191"/>
    <n v="15649"/>
    <n v="237230"/>
    <n v="232360"/>
    <m/>
    <m/>
    <m/>
    <m/>
    <m/>
    <m/>
    <m/>
    <m/>
    <n v="0"/>
    <n v="0"/>
    <n v="0"/>
    <n v="0"/>
    <m/>
    <m/>
    <n v="0"/>
    <n v="0"/>
  </r>
  <r>
    <x v="1"/>
    <s v="University of Central Arkansas "/>
    <m/>
    <n v="106704"/>
    <x v="2"/>
    <s v="sem"/>
    <s v="sem"/>
    <m/>
    <n v="0"/>
    <n v="114123"/>
    <n v="118421"/>
    <n v="17883"/>
    <n v="17256"/>
    <n v="129238"/>
    <n v="132663"/>
    <n v="261244"/>
    <n v="8708.1333333333332"/>
    <n v="268340"/>
    <n v="8944.6666666666661"/>
    <n v="2287"/>
    <n v="2309"/>
    <n v="261244"/>
    <n v="268340"/>
    <m/>
    <m/>
    <m/>
    <m/>
    <m/>
    <m/>
    <m/>
    <m/>
    <n v="0"/>
    <n v="0"/>
    <n v="0"/>
    <n v="0"/>
    <m/>
    <m/>
    <n v="0"/>
    <n v="0"/>
  </r>
  <r>
    <x v="1"/>
    <s v="Henderson State University"/>
    <m/>
    <n v="107071"/>
    <x v="3"/>
    <s v="sem"/>
    <s v="sem"/>
    <m/>
    <n v="0"/>
    <n v="43169"/>
    <n v="43223"/>
    <n v="5624"/>
    <n v="5222"/>
    <n v="47196"/>
    <n v="45506"/>
    <n v="95989"/>
    <n v="3199.6333333333332"/>
    <n v="93951"/>
    <n v="3131.7"/>
    <n v="35"/>
    <n v="3"/>
    <n v="95989"/>
    <n v="93951"/>
    <m/>
    <m/>
    <m/>
    <m/>
    <m/>
    <m/>
    <m/>
    <m/>
    <n v="0"/>
    <n v="0"/>
    <n v="0"/>
    <n v="0"/>
    <m/>
    <m/>
    <n v="0"/>
    <n v="0"/>
  </r>
  <r>
    <x v="1"/>
    <s v="Southern Arkansas University"/>
    <m/>
    <n v="107983"/>
    <x v="3"/>
    <s v="sem"/>
    <s v="sem"/>
    <m/>
    <n v="0"/>
    <n v="36593"/>
    <n v="35911"/>
    <n v="4813"/>
    <n v="4852"/>
    <n v="39975"/>
    <n v="41166"/>
    <n v="81381"/>
    <n v="2712.7"/>
    <n v="81929"/>
    <n v="2730.9666666666667"/>
    <n v="1008"/>
    <n v="1550"/>
    <n v="81381"/>
    <n v="81929"/>
    <m/>
    <m/>
    <m/>
    <m/>
    <m/>
    <m/>
    <m/>
    <m/>
    <n v="0"/>
    <n v="0"/>
    <n v="0"/>
    <n v="0"/>
    <m/>
    <m/>
    <n v="0"/>
    <n v="0"/>
  </r>
  <r>
    <x v="1"/>
    <s v="University of Arkansas at Monticello"/>
    <m/>
    <n v="106485"/>
    <x v="4"/>
    <s v="sem"/>
    <s v="sem"/>
    <m/>
    <n v="0"/>
    <n v="31870"/>
    <n v="30508"/>
    <n v="4622"/>
    <n v="4744"/>
    <n v="34112"/>
    <n v="33241"/>
    <n v="70604"/>
    <n v="2353.4666666666667"/>
    <n v="68493"/>
    <n v="2283.1"/>
    <n v="4390"/>
    <n v="4557"/>
    <n v="70604"/>
    <n v="68493"/>
    <m/>
    <m/>
    <m/>
    <m/>
    <m/>
    <m/>
    <m/>
    <m/>
    <n v="0"/>
    <n v="0"/>
    <n v="0"/>
    <n v="0"/>
    <m/>
    <m/>
    <n v="0"/>
    <n v="0"/>
  </r>
  <r>
    <x v="1"/>
    <s v="University of Arkansas at Fort Smith"/>
    <m/>
    <n v="108092"/>
    <x v="5"/>
    <s v="sem"/>
    <s v="sem"/>
    <m/>
    <n v="0"/>
    <n v="78825"/>
    <n v="81620"/>
    <n v="14723"/>
    <n v="12744"/>
    <n v="84807"/>
    <n v="87885"/>
    <n v="178355"/>
    <n v="5945.166666666667"/>
    <n v="182249"/>
    <n v="6074.9666666666662"/>
    <n v="1530"/>
    <n v="7665"/>
    <n v="178355"/>
    <n v="182249"/>
    <m/>
    <m/>
    <m/>
    <m/>
    <m/>
    <m/>
    <m/>
    <m/>
    <n v="0"/>
    <n v="0"/>
    <n v="0"/>
    <n v="0"/>
    <m/>
    <m/>
    <n v="0"/>
    <n v="0"/>
  </r>
  <r>
    <x v="1"/>
    <s v="University of Arkansas at Pine Bluff"/>
    <s v="Met the criteria for Four-Year 5 in 2012-13."/>
    <n v="106412"/>
    <x v="5"/>
    <s v="sem"/>
    <s v="sem"/>
    <m/>
    <n v="0"/>
    <n v="37521"/>
    <n v="32959"/>
    <n v="5110"/>
    <n v="3636"/>
    <n v="37638"/>
    <n v="35159"/>
    <n v="80269"/>
    <n v="2675.6333333333332"/>
    <n v="71754"/>
    <n v="2391.8000000000002"/>
    <n v="0"/>
    <n v="0"/>
    <n v="80269"/>
    <n v="71754"/>
    <m/>
    <m/>
    <m/>
    <m/>
    <m/>
    <m/>
    <m/>
    <m/>
    <n v="0"/>
    <n v="0"/>
    <n v="0"/>
    <n v="0"/>
    <m/>
    <m/>
    <n v="0"/>
    <n v="0"/>
  </r>
  <r>
    <x v="1"/>
    <s v="Northwest Arkansas Community College "/>
    <m/>
    <n v="367459"/>
    <x v="6"/>
    <s v="sem"/>
    <s v="sem"/>
    <m/>
    <n v="0"/>
    <n v="74726"/>
    <n v="74059"/>
    <n v="16520"/>
    <n v="16612"/>
    <n v="78065"/>
    <n v="75010"/>
    <n v="169311"/>
    <n v="5643.7"/>
    <n v="165681"/>
    <n v="5522.7"/>
    <n v="6400"/>
    <n v="6725"/>
    <n v="169311"/>
    <n v="165681"/>
    <m/>
    <m/>
    <m/>
    <m/>
    <m/>
    <m/>
    <m/>
    <m/>
    <n v="0"/>
    <n v="0"/>
    <n v="0"/>
    <n v="0"/>
    <m/>
    <m/>
    <n v="0"/>
    <n v="0"/>
  </r>
  <r>
    <x v="1"/>
    <s v="Pulaski Technical College"/>
    <m/>
    <n v="107664"/>
    <x v="6"/>
    <s v="sem"/>
    <s v="sem"/>
    <m/>
    <n v="0"/>
    <n v="118448"/>
    <n v="114316"/>
    <n v="21689"/>
    <n v="19331"/>
    <n v="116649"/>
    <n v="103936"/>
    <n v="256786"/>
    <n v="8559.5333333333328"/>
    <n v="237583"/>
    <n v="7919.4333333333334"/>
    <n v="1261"/>
    <n v="2851"/>
    <n v="256786"/>
    <n v="237583"/>
    <m/>
    <m/>
    <m/>
    <m/>
    <m/>
    <m/>
    <m/>
    <m/>
    <n v="0"/>
    <n v="0"/>
    <n v="0"/>
    <n v="0"/>
    <m/>
    <m/>
    <n v="0"/>
    <n v="0"/>
  </r>
  <r>
    <x v="1"/>
    <s v="Arkansas State University-Beebe"/>
    <m/>
    <n v="106449"/>
    <x v="7"/>
    <s v="sem"/>
    <s v="sem"/>
    <m/>
    <n v="0"/>
    <n v="45198"/>
    <n v="44228"/>
    <n v="9675"/>
    <n v="8835"/>
    <n v="47448"/>
    <n v="45025"/>
    <n v="102321"/>
    <n v="3410.7"/>
    <n v="98088"/>
    <n v="3269.6"/>
    <n v="5744"/>
    <n v="8209"/>
    <n v="102321"/>
    <n v="98088"/>
    <m/>
    <m/>
    <m/>
    <m/>
    <m/>
    <m/>
    <m/>
    <m/>
    <n v="0"/>
    <n v="0"/>
    <n v="0"/>
    <n v="0"/>
    <m/>
    <m/>
    <n v="0"/>
    <n v="0"/>
  </r>
  <r>
    <x v="1"/>
    <s v="National Park Community College"/>
    <m/>
    <n v="106980"/>
    <x v="7"/>
    <s v="sem"/>
    <s v="sem"/>
    <m/>
    <n v="0"/>
    <n v="36294"/>
    <n v="28997"/>
    <n v="5944"/>
    <n v="4459"/>
    <n v="33758"/>
    <n v="31398"/>
    <n v="75996"/>
    <n v="2533.1999999999998"/>
    <n v="64854"/>
    <n v="2161.8000000000002"/>
    <n v="5339"/>
    <n v="6276"/>
    <n v="75996"/>
    <n v="64854"/>
    <m/>
    <m/>
    <m/>
    <m/>
    <m/>
    <m/>
    <m/>
    <m/>
    <n v="0"/>
    <n v="0"/>
    <n v="0"/>
    <n v="0"/>
    <m/>
    <m/>
    <n v="0"/>
    <n v="0"/>
  </r>
  <r>
    <x v="1"/>
    <s v="Arkansas Northeastern College"/>
    <m/>
    <n v="107327"/>
    <x v="8"/>
    <s v="sem"/>
    <s v="sem"/>
    <m/>
    <n v="0"/>
    <n v="16635"/>
    <n v="14784"/>
    <n v="3987"/>
    <n v="2995"/>
    <n v="16099"/>
    <n v="13417"/>
    <n v="36721"/>
    <n v="1224.0333333333333"/>
    <n v="31196"/>
    <n v="1039.8666666666666"/>
    <n v="893"/>
    <n v="1232"/>
    <n v="36721"/>
    <n v="31196"/>
    <m/>
    <m/>
    <m/>
    <m/>
    <m/>
    <m/>
    <m/>
    <m/>
    <n v="0"/>
    <n v="0"/>
    <n v="0"/>
    <n v="0"/>
    <m/>
    <m/>
    <n v="0"/>
    <n v="0"/>
  </r>
  <r>
    <x v="1"/>
    <s v="Arkansas State University Mountain Home"/>
    <m/>
    <n v="420538"/>
    <x v="8"/>
    <s v="sem"/>
    <s v="sem"/>
    <m/>
    <n v="0"/>
    <n v="16307"/>
    <n v="16019"/>
    <n v="2857"/>
    <n v="3311"/>
    <n v="16162"/>
    <n v="16566"/>
    <n v="35326"/>
    <n v="1177.5333333333333"/>
    <n v="35896"/>
    <n v="1196.5333333333333"/>
    <n v="554"/>
    <n v="534"/>
    <n v="35326"/>
    <n v="35896"/>
    <m/>
    <m/>
    <m/>
    <m/>
    <m/>
    <m/>
    <m/>
    <m/>
    <n v="0"/>
    <n v="0"/>
    <n v="0"/>
    <n v="0"/>
    <m/>
    <m/>
    <n v="0"/>
    <n v="0"/>
  </r>
  <r>
    <x v="1"/>
    <s v="Arkansas State University-Newport"/>
    <m/>
    <n v="440402"/>
    <x v="8"/>
    <s v="sem"/>
    <s v="sem"/>
    <m/>
    <n v="0"/>
    <n v="16455"/>
    <n v="19894"/>
    <n v="7850"/>
    <n v="8511"/>
    <n v="16273"/>
    <n v="19812"/>
    <n v="40578"/>
    <n v="1352.6"/>
    <n v="48217"/>
    <n v="1607.2333333333333"/>
    <n v="2129"/>
    <n v="5903"/>
    <n v="40578"/>
    <n v="48217"/>
    <m/>
    <m/>
    <m/>
    <m/>
    <m/>
    <m/>
    <m/>
    <m/>
    <n v="0"/>
    <n v="0"/>
    <n v="0"/>
    <n v="0"/>
    <m/>
    <m/>
    <n v="0"/>
    <n v="0"/>
  </r>
  <r>
    <x v="1"/>
    <s v="Black River Technical College"/>
    <m/>
    <n v="106625"/>
    <x v="8"/>
    <s v="sem"/>
    <s v="sem"/>
    <m/>
    <n v="0"/>
    <n v="26678"/>
    <n v="25086"/>
    <n v="5370"/>
    <n v="5590"/>
    <n v="27189"/>
    <n v="25739"/>
    <n v="59237"/>
    <n v="1974.5666666666666"/>
    <n v="56415"/>
    <n v="1880.5"/>
    <n v="2681"/>
    <n v="2856"/>
    <n v="59237"/>
    <n v="56415"/>
    <m/>
    <m/>
    <m/>
    <m/>
    <m/>
    <m/>
    <m/>
    <m/>
    <n v="0"/>
    <n v="0"/>
    <n v="0"/>
    <n v="0"/>
    <m/>
    <m/>
    <n v="0"/>
    <n v="0"/>
  </r>
  <r>
    <x v="1"/>
    <s v="College of the Ouachitas"/>
    <m/>
    <n v="107521"/>
    <x v="8"/>
    <s v="sem"/>
    <s v="sem"/>
    <m/>
    <n v="0"/>
    <n v="10597"/>
    <n v="12111"/>
    <n v="2342"/>
    <n v="2706"/>
    <n v="11431"/>
    <n v="13793"/>
    <n v="24370"/>
    <n v="812.33333333333337"/>
    <n v="28610"/>
    <n v="953.66666666666663"/>
    <n v="2393"/>
    <n v="6188"/>
    <n v="24370"/>
    <n v="28610"/>
    <m/>
    <m/>
    <m/>
    <m/>
    <m/>
    <m/>
    <m/>
    <m/>
    <n v="0"/>
    <n v="0"/>
    <n v="0"/>
    <n v="0"/>
    <m/>
    <m/>
    <n v="0"/>
    <n v="0"/>
  </r>
  <r>
    <x v="1"/>
    <s v="Cossatot Community College of the University of Arkansas"/>
    <m/>
    <n v="106795"/>
    <x v="8"/>
    <s v="sem"/>
    <s v="sem"/>
    <m/>
    <n v="0"/>
    <n v="12387"/>
    <n v="13097"/>
    <n v="2973"/>
    <n v="2898"/>
    <n v="14313"/>
    <n v="14579"/>
    <n v="29673"/>
    <n v="989.1"/>
    <n v="30574"/>
    <n v="1019.1333333333333"/>
    <n v="3561"/>
    <n v="3522"/>
    <n v="29673"/>
    <n v="30574"/>
    <m/>
    <m/>
    <m/>
    <m/>
    <m/>
    <m/>
    <m/>
    <m/>
    <n v="0"/>
    <n v="0"/>
    <n v="0"/>
    <n v="0"/>
    <m/>
    <m/>
    <n v="0"/>
    <n v="0"/>
  </r>
  <r>
    <x v="1"/>
    <s v="East Arkansas Community College "/>
    <m/>
    <n v="106883"/>
    <x v="8"/>
    <s v="sem"/>
    <s v="sem"/>
    <m/>
    <n v="0"/>
    <n v="11239"/>
    <n v="12157"/>
    <n v="3415"/>
    <n v="3139"/>
    <n v="13468"/>
    <n v="12271"/>
    <n v="28122"/>
    <n v="937.4"/>
    <n v="27567"/>
    <n v="918.9"/>
    <n v="2030"/>
    <n v="2737"/>
    <n v="28122"/>
    <n v="27567"/>
    <m/>
    <m/>
    <m/>
    <m/>
    <m/>
    <m/>
    <m/>
    <m/>
    <n v="0"/>
    <n v="0"/>
    <n v="0"/>
    <n v="0"/>
    <m/>
    <m/>
    <n v="0"/>
    <n v="0"/>
  </r>
  <r>
    <x v="1"/>
    <s v="Mid-South Community College "/>
    <m/>
    <n v="107318"/>
    <x v="8"/>
    <s v="sem"/>
    <s v="sem"/>
    <m/>
    <n v="0"/>
    <n v="17322"/>
    <n v="15788"/>
    <n v="2726"/>
    <n v="3007"/>
    <n v="17703"/>
    <n v="16909"/>
    <n v="37751"/>
    <n v="1258.3666666666666"/>
    <n v="35704"/>
    <n v="1190.1333333333334"/>
    <n v="4902"/>
    <n v="4871"/>
    <n v="37751"/>
    <n v="35704"/>
    <m/>
    <m/>
    <m/>
    <m/>
    <m/>
    <m/>
    <m/>
    <m/>
    <n v="0"/>
    <n v="0"/>
    <n v="0"/>
    <n v="0"/>
    <m/>
    <m/>
    <n v="0"/>
    <n v="0"/>
  </r>
  <r>
    <x v="1"/>
    <s v="North Arkansas College"/>
    <m/>
    <n v="107460"/>
    <x v="8"/>
    <s v="sem"/>
    <s v="sem"/>
    <m/>
    <n v="0"/>
    <n v="24309"/>
    <n v="23361"/>
    <n v="2910"/>
    <n v="2730"/>
    <n v="24390"/>
    <n v="23718"/>
    <n v="51609"/>
    <n v="1720.3"/>
    <n v="49809"/>
    <n v="1660.3"/>
    <n v="791"/>
    <n v="2303"/>
    <n v="51609"/>
    <n v="49809"/>
    <m/>
    <m/>
    <m/>
    <m/>
    <m/>
    <m/>
    <m/>
    <m/>
    <n v="0"/>
    <n v="0"/>
    <n v="0"/>
    <n v="0"/>
    <m/>
    <m/>
    <n v="0"/>
    <n v="0"/>
  </r>
  <r>
    <x v="1"/>
    <s v="Ozarka College "/>
    <m/>
    <n v="107549"/>
    <x v="8"/>
    <s v="sem"/>
    <s v="sem"/>
    <m/>
    <n v="0"/>
    <n v="16870"/>
    <n v="15871"/>
    <n v="3635"/>
    <n v="4096"/>
    <n v="16710"/>
    <n v="15600"/>
    <n v="37215"/>
    <n v="1240.5"/>
    <n v="35567"/>
    <n v="1185.5666666666666"/>
    <n v="1519"/>
    <n v="2222"/>
    <n v="37215"/>
    <n v="35567"/>
    <m/>
    <m/>
    <m/>
    <m/>
    <m/>
    <m/>
    <m/>
    <m/>
    <n v="0"/>
    <n v="0"/>
    <n v="0"/>
    <n v="0"/>
    <m/>
    <m/>
    <n v="0"/>
    <n v="0"/>
  </r>
  <r>
    <x v="1"/>
    <s v="Phillips Community College of the Univ of Arkansas"/>
    <m/>
    <n v="107619"/>
    <x v="8"/>
    <s v="sem"/>
    <s v="sem"/>
    <m/>
    <n v="0"/>
    <n v="15618"/>
    <n v="14740"/>
    <n v="2799"/>
    <n v="2940"/>
    <n v="16978"/>
    <n v="17284"/>
    <n v="35395"/>
    <n v="1179.8333333333333"/>
    <n v="34964"/>
    <n v="1165.4666666666667"/>
    <n v="7104"/>
    <n v="7458"/>
    <n v="35395"/>
    <n v="34964"/>
    <m/>
    <m/>
    <m/>
    <m/>
    <m/>
    <m/>
    <m/>
    <m/>
    <n v="0"/>
    <n v="0"/>
    <n v="0"/>
    <n v="0"/>
    <m/>
    <m/>
    <n v="0"/>
    <n v="0"/>
  </r>
  <r>
    <x v="1"/>
    <s v="Rich Mountain Community College "/>
    <m/>
    <n v="107743"/>
    <x v="8"/>
    <s v="sem"/>
    <s v="sem"/>
    <m/>
    <n v="0"/>
    <n v="7202"/>
    <n v="8600"/>
    <n v="1540"/>
    <n v="1416"/>
    <n v="8950"/>
    <n v="8571"/>
    <n v="17692"/>
    <n v="589.73333333333335"/>
    <n v="18587"/>
    <n v="619.56666666666672"/>
    <n v="1379"/>
    <n v="2775"/>
    <n v="17692"/>
    <n v="18587"/>
    <m/>
    <m/>
    <m/>
    <m/>
    <m/>
    <m/>
    <m/>
    <m/>
    <n v="0"/>
    <n v="0"/>
    <n v="0"/>
    <n v="0"/>
    <m/>
    <m/>
    <n v="0"/>
    <n v="0"/>
  </r>
  <r>
    <x v="1"/>
    <s v="South Arkansas Community College"/>
    <m/>
    <n v="107974"/>
    <x v="8"/>
    <s v="sem"/>
    <s v="sem"/>
    <m/>
    <n v="0"/>
    <n v="17434"/>
    <n v="16071"/>
    <n v="6320"/>
    <n v="5539"/>
    <n v="15924"/>
    <n v="14961"/>
    <n v="39678"/>
    <n v="1322.6"/>
    <n v="36571"/>
    <n v="1219.0333333333333"/>
    <n v="2752"/>
    <n v="2475"/>
    <n v="39678"/>
    <n v="36571"/>
    <m/>
    <m/>
    <m/>
    <m/>
    <m/>
    <m/>
    <m/>
    <m/>
    <n v="0"/>
    <n v="0"/>
    <n v="0"/>
    <n v="0"/>
    <m/>
    <m/>
    <n v="0"/>
    <n v="0"/>
  </r>
  <r>
    <x v="1"/>
    <s v="Southeast Arkansas College"/>
    <m/>
    <n v="107637"/>
    <x v="8"/>
    <s v="sem"/>
    <s v="sem"/>
    <m/>
    <n v="0"/>
    <n v="19112"/>
    <n v="15835"/>
    <n v="4901"/>
    <n v="3779"/>
    <n v="17863"/>
    <n v="16168"/>
    <n v="41876"/>
    <n v="1395.8666666666666"/>
    <n v="35782"/>
    <n v="1192.7333333333333"/>
    <n v="2325"/>
    <n v="1130"/>
    <n v="41876"/>
    <n v="35782"/>
    <m/>
    <m/>
    <m/>
    <m/>
    <m/>
    <m/>
    <m/>
    <m/>
    <n v="0"/>
    <n v="0"/>
    <n v="0"/>
    <n v="0"/>
    <m/>
    <m/>
    <n v="0"/>
    <n v="0"/>
  </r>
  <r>
    <x v="1"/>
    <s v="Southern Arkansas University Tech"/>
    <m/>
    <n v="107992"/>
    <x v="8"/>
    <s v="sem"/>
    <s v="sem"/>
    <m/>
    <n v="0"/>
    <n v="13869"/>
    <n v="19004"/>
    <n v="4264"/>
    <n v="3575"/>
    <n v="14467"/>
    <n v="17394"/>
    <n v="32600"/>
    <n v="1086.6666666666667"/>
    <n v="39973"/>
    <n v="1332.4333333333334"/>
    <n v="2852"/>
    <n v="9210"/>
    <n v="32600"/>
    <n v="39973"/>
    <m/>
    <m/>
    <m/>
    <m/>
    <m/>
    <m/>
    <m/>
    <m/>
    <n v="0"/>
    <n v="0"/>
    <n v="0"/>
    <n v="0"/>
    <m/>
    <m/>
    <n v="0"/>
    <n v="0"/>
  </r>
  <r>
    <x v="1"/>
    <s v="University of Arkansas Community College at Batesville"/>
    <m/>
    <n v="106999"/>
    <x v="8"/>
    <s v="sem"/>
    <s v="sem"/>
    <m/>
    <n v="0"/>
    <n v="14935"/>
    <n v="13504"/>
    <n v="3158"/>
    <n v="2508"/>
    <n v="15324"/>
    <n v="14282"/>
    <n v="33417"/>
    <n v="1113.9000000000001"/>
    <n v="30294"/>
    <n v="1009.8"/>
    <n v="1252"/>
    <n v="1442"/>
    <n v="33417"/>
    <n v="30294"/>
    <m/>
    <m/>
    <m/>
    <m/>
    <m/>
    <m/>
    <m/>
    <m/>
    <n v="0"/>
    <n v="0"/>
    <n v="0"/>
    <n v="0"/>
    <m/>
    <m/>
    <n v="0"/>
    <n v="0"/>
  </r>
  <r>
    <x v="1"/>
    <s v="University of Arkansas Community College at Hope"/>
    <m/>
    <n v="107725"/>
    <x v="8"/>
    <s v="sem"/>
    <s v="sem"/>
    <m/>
    <n v="0"/>
    <n v="12230"/>
    <n v="14816"/>
    <n v="2191"/>
    <n v="2369"/>
    <n v="14693"/>
    <n v="14197"/>
    <n v="29114"/>
    <n v="970.4666666666667"/>
    <n v="31382"/>
    <n v="1046.0666666666666"/>
    <n v="1805"/>
    <n v="2466"/>
    <n v="29114"/>
    <n v="31382"/>
    <m/>
    <m/>
    <m/>
    <m/>
    <m/>
    <m/>
    <m/>
    <m/>
    <n v="0"/>
    <n v="0"/>
    <n v="0"/>
    <n v="0"/>
    <m/>
    <m/>
    <n v="0"/>
    <n v="0"/>
  </r>
  <r>
    <x v="1"/>
    <s v="University of Arkansas Community College at Morrilton"/>
    <m/>
    <n v="107585"/>
    <x v="8"/>
    <s v="sem"/>
    <s v="sem"/>
    <m/>
    <n v="0"/>
    <n v="23858"/>
    <n v="22650"/>
    <n v="3265"/>
    <n v="4077"/>
    <n v="24088"/>
    <n v="24387"/>
    <n v="51211"/>
    <n v="1707.0333333333333"/>
    <n v="51114"/>
    <n v="1703.8"/>
    <n v="444"/>
    <n v="444"/>
    <n v="51211"/>
    <n v="51114"/>
    <m/>
    <m/>
    <m/>
    <m/>
    <m/>
    <m/>
    <m/>
    <m/>
    <n v="0"/>
    <n v="0"/>
    <n v="0"/>
    <n v="0"/>
    <m/>
    <m/>
    <n v="0"/>
    <n v="0"/>
  </r>
  <r>
    <x v="2"/>
    <s v="University of Delaware"/>
    <m/>
    <n v="130943"/>
    <x v="0"/>
    <s v="sem"/>
    <m/>
    <n v="30784"/>
    <n v="29337"/>
    <n v="234969"/>
    <n v="240217"/>
    <n v="15364"/>
    <n v="10517"/>
    <n v="257692"/>
    <n v="259767"/>
    <n v="538809"/>
    <n v="17960.3"/>
    <n v="539838"/>
    <n v="17994.599999999999"/>
    <m/>
    <m/>
    <n v="0"/>
    <n v="0"/>
    <m/>
    <m/>
    <m/>
    <m/>
    <m/>
    <m/>
    <m/>
    <m/>
    <n v="0"/>
    <n v="0"/>
    <n v="0"/>
    <n v="0"/>
    <m/>
    <m/>
    <n v="0"/>
    <n v="0"/>
  </r>
  <r>
    <x v="2"/>
    <s v="Delaware State University"/>
    <m/>
    <n v="130934"/>
    <x v="2"/>
    <s v="sem"/>
    <m/>
    <m/>
    <m/>
    <n v="49398"/>
    <n v="52335"/>
    <n v="4005"/>
    <n v="5312"/>
    <n v="56630"/>
    <n v="57465"/>
    <n v="110033"/>
    <n v="3667.7666666666669"/>
    <n v="115112"/>
    <n v="3837.0666666666666"/>
    <m/>
    <m/>
    <n v="0"/>
    <n v="0"/>
    <m/>
    <m/>
    <m/>
    <m/>
    <m/>
    <m/>
    <m/>
    <m/>
    <n v="0"/>
    <n v="0"/>
    <n v="0"/>
    <n v="0"/>
    <m/>
    <m/>
    <n v="0"/>
    <n v="0"/>
  </r>
  <r>
    <x v="2"/>
    <s v="Delaware Technical and Community College--Stanton-Wilmington"/>
    <s v="Met the criteria for Two-Year 2 in 2013-14."/>
    <n v="130916"/>
    <x v="6"/>
    <s v="sem"/>
    <m/>
    <m/>
    <m/>
    <n v="66323"/>
    <n v="63991"/>
    <n v="16560"/>
    <n v="16685"/>
    <n v="70523"/>
    <n v="68444"/>
    <n v="153406"/>
    <n v="5113.5333333333338"/>
    <n v="149120"/>
    <n v="4970.666666666667"/>
    <m/>
    <m/>
    <n v="0"/>
    <n v="0"/>
    <m/>
    <m/>
    <m/>
    <m/>
    <m/>
    <m/>
    <m/>
    <m/>
    <n v="0"/>
    <n v="0"/>
    <n v="0"/>
    <n v="0"/>
    <m/>
    <m/>
    <n v="0"/>
    <n v="0"/>
  </r>
  <r>
    <x v="2"/>
    <s v="Delaware Technical and Community College--Owens"/>
    <m/>
    <n v="130891"/>
    <x v="7"/>
    <s v="sem"/>
    <m/>
    <m/>
    <m/>
    <n v="44367"/>
    <n v="41587"/>
    <n v="8406"/>
    <n v="8266"/>
    <n v="46165"/>
    <n v="45000"/>
    <n v="98938"/>
    <n v="3297.9333333333334"/>
    <n v="94853"/>
    <n v="3161.7666666666669"/>
    <m/>
    <m/>
    <n v="0"/>
    <n v="0"/>
    <m/>
    <m/>
    <m/>
    <m/>
    <m/>
    <m/>
    <m/>
    <m/>
    <n v="0"/>
    <n v="0"/>
    <n v="0"/>
    <n v="0"/>
    <m/>
    <m/>
    <n v="0"/>
    <n v="0"/>
  </r>
  <r>
    <x v="2"/>
    <s v="Delaware Technical and Community College--Terry"/>
    <m/>
    <n v="130907"/>
    <x v="7"/>
    <s v="sem"/>
    <m/>
    <m/>
    <m/>
    <n v="31712"/>
    <n v="29217"/>
    <n v="7569"/>
    <n v="7305"/>
    <n v="31624"/>
    <n v="31362"/>
    <n v="70905"/>
    <n v="2363.5"/>
    <n v="67884"/>
    <n v="2262.8000000000002"/>
    <m/>
    <m/>
    <n v="0"/>
    <n v="0"/>
    <m/>
    <m/>
    <m/>
    <m/>
    <m/>
    <m/>
    <m/>
    <m/>
    <n v="0"/>
    <n v="0"/>
    <n v="0"/>
    <n v="0"/>
    <m/>
    <m/>
    <n v="0"/>
    <n v="0"/>
  </r>
  <r>
    <x v="3"/>
    <s v="Florida International University"/>
    <m/>
    <n v="133951"/>
    <x v="0"/>
    <s v="sem"/>
    <s v="sem"/>
    <m/>
    <m/>
    <n v="400944"/>
    <n v="410873"/>
    <n v="179559"/>
    <n v="175269"/>
    <n v="433470"/>
    <n v="462200"/>
    <n v="1013973"/>
    <n v="33799.1"/>
    <n v="1048342"/>
    <n v="34944.73333333333"/>
    <n v="33744"/>
    <n v="40505"/>
    <n v="1013973"/>
    <n v="1048342"/>
    <m/>
    <m/>
    <m/>
    <m/>
    <m/>
    <m/>
    <m/>
    <m/>
    <n v="0"/>
    <n v="0"/>
    <n v="0"/>
    <n v="0"/>
    <m/>
    <m/>
    <n v="0"/>
    <n v="0"/>
  </r>
  <r>
    <x v="3"/>
    <s v="Florida State University "/>
    <m/>
    <n v="134097"/>
    <x v="0"/>
    <s v="sem"/>
    <s v="sem"/>
    <m/>
    <m/>
    <n v="405780"/>
    <n v="405946"/>
    <n v="127490"/>
    <n v="124319"/>
    <n v="471701"/>
    <n v="416411"/>
    <n v="1004971"/>
    <n v="33499.033333333333"/>
    <n v="946676"/>
    <n v="31555.866666666665"/>
    <n v="1116"/>
    <n v="334"/>
    <n v="1004971"/>
    <n v="946676"/>
    <m/>
    <m/>
    <m/>
    <m/>
    <m/>
    <m/>
    <m/>
    <m/>
    <n v="0"/>
    <n v="0"/>
    <n v="0"/>
    <n v="0"/>
    <m/>
    <m/>
    <n v="0"/>
    <n v="0"/>
  </r>
  <r>
    <x v="3"/>
    <s v="University of Central Florida "/>
    <m/>
    <n v="132903"/>
    <x v="0"/>
    <s v="sem"/>
    <s v="sem"/>
    <m/>
    <m/>
    <n v="570430"/>
    <n v="568348"/>
    <n v="206207"/>
    <n v="198127"/>
    <n v="591832"/>
    <n v="588537"/>
    <n v="1368469"/>
    <n v="45615.633333333331"/>
    <n v="1355012"/>
    <n v="45167.066666666666"/>
    <n v="771"/>
    <n v="744"/>
    <n v="1368469"/>
    <n v="1355012"/>
    <m/>
    <m/>
    <m/>
    <m/>
    <m/>
    <m/>
    <m/>
    <m/>
    <n v="0"/>
    <n v="0"/>
    <n v="0"/>
    <n v="0"/>
    <m/>
    <m/>
    <n v="0"/>
    <n v="0"/>
  </r>
  <r>
    <x v="3"/>
    <s v="University of Florida"/>
    <m/>
    <n v="134130"/>
    <x v="0"/>
    <s v="sem"/>
    <s v="sem"/>
    <m/>
    <m/>
    <n v="420313"/>
    <n v="418060"/>
    <n v="116093"/>
    <n v="119076"/>
    <n v="435297"/>
    <n v="436230"/>
    <n v="971703"/>
    <n v="32390.1"/>
    <n v="973366"/>
    <n v="32445.533333333333"/>
    <n v="1487"/>
    <n v="1393"/>
    <n v="971703"/>
    <n v="973366"/>
    <m/>
    <m/>
    <m/>
    <m/>
    <m/>
    <m/>
    <m/>
    <m/>
    <n v="0"/>
    <n v="0"/>
    <n v="0"/>
    <n v="0"/>
    <m/>
    <m/>
    <n v="0"/>
    <n v="0"/>
  </r>
  <r>
    <x v="3"/>
    <s v="University of South Florida "/>
    <m/>
    <n v="137351"/>
    <x v="0"/>
    <s v="sem"/>
    <s v="sem"/>
    <m/>
    <m/>
    <n v="421127"/>
    <n v="392079"/>
    <n v="153540"/>
    <n v="151000"/>
    <n v="450005"/>
    <n v="445577"/>
    <n v="1024672"/>
    <n v="34155.73333333333"/>
    <n v="988656"/>
    <n v="32955.199999999997"/>
    <n v="733"/>
    <n v="555"/>
    <n v="1024672"/>
    <n v="988656"/>
    <m/>
    <m/>
    <m/>
    <m/>
    <m/>
    <m/>
    <m/>
    <m/>
    <n v="0"/>
    <n v="0"/>
    <n v="0"/>
    <n v="0"/>
    <m/>
    <m/>
    <n v="0"/>
    <n v="0"/>
  </r>
  <r>
    <x v="3"/>
    <s v="Florida Atlantic University "/>
    <s v="Met the criteria for Four-Year 1 in 2012-13 and 2013-14."/>
    <n v="133669"/>
    <x v="1"/>
    <s v="sem"/>
    <s v="sem"/>
    <m/>
    <m/>
    <n v="249063"/>
    <n v="254252"/>
    <n v="91973"/>
    <n v="93010"/>
    <n v="275769"/>
    <n v="280207"/>
    <n v="616805"/>
    <n v="20560.166666666668"/>
    <n v="627469"/>
    <n v="20915.633333333335"/>
    <n v="8071"/>
    <n v="10848"/>
    <n v="616805"/>
    <n v="627469"/>
    <m/>
    <m/>
    <m/>
    <m/>
    <m/>
    <m/>
    <m/>
    <m/>
    <n v="0"/>
    <n v="0"/>
    <n v="0"/>
    <n v="0"/>
    <m/>
    <m/>
    <n v="0"/>
    <n v="0"/>
  </r>
  <r>
    <x v="3"/>
    <s v="Florida Agricultural &amp; Mechanical University "/>
    <m/>
    <n v="133650"/>
    <x v="2"/>
    <s v="sem"/>
    <s v="sem"/>
    <m/>
    <m/>
    <n v="138674"/>
    <n v="124399"/>
    <n v="27241"/>
    <n v="27557"/>
    <n v="136531"/>
    <n v="122459"/>
    <n v="302446"/>
    <n v="10081.533333333333"/>
    <n v="274415"/>
    <n v="9147.1666666666661"/>
    <n v="189"/>
    <n v="118"/>
    <n v="302446"/>
    <n v="274415"/>
    <m/>
    <m/>
    <m/>
    <m/>
    <m/>
    <m/>
    <m/>
    <m/>
    <n v="0"/>
    <n v="0"/>
    <n v="0"/>
    <n v="0"/>
    <m/>
    <m/>
    <n v="0"/>
    <n v="0"/>
  </r>
  <r>
    <x v="3"/>
    <s v="University of North Florida"/>
    <m/>
    <n v="136172"/>
    <x v="2"/>
    <s v="sem"/>
    <s v="sem"/>
    <m/>
    <m/>
    <n v="156989"/>
    <n v="159797"/>
    <n v="53389"/>
    <n v="54227"/>
    <n v="168167"/>
    <n v="165529"/>
    <n v="378545"/>
    <n v="12618.166666666666"/>
    <n v="379553"/>
    <n v="12651.766666666666"/>
    <n v="744"/>
    <n v="662"/>
    <n v="378545"/>
    <n v="379553"/>
    <m/>
    <m/>
    <m/>
    <m/>
    <m/>
    <m/>
    <m/>
    <m/>
    <n v="0"/>
    <n v="0"/>
    <n v="0"/>
    <n v="0"/>
    <m/>
    <m/>
    <n v="0"/>
    <n v="0"/>
  </r>
  <r>
    <x v="3"/>
    <s v="University of West Florida"/>
    <m/>
    <n v="138354"/>
    <x v="2"/>
    <s v="sem"/>
    <s v="sem"/>
    <m/>
    <m/>
    <n v="106062"/>
    <n v="110612"/>
    <n v="34663"/>
    <n v="32825"/>
    <n v="119021"/>
    <n v="116879"/>
    <n v="259746"/>
    <n v="8658.2000000000007"/>
    <n v="260316"/>
    <n v="8677.2000000000007"/>
    <n v="614"/>
    <n v="765"/>
    <n v="259746"/>
    <n v="260316"/>
    <m/>
    <m/>
    <m/>
    <m/>
    <m/>
    <m/>
    <m/>
    <m/>
    <n v="0"/>
    <n v="0"/>
    <n v="0"/>
    <n v="0"/>
    <m/>
    <m/>
    <n v="0"/>
    <n v="0"/>
  </r>
  <r>
    <x v="3"/>
    <s v="Florida Gulf Coast University"/>
    <m/>
    <n v="433660"/>
    <x v="3"/>
    <s v="sem"/>
    <s v="sem"/>
    <m/>
    <m/>
    <n v="128362"/>
    <n v="135462"/>
    <n v="29430"/>
    <n v="30274"/>
    <n v="146619"/>
    <n v="154596"/>
    <n v="304411"/>
    <n v="10147.033333333333"/>
    <n v="320332"/>
    <n v="10677.733333333334"/>
    <n v="3235"/>
    <n v="2184"/>
    <n v="304411"/>
    <n v="320332"/>
    <m/>
    <m/>
    <m/>
    <m/>
    <m/>
    <m/>
    <m/>
    <m/>
    <n v="0"/>
    <n v="0"/>
    <n v="0"/>
    <n v="0"/>
    <m/>
    <m/>
    <n v="0"/>
    <n v="0"/>
  </r>
  <r>
    <x v="3"/>
    <s v="New College of Florida"/>
    <m/>
    <n v="262129"/>
    <x v="5"/>
    <s v="sem"/>
    <s v="sem"/>
    <m/>
    <m/>
    <n v="12752"/>
    <n v="12628"/>
    <n v="0"/>
    <n v="0"/>
    <n v="15768"/>
    <n v="15128"/>
    <n v="28520"/>
    <n v="950.66666666666663"/>
    <n v="27756"/>
    <n v="925.2"/>
    <n v="20"/>
    <n v="16"/>
    <n v="28520"/>
    <n v="27756"/>
    <m/>
    <m/>
    <m/>
    <m/>
    <m/>
    <m/>
    <m/>
    <m/>
    <n v="0"/>
    <n v="0"/>
    <n v="0"/>
    <n v="0"/>
    <m/>
    <m/>
    <n v="0"/>
    <n v="0"/>
  </r>
  <r>
    <x v="3"/>
    <s v="Chipola College "/>
    <m/>
    <n v="133021"/>
    <x v="11"/>
    <s v="sem"/>
    <m/>
    <m/>
    <m/>
    <n v="19100"/>
    <n v="18262"/>
    <n v="5901"/>
    <n v="5372"/>
    <n v="20255"/>
    <n v="18964"/>
    <n v="45256"/>
    <n v="1508.5333333333333"/>
    <n v="42598"/>
    <n v="1419.9333333333334"/>
    <n v="5469"/>
    <n v="6133"/>
    <n v="45256"/>
    <n v="42598"/>
    <m/>
    <m/>
    <n v="42203"/>
    <n v="47740"/>
    <n v="13777"/>
    <n v="18831"/>
    <n v="49304"/>
    <n v="51322"/>
    <n v="105284"/>
    <n v="116.98222222222222"/>
    <n v="117893"/>
    <n v="130.99222222222221"/>
    <n v="1785"/>
    <n v="1725"/>
    <n v="105284"/>
    <n v="117893"/>
  </r>
  <r>
    <x v="3"/>
    <s v="Daytona State College "/>
    <m/>
    <n v="133386"/>
    <x v="11"/>
    <s v="sem"/>
    <m/>
    <m/>
    <m/>
    <n v="144792"/>
    <n v="130377"/>
    <n v="44520"/>
    <n v="41221"/>
    <n v="140532"/>
    <n v="135963"/>
    <n v="329844"/>
    <n v="10994.8"/>
    <n v="307561"/>
    <n v="10252.033333333333"/>
    <n v="27072"/>
    <n v="25562"/>
    <n v="329844"/>
    <n v="307561"/>
    <m/>
    <m/>
    <n v="847829"/>
    <n v="833957"/>
    <n v="450015"/>
    <n v="441255"/>
    <n v="816179"/>
    <n v="803927"/>
    <n v="2114023"/>
    <n v="2348.9144444444446"/>
    <n v="2079139"/>
    <n v="2310.1544444444444"/>
    <n v="4940"/>
    <n v="6180"/>
    <n v="2114023"/>
    <n v="2079139"/>
  </r>
  <r>
    <x v="3"/>
    <s v="Edison State College "/>
    <m/>
    <n v="133508"/>
    <x v="11"/>
    <s v="sem"/>
    <m/>
    <m/>
    <m/>
    <n v="141156"/>
    <n v="127177"/>
    <n v="52499"/>
    <n v="48933"/>
    <n v="136807"/>
    <n v="133601"/>
    <n v="330462"/>
    <n v="11015.4"/>
    <n v="309711"/>
    <n v="10323.700000000001"/>
    <n v="26406"/>
    <n v="26897"/>
    <n v="330462"/>
    <n v="309711"/>
    <m/>
    <m/>
    <n v="3990"/>
    <n v="4860"/>
    <n v="3900"/>
    <n v="8910"/>
    <n v="0"/>
    <n v="3120"/>
    <n v="7890"/>
    <n v="8.7666666666666675"/>
    <n v="16890"/>
    <n v="18.766666666666666"/>
    <n v="0"/>
    <n v="0"/>
    <n v="7890"/>
    <n v="16890"/>
  </r>
  <r>
    <x v="3"/>
    <s v="Florida State College at Jacksonville"/>
    <m/>
    <n v="133702"/>
    <x v="11"/>
    <s v="sem"/>
    <m/>
    <m/>
    <m/>
    <n v="259025"/>
    <n v="235384"/>
    <n v="129952"/>
    <n v="118520"/>
    <n v="248614"/>
    <n v="237970"/>
    <n v="637591"/>
    <n v="21253.033333333333"/>
    <n v="591874"/>
    <n v="19729.133333333335"/>
    <n v="32881"/>
    <n v="35150"/>
    <n v="637591"/>
    <n v="591874"/>
    <m/>
    <m/>
    <n v="873495"/>
    <n v="772538"/>
    <n v="535059"/>
    <n v="563856"/>
    <n v="799377"/>
    <n v="783095"/>
    <n v="2207931"/>
    <n v="2453.2566666666667"/>
    <n v="2119489"/>
    <n v="2354.9877777777779"/>
    <n v="34827"/>
    <n v="19562"/>
    <n v="2207931"/>
    <n v="2119489"/>
  </r>
  <r>
    <x v="3"/>
    <s v="Indian River State College "/>
    <m/>
    <n v="134608"/>
    <x v="11"/>
    <s v="sem"/>
    <m/>
    <m/>
    <m/>
    <n v="133118"/>
    <n v="133323"/>
    <n v="63072"/>
    <n v="60436"/>
    <n v="143137"/>
    <n v="140090"/>
    <n v="339327"/>
    <n v="11310.9"/>
    <n v="333849"/>
    <n v="11128.3"/>
    <n v="36630"/>
    <n v="42139"/>
    <n v="339327"/>
    <n v="333849"/>
    <m/>
    <m/>
    <n v="722970"/>
    <n v="688962"/>
    <n v="490692"/>
    <n v="497933"/>
    <n v="724338"/>
    <n v="715790"/>
    <n v="1938000"/>
    <n v="2153.3333333333335"/>
    <n v="1902685"/>
    <n v="2114.0944444444444"/>
    <n v="41440"/>
    <n v="29864"/>
    <n v="1938000"/>
    <n v="1902685"/>
  </r>
  <r>
    <x v="3"/>
    <s v="Miami Dade College "/>
    <m/>
    <n v="135717"/>
    <x v="11"/>
    <s v="sem"/>
    <m/>
    <m/>
    <m/>
    <n v="650249"/>
    <n v="625446"/>
    <n v="295176"/>
    <n v="274274"/>
    <n v="650690"/>
    <n v="644836"/>
    <n v="1596115"/>
    <n v="53203.833333333336"/>
    <n v="1544556"/>
    <n v="51485.2"/>
    <n v="35022"/>
    <n v="42766"/>
    <n v="1596115"/>
    <n v="1544556"/>
    <m/>
    <m/>
    <n v="1233420"/>
    <n v="1154965"/>
    <n v="921686"/>
    <n v="969985"/>
    <n v="1108304"/>
    <n v="1121270"/>
    <n v="3263410"/>
    <n v="3626.0111111111109"/>
    <n v="3246220"/>
    <n v="3606.911111111111"/>
    <n v="0"/>
    <n v="0"/>
    <n v="3263410"/>
    <n v="3246220"/>
  </r>
  <r>
    <x v="3"/>
    <s v="Northwest Florida State College"/>
    <m/>
    <n v="136233"/>
    <x v="11"/>
    <s v="sem"/>
    <m/>
    <m/>
    <m/>
    <n v="63434"/>
    <n v="58154"/>
    <n v="26154"/>
    <n v="25986"/>
    <n v="62508"/>
    <n v="60531"/>
    <n v="152096"/>
    <n v="5069.8666666666668"/>
    <n v="144671"/>
    <n v="4822.3666666666668"/>
    <n v="8870"/>
    <n v="10063"/>
    <n v="152096"/>
    <n v="144671"/>
    <m/>
    <m/>
    <n v="109611"/>
    <n v="109096"/>
    <n v="60497"/>
    <n v="46544"/>
    <n v="107642"/>
    <n v="109413"/>
    <n v="277750"/>
    <n v="308.61111111111109"/>
    <n v="265053"/>
    <n v="294.50333333333333"/>
    <n v="0"/>
    <n v="0"/>
    <n v="277750"/>
    <n v="265053"/>
  </r>
  <r>
    <x v="3"/>
    <s v="St. Petersburg College "/>
    <m/>
    <n v="137078"/>
    <x v="11"/>
    <s v="sem"/>
    <m/>
    <m/>
    <m/>
    <n v="271911"/>
    <n v="263316"/>
    <n v="96285"/>
    <n v="91582"/>
    <n v="276141"/>
    <n v="269754"/>
    <n v="644337"/>
    <n v="21477.9"/>
    <n v="624652"/>
    <n v="20821.733333333334"/>
    <n v="37452"/>
    <n v="38741"/>
    <n v="644337"/>
    <n v="624652"/>
    <m/>
    <m/>
    <n v="47140"/>
    <n v="68660"/>
    <n v="26277"/>
    <n v="40077"/>
    <n v="62940"/>
    <n v="62571"/>
    <n v="136357"/>
    <n v="151.50777777777779"/>
    <n v="171308"/>
    <n v="190.34222222222223"/>
    <n v="0"/>
    <n v="0"/>
    <n v="136357"/>
    <n v="171308"/>
  </r>
  <r>
    <x v="3"/>
    <s v="Broward College "/>
    <s v="Reclassified: met the criteria for Two-Year with Bachelor's in 2011-12, 2012-13, and 2013-14."/>
    <n v="132709"/>
    <x v="11"/>
    <s v="sem"/>
    <m/>
    <m/>
    <m/>
    <n v="363645"/>
    <n v="351551"/>
    <n v="171912"/>
    <n v="173278"/>
    <n v="365871"/>
    <n v="375608"/>
    <n v="901428"/>
    <n v="30047.599999999999"/>
    <n v="900437"/>
    <n v="30014.566666666666"/>
    <n v="45262"/>
    <n v="43436"/>
    <n v="901428"/>
    <n v="900437"/>
    <m/>
    <m/>
    <n v="163204"/>
    <n v="134741"/>
    <n v="97091"/>
    <n v="124609"/>
    <n v="149838"/>
    <n v="132426"/>
    <n v="410133"/>
    <n v="455.70333333333332"/>
    <n v="391776"/>
    <n v="435.30666666666667"/>
    <n v="225"/>
    <n v="0"/>
    <n v="410133"/>
    <n v="391776"/>
  </r>
  <r>
    <x v="3"/>
    <s v="College of Central Florida"/>
    <s v="Met the criteria for Two-Year with Bachelor's in 2013-14."/>
    <n v="132851"/>
    <x v="6"/>
    <s v="sem"/>
    <m/>
    <m/>
    <m/>
    <n v="74341"/>
    <n v="69146"/>
    <n v="26395"/>
    <n v="26165"/>
    <n v="74213"/>
    <n v="74525"/>
    <n v="174949"/>
    <n v="5831.6333333333332"/>
    <n v="169836"/>
    <n v="5661.2"/>
    <n v="13023"/>
    <n v="14786"/>
    <n v="174949"/>
    <n v="169836"/>
    <m/>
    <m/>
    <n v="146424"/>
    <n v="85949"/>
    <n v="84648"/>
    <n v="51751"/>
    <n v="117024"/>
    <n v="73767"/>
    <n v="348096"/>
    <n v="386.77333333333331"/>
    <n v="211467"/>
    <n v="234.96333333333334"/>
    <n v="1050"/>
    <n v="0"/>
    <n v="348096"/>
    <n v="211467"/>
  </r>
  <r>
    <x v="3"/>
    <s v="Eastern Florida State College"/>
    <m/>
    <n v="132693"/>
    <x v="6"/>
    <s v="sem"/>
    <m/>
    <m/>
    <m/>
    <n v="150391"/>
    <n v="137295"/>
    <n v="48875"/>
    <n v="48162"/>
    <n v="147500"/>
    <n v="143791"/>
    <n v="346766"/>
    <n v="11558.866666666667"/>
    <n v="329248"/>
    <n v="10974.933333333332"/>
    <n v="54984"/>
    <n v="56493"/>
    <n v="346766"/>
    <n v="329248"/>
    <m/>
    <m/>
    <n v="452940"/>
    <n v="361615"/>
    <n v="129757"/>
    <n v="132400"/>
    <n v="362364"/>
    <n v="313775"/>
    <n v="945061"/>
    <n v="1050.0677777777778"/>
    <n v="807790"/>
    <n v="897.54444444444448"/>
    <n v="92565"/>
    <n v="77791"/>
    <n v="945061"/>
    <n v="807790"/>
  </r>
  <r>
    <x v="3"/>
    <s v="Hillsborough Community College "/>
    <m/>
    <n v="134495"/>
    <x v="6"/>
    <s v="sem"/>
    <m/>
    <m/>
    <m/>
    <n v="250281"/>
    <n v="236460"/>
    <n v="87131"/>
    <n v="80516"/>
    <n v="249249"/>
    <n v="240787"/>
    <n v="586661"/>
    <n v="19555.366666666665"/>
    <n v="557763"/>
    <n v="18592.099999999999"/>
    <n v="15384"/>
    <n v="18722"/>
    <n v="586661"/>
    <n v="557763"/>
    <m/>
    <m/>
    <n v="558295"/>
    <n v="615454"/>
    <n v="99500"/>
    <n v="151005"/>
    <n v="634802"/>
    <n v="628093"/>
    <n v="1292597"/>
    <n v="1436.2188888888888"/>
    <n v="1394552"/>
    <n v="1549.5022222222221"/>
    <n v="0"/>
    <n v="0"/>
    <n v="1292597"/>
    <n v="1394552"/>
  </r>
  <r>
    <x v="3"/>
    <s v="Palm Beach State College "/>
    <s v="Reclassified: met the criteria for Two-Year with Bachelor's in 2011-12, 2012-13, and 2013-14."/>
    <n v="136358"/>
    <x v="11"/>
    <s v="sem"/>
    <m/>
    <m/>
    <m/>
    <n v="235834"/>
    <n v="228052"/>
    <n v="90121"/>
    <n v="91067"/>
    <n v="244928"/>
    <n v="241040"/>
    <n v="570883"/>
    <n v="19029.433333333334"/>
    <n v="560159"/>
    <n v="18671.966666666667"/>
    <n v="22540"/>
    <n v="23925"/>
    <n v="570883"/>
    <n v="560159"/>
    <m/>
    <m/>
    <n v="470037"/>
    <n v="532897"/>
    <n v="269345"/>
    <n v="305104"/>
    <n v="479213"/>
    <n v="497692"/>
    <n v="1218595"/>
    <n v="1353.9944444444445"/>
    <n v="1335693"/>
    <n v="1484.1033333333332"/>
    <n v="4080"/>
    <n v="4560"/>
    <n v="1218595"/>
    <n v="1335693"/>
  </r>
  <r>
    <x v="3"/>
    <s v="Pasco-Hernando Community College "/>
    <m/>
    <n v="136400"/>
    <x v="6"/>
    <s v="sem"/>
    <m/>
    <m/>
    <m/>
    <n v="92204"/>
    <n v="83607"/>
    <n v="27620"/>
    <n v="25953"/>
    <n v="89575"/>
    <n v="89797"/>
    <n v="209399"/>
    <n v="6979.9666666666662"/>
    <n v="199357"/>
    <n v="6645.2333333333336"/>
    <n v="24399"/>
    <n v="20072"/>
    <n v="209399"/>
    <n v="199357"/>
    <m/>
    <m/>
    <n v="168953"/>
    <n v="139366"/>
    <n v="79855"/>
    <n v="76124"/>
    <n v="114863"/>
    <n v="138294"/>
    <n v="363671"/>
    <n v="404.07888888888891"/>
    <n v="353784"/>
    <n v="393.09333333333331"/>
    <n v="805"/>
    <n v="960"/>
    <n v="363671"/>
    <n v="353784"/>
  </r>
  <r>
    <x v="3"/>
    <s v="Pensacola State College "/>
    <s v="Met the criteria for Two-Year with Bachelor's in 2012-13 and 2013-14."/>
    <n v="136473"/>
    <x v="6"/>
    <s v="sem"/>
    <m/>
    <m/>
    <m/>
    <n v="102456"/>
    <n v="100134"/>
    <n v="40266"/>
    <n v="38882"/>
    <n v="106379"/>
    <n v="99041"/>
    <n v="249101"/>
    <n v="8303.3666666666668"/>
    <n v="238057"/>
    <n v="7935.2333333333336"/>
    <n v="27988"/>
    <n v="28172"/>
    <n v="249101"/>
    <n v="238057"/>
    <m/>
    <m/>
    <n v="379700"/>
    <n v="366434"/>
    <n v="220774"/>
    <n v="211589"/>
    <n v="409685"/>
    <n v="332977"/>
    <n v="1010159"/>
    <n v="1122.3988888888889"/>
    <n v="911000"/>
    <n v="1012.2222222222222"/>
    <n v="1170"/>
    <n v="1380"/>
    <n v="1010159"/>
    <n v="911000"/>
  </r>
  <r>
    <x v="3"/>
    <s v="Polk State College "/>
    <s v="Reclassified: met the criteria for Two-Year with Bachelor's in 2011-12, 2012-13, and 2013-14."/>
    <n v="136516"/>
    <x v="11"/>
    <s v="sem"/>
    <m/>
    <m/>
    <m/>
    <n v="95577"/>
    <n v="96630"/>
    <n v="35442"/>
    <n v="34129"/>
    <n v="100190"/>
    <n v="102394"/>
    <n v="231209"/>
    <n v="7706.9666666666662"/>
    <n v="233153"/>
    <n v="7771.7666666666664"/>
    <n v="29544"/>
    <n v="31823"/>
    <n v="231209"/>
    <n v="233153"/>
    <m/>
    <m/>
    <n v="27397"/>
    <n v="27301"/>
    <n v="24121"/>
    <n v="20656"/>
    <n v="29361"/>
    <n v="31804"/>
    <n v="80879"/>
    <n v="89.865555555555559"/>
    <n v="79761"/>
    <n v="88.623333333333335"/>
    <n v="0"/>
    <n v="0"/>
    <n v="80879"/>
    <n v="79761"/>
  </r>
  <r>
    <x v="3"/>
    <s v="Santa Fe College "/>
    <s v="Met the criteria for Two-Year with Bachelor's in 2012-13 and 2013-14."/>
    <n v="137096"/>
    <x v="6"/>
    <s v="sem"/>
    <m/>
    <m/>
    <m/>
    <n v="142534"/>
    <n v="136464"/>
    <n v="60253"/>
    <n v="57970"/>
    <n v="146754"/>
    <n v="143283"/>
    <n v="349541"/>
    <n v="11651.366666666667"/>
    <n v="337717"/>
    <n v="11257.233333333334"/>
    <n v="15659"/>
    <n v="16300"/>
    <n v="349541"/>
    <n v="337717"/>
    <m/>
    <m/>
    <n v="195473"/>
    <n v="174511"/>
    <n v="126062"/>
    <n v="134041"/>
    <n v="211324"/>
    <n v="214163"/>
    <n v="532859"/>
    <n v="592.06555555555553"/>
    <n v="522715"/>
    <n v="580.79444444444448"/>
    <n v="1080"/>
    <n v="2238"/>
    <n v="532859"/>
    <n v="522715"/>
  </r>
  <r>
    <x v="3"/>
    <s v="Seminole State College of Florida"/>
    <s v="Met the criteria for Two-Year with Bachelor's in 2012-13 and 2013-14."/>
    <n v="137209"/>
    <x v="6"/>
    <s v="sem"/>
    <m/>
    <m/>
    <m/>
    <n v="167812"/>
    <n v="161087"/>
    <n v="71447"/>
    <n v="65893"/>
    <n v="175798"/>
    <n v="160467"/>
    <n v="415057"/>
    <n v="13835.233333333334"/>
    <n v="387447"/>
    <n v="12914.9"/>
    <n v="6881"/>
    <n v="8384"/>
    <n v="415057"/>
    <n v="387447"/>
    <m/>
    <m/>
    <n v="470402"/>
    <n v="447615"/>
    <n v="321229"/>
    <n v="289090"/>
    <n v="441055"/>
    <n v="494474"/>
    <n v="1232686"/>
    <n v="1369.651111111111"/>
    <n v="1231179"/>
    <n v="1367.9766666666667"/>
    <n v="6120"/>
    <n v="7020"/>
    <n v="1232686"/>
    <n v="1231179"/>
  </r>
  <r>
    <x v="3"/>
    <s v="State College of Florida, Manatee-Sarasota"/>
    <s v="Reclassified: met the criteria for Two-Year with Bachelor's in 2011-12, 2012-13, and 2013-14."/>
    <n v="135391"/>
    <x v="11"/>
    <s v="sem"/>
    <m/>
    <m/>
    <m/>
    <n v="104680"/>
    <n v="99472"/>
    <n v="32779"/>
    <n v="31119"/>
    <n v="108096"/>
    <n v="103243"/>
    <n v="245555"/>
    <n v="8185.166666666667"/>
    <n v="233834"/>
    <n v="7794.4666666666662"/>
    <n v="18340"/>
    <n v="18206"/>
    <n v="245555"/>
    <n v="233834"/>
    <m/>
    <m/>
    <n v="0"/>
    <n v="0"/>
    <n v="0"/>
    <n v="0"/>
    <n v="0"/>
    <n v="0"/>
    <n v="0"/>
    <n v="0"/>
    <n v="0"/>
    <n v="0"/>
    <n v="0"/>
    <n v="0"/>
    <n v="0"/>
    <n v="0"/>
  </r>
  <r>
    <x v="3"/>
    <s v="Tallahassee Community College "/>
    <m/>
    <n v="137759"/>
    <x v="6"/>
    <s v="sem"/>
    <m/>
    <m/>
    <m/>
    <n v="135595"/>
    <n v="119853"/>
    <n v="61101"/>
    <n v="53188"/>
    <n v="135376"/>
    <n v="128674"/>
    <n v="332072"/>
    <n v="11069.066666666668"/>
    <n v="301715"/>
    <n v="10057.166666666666"/>
    <n v="8082"/>
    <n v="7462"/>
    <n v="332072"/>
    <n v="301715"/>
    <m/>
    <m/>
    <n v="186962"/>
    <n v="176220"/>
    <n v="43974"/>
    <n v="66920"/>
    <n v="152595"/>
    <n v="119445"/>
    <n v="383531"/>
    <n v="426.14555555555557"/>
    <n v="362585"/>
    <n v="402.87222222222221"/>
    <n v="692"/>
    <n v="6024"/>
    <n v="383531"/>
    <n v="362585"/>
  </r>
  <r>
    <x v="3"/>
    <s v="Valencia College "/>
    <s v="Met the criteria for Two-Year with Bachelor's in 2013-14."/>
    <n v="138187"/>
    <x v="6"/>
    <s v="sem"/>
    <m/>
    <m/>
    <m/>
    <n v="364963"/>
    <n v="351665"/>
    <n v="165729"/>
    <n v="158284"/>
    <n v="380499"/>
    <n v="376413"/>
    <n v="911191"/>
    <n v="30373.033333333333"/>
    <n v="886362"/>
    <n v="29545.4"/>
    <n v="37708"/>
    <n v="33755"/>
    <n v="911191"/>
    <n v="886362"/>
    <m/>
    <m/>
    <n v="106522"/>
    <n v="97613"/>
    <n v="35864"/>
    <n v="5481"/>
    <n v="42650"/>
    <n v="56084"/>
    <n v="185036"/>
    <n v="205.59555555555556"/>
    <n v="159178"/>
    <n v="176.86444444444444"/>
    <n v="0"/>
    <n v="0"/>
    <n v="185036"/>
    <n v="159178"/>
  </r>
  <r>
    <x v="3"/>
    <s v="Florida Gateway College"/>
    <m/>
    <n v="135160"/>
    <x v="7"/>
    <s v="sem"/>
    <m/>
    <m/>
    <m/>
    <n v="24508"/>
    <n v="23365"/>
    <n v="9472"/>
    <n v="8985"/>
    <n v="24083"/>
    <n v="23716"/>
    <n v="58063"/>
    <n v="1935.4333333333334"/>
    <n v="56066"/>
    <n v="1868.8666666666666"/>
    <n v="13166"/>
    <n v="13003"/>
    <n v="58063"/>
    <n v="56066"/>
    <m/>
    <m/>
    <n v="105997"/>
    <n v="76278"/>
    <n v="65806"/>
    <n v="52746"/>
    <n v="100505"/>
    <n v="90783"/>
    <n v="272308"/>
    <n v="302.56444444444446"/>
    <n v="219807"/>
    <n v="244.23"/>
    <n v="9095"/>
    <n v="7490"/>
    <n v="272308"/>
    <n v="219807"/>
  </r>
  <r>
    <x v="3"/>
    <s v="Gulf Coast State College "/>
    <s v="Met the criteria for Two-Year with Bachelor's in 2012-13 and 2013-14."/>
    <n v="134343"/>
    <x v="7"/>
    <s v="sem"/>
    <m/>
    <m/>
    <m/>
    <n v="57995"/>
    <n v="54842"/>
    <n v="17122"/>
    <n v="14495"/>
    <n v="57451"/>
    <n v="55732"/>
    <n v="132568"/>
    <n v="4418.9333333333334"/>
    <n v="125069"/>
    <n v="4168.9666666666662"/>
    <n v="14090"/>
    <n v="13966"/>
    <n v="132568"/>
    <n v="125069"/>
    <m/>
    <m/>
    <n v="75812"/>
    <n v="68411"/>
    <n v="47721"/>
    <n v="48508"/>
    <n v="58552"/>
    <n v="45147"/>
    <n v="182085"/>
    <n v="202.31666666666666"/>
    <n v="162066"/>
    <n v="180.07333333333332"/>
    <n v="0"/>
    <n v="0"/>
    <n v="182085"/>
    <n v="162066"/>
  </r>
  <r>
    <x v="3"/>
    <s v="Lake-Sumter State College "/>
    <m/>
    <n v="135188"/>
    <x v="7"/>
    <s v="sem"/>
    <m/>
    <m/>
    <m/>
    <n v="40492"/>
    <n v="36713"/>
    <n v="12836"/>
    <n v="12755"/>
    <n v="39424"/>
    <n v="36464"/>
    <n v="92752"/>
    <n v="3091.7333333333331"/>
    <n v="85932"/>
    <n v="2864.4"/>
    <n v="13282"/>
    <n v="9694"/>
    <n v="92752"/>
    <n v="85932"/>
    <m/>
    <m/>
    <n v="798"/>
    <n v="1517"/>
    <n v="105"/>
    <n v="75"/>
    <n v="1031"/>
    <n v="814"/>
    <n v="1934"/>
    <n v="2.1488888888888891"/>
    <n v="2406"/>
    <n v="2.6733333333333333"/>
    <n v="0"/>
    <n v="0"/>
    <n v="1934"/>
    <n v="2406"/>
  </r>
  <r>
    <x v="3"/>
    <s v="South Florida State College "/>
    <m/>
    <n v="137315"/>
    <x v="7"/>
    <s v="sem"/>
    <m/>
    <m/>
    <m/>
    <n v="19548"/>
    <n v="18854"/>
    <n v="5808"/>
    <n v="5320"/>
    <n v="21291"/>
    <n v="20976"/>
    <n v="46647"/>
    <n v="1554.9"/>
    <n v="45150"/>
    <n v="1505"/>
    <n v="5711"/>
    <n v="5419"/>
    <n v="46647"/>
    <n v="45150"/>
    <m/>
    <m/>
    <n v="284820"/>
    <n v="255371"/>
    <n v="131551"/>
    <n v="119420"/>
    <n v="290221"/>
    <n v="267921"/>
    <n v="706592"/>
    <n v="785.10222222222217"/>
    <n v="642712"/>
    <n v="714.12444444444441"/>
    <n v="82194"/>
    <n v="72621"/>
    <n v="706592"/>
    <n v="642712"/>
  </r>
  <r>
    <x v="3"/>
    <s v="St. Johns River State College "/>
    <s v="Reclassified: met the criteria for Two-Year with Bachelor's in 2011-12, 2012-13, and 2013-14."/>
    <n v="137281"/>
    <x v="11"/>
    <s v="sem"/>
    <m/>
    <m/>
    <m/>
    <n v="56675"/>
    <n v="55015"/>
    <n v="23696"/>
    <n v="22518"/>
    <n v="57468"/>
    <n v="58446"/>
    <n v="137839"/>
    <n v="4594.6333333333332"/>
    <n v="135979"/>
    <n v="4532.6333333333332"/>
    <n v="14555"/>
    <n v="16844"/>
    <n v="137839"/>
    <n v="135979"/>
    <m/>
    <m/>
    <n v="104943"/>
    <n v="98995"/>
    <n v="55933"/>
    <n v="49634"/>
    <n v="125073"/>
    <n v="94505"/>
    <n v="285949"/>
    <n v="317.7211111111111"/>
    <n v="243134"/>
    <n v="270.14888888888891"/>
    <n v="0"/>
    <n v="0"/>
    <n v="285949"/>
    <n v="243134"/>
  </r>
  <r>
    <x v="3"/>
    <s v="Florida Keys Community College "/>
    <m/>
    <n v="133960"/>
    <x v="8"/>
    <s v="sem"/>
    <m/>
    <m/>
    <m/>
    <n v="10149"/>
    <n v="9573"/>
    <n v="4030"/>
    <n v="3655"/>
    <n v="10605"/>
    <n v="9832"/>
    <n v="24784"/>
    <n v="826.13333333333333"/>
    <n v="23060"/>
    <n v="768.66666666666663"/>
    <n v="1927"/>
    <n v="1579"/>
    <n v="24784"/>
    <n v="23060"/>
    <m/>
    <m/>
    <n v="12920"/>
    <n v="7679"/>
    <n v="6386"/>
    <n v="5110"/>
    <n v="12789"/>
    <n v="15015"/>
    <n v="32095"/>
    <n v="35.661111111111111"/>
    <n v="27804"/>
    <n v="30.893333333333334"/>
    <n v="0"/>
    <n v="90"/>
    <n v="32095"/>
    <n v="27804"/>
  </r>
  <r>
    <x v="3"/>
    <s v="North Florida Community College "/>
    <m/>
    <n v="136145"/>
    <x v="8"/>
    <s v="sem"/>
    <m/>
    <m/>
    <m/>
    <n v="10272"/>
    <n v="9664"/>
    <n v="3504"/>
    <n v="2871"/>
    <n v="10710"/>
    <n v="9880"/>
    <n v="24486"/>
    <n v="816.2"/>
    <n v="22415"/>
    <n v="747.16666666666663"/>
    <n v="3467"/>
    <n v="3520"/>
    <n v="24486"/>
    <n v="22415"/>
    <m/>
    <m/>
    <n v="36952"/>
    <n v="40372"/>
    <n v="6448"/>
    <n v="13087"/>
    <n v="46441"/>
    <n v="34662"/>
    <n v="89841"/>
    <n v="99.823333333333338"/>
    <n v="88121"/>
    <n v="97.912222222222226"/>
    <n v="0"/>
    <n v="0"/>
    <n v="89841"/>
    <n v="88121"/>
  </r>
  <r>
    <x v="4"/>
    <s v="Georgia State University "/>
    <m/>
    <n v="139940"/>
    <x v="0"/>
    <s v="sem"/>
    <s v="sem"/>
    <m/>
    <m/>
    <n v="280797"/>
    <n v="286847"/>
    <n v="69622"/>
    <n v="69371"/>
    <n v="302084.5"/>
    <n v="305045"/>
    <n v="652503.5"/>
    <n v="21750.116666666665"/>
    <n v="661263"/>
    <n v="22042.1"/>
    <n v="2134"/>
    <n v="2765"/>
    <n v="652503.5"/>
    <n v="661263"/>
    <m/>
    <m/>
    <m/>
    <m/>
    <m/>
    <m/>
    <m/>
    <m/>
    <n v="0"/>
    <n v="0"/>
    <n v="0"/>
    <n v="0"/>
    <m/>
    <m/>
    <n v="0"/>
    <n v="0"/>
  </r>
  <r>
    <x v="4"/>
    <s v="University of Georgia"/>
    <m/>
    <n v="139959"/>
    <x v="0"/>
    <s v="sem"/>
    <s v="sem"/>
    <m/>
    <m/>
    <n v="341933.4"/>
    <n v="340309"/>
    <n v="52137"/>
    <n v="50681"/>
    <n v="358004.5"/>
    <n v="360294"/>
    <n v="752074.9"/>
    <n v="25069.163333333334"/>
    <n v="751284"/>
    <n v="25042.799999999999"/>
    <n v="303"/>
    <n v="333"/>
    <n v="752074.9"/>
    <n v="751284"/>
    <m/>
    <m/>
    <m/>
    <m/>
    <m/>
    <m/>
    <m/>
    <m/>
    <n v="0"/>
    <n v="0"/>
    <n v="0"/>
    <n v="0"/>
    <m/>
    <m/>
    <n v="0"/>
    <n v="0"/>
  </r>
  <r>
    <x v="4"/>
    <s v="Georgia Institute of Technology"/>
    <m/>
    <n v="139755"/>
    <x v="1"/>
    <s v="sem"/>
    <s v="sem"/>
    <m/>
    <m/>
    <n v="179762.5"/>
    <n v="187375"/>
    <n v="43581"/>
    <n v="43034"/>
    <n v="200584.5"/>
    <n v="201227"/>
    <n v="423928"/>
    <n v="14130.933333333332"/>
    <n v="431636"/>
    <n v="14387.866666666667"/>
    <n v="2490"/>
    <n v="2652"/>
    <n v="423928"/>
    <n v="431636"/>
    <m/>
    <m/>
    <m/>
    <m/>
    <m/>
    <m/>
    <m/>
    <m/>
    <n v="0"/>
    <n v="0"/>
    <n v="0"/>
    <n v="0"/>
    <m/>
    <m/>
    <n v="0"/>
    <n v="0"/>
  </r>
  <r>
    <x v="4"/>
    <s v="Georgia Southern University"/>
    <m/>
    <n v="139931"/>
    <x v="2"/>
    <s v="sem"/>
    <s v="sem"/>
    <m/>
    <m/>
    <n v="219703"/>
    <n v="215888"/>
    <n v="56580"/>
    <n v="57753"/>
    <n v="237958"/>
    <n v="237235"/>
    <n v="514241"/>
    <n v="17141.366666666665"/>
    <n v="510876"/>
    <n v="17029.2"/>
    <n v="2137"/>
    <n v="1943"/>
    <n v="514241"/>
    <n v="510876"/>
    <m/>
    <m/>
    <m/>
    <m/>
    <m/>
    <m/>
    <m/>
    <m/>
    <n v="0"/>
    <n v="0"/>
    <n v="0"/>
    <n v="0"/>
    <m/>
    <m/>
    <n v="0"/>
    <n v="0"/>
  </r>
  <r>
    <x v="4"/>
    <s v="University of West Georgia"/>
    <m/>
    <n v="141334"/>
    <x v="2"/>
    <s v="sem"/>
    <s v="sem"/>
    <m/>
    <m/>
    <n v="118814"/>
    <n v="117342"/>
    <n v="28487"/>
    <n v="24414"/>
    <n v="127540"/>
    <n v="129635"/>
    <n v="274841"/>
    <n v="9161.3666666666668"/>
    <n v="271391"/>
    <n v="9046.3666666666668"/>
    <n v="2788"/>
    <n v="2657"/>
    <n v="274841"/>
    <n v="271391"/>
    <m/>
    <m/>
    <m/>
    <m/>
    <m/>
    <m/>
    <m/>
    <m/>
    <n v="0"/>
    <n v="0"/>
    <n v="0"/>
    <n v="0"/>
    <m/>
    <m/>
    <n v="0"/>
    <n v="0"/>
  </r>
  <r>
    <x v="4"/>
    <s v="Valdosta State University "/>
    <m/>
    <n v="141264"/>
    <x v="2"/>
    <s v="sem"/>
    <s v="sem"/>
    <m/>
    <m/>
    <n v="130853"/>
    <n v="124381"/>
    <n v="23404"/>
    <n v="22588"/>
    <n v="133720"/>
    <n v="125548"/>
    <n v="287977"/>
    <n v="9599.2333333333336"/>
    <n v="272517"/>
    <n v="9083.9"/>
    <n v="198"/>
    <n v="254"/>
    <n v="287977"/>
    <n v="272517"/>
    <m/>
    <m/>
    <m/>
    <m/>
    <m/>
    <m/>
    <m/>
    <m/>
    <n v="0"/>
    <n v="0"/>
    <n v="0"/>
    <n v="0"/>
    <m/>
    <m/>
    <n v="0"/>
    <n v="0"/>
  </r>
  <r>
    <x v="4"/>
    <s v="Albany State University "/>
    <m/>
    <n v="138716"/>
    <x v="3"/>
    <s v="sem"/>
    <s v="sem"/>
    <m/>
    <m/>
    <n v="49806"/>
    <n v="43198"/>
    <n v="8308"/>
    <n v="7814"/>
    <n v="48419"/>
    <n v="46411"/>
    <n v="106533"/>
    <n v="3551.1"/>
    <n v="97423"/>
    <n v="3247.4333333333334"/>
    <n v="168"/>
    <n v="573"/>
    <n v="106533"/>
    <n v="97423"/>
    <m/>
    <m/>
    <m/>
    <m/>
    <m/>
    <m/>
    <m/>
    <m/>
    <n v="0"/>
    <n v="0"/>
    <n v="0"/>
    <n v="0"/>
    <m/>
    <m/>
    <n v="0"/>
    <n v="0"/>
  </r>
  <r>
    <x v="4"/>
    <s v="Armstrong Atlantic State University"/>
    <m/>
    <n v="138789"/>
    <x v="3"/>
    <s v="sem"/>
    <s v="sem"/>
    <m/>
    <m/>
    <n v="75947"/>
    <n v="74538"/>
    <n v="19748"/>
    <n v="18876"/>
    <n v="80411"/>
    <n v="77695"/>
    <n v="176106"/>
    <n v="5870.2"/>
    <n v="171109"/>
    <n v="5703.6333333333332"/>
    <n v="745"/>
    <n v="783"/>
    <n v="176106"/>
    <n v="171109"/>
    <m/>
    <m/>
    <m/>
    <m/>
    <m/>
    <m/>
    <m/>
    <m/>
    <n v="0"/>
    <n v="0"/>
    <n v="0"/>
    <n v="0"/>
    <m/>
    <m/>
    <n v="0"/>
    <n v="0"/>
  </r>
  <r>
    <x v="4"/>
    <s v="Columbus State University"/>
    <m/>
    <n v="139366"/>
    <x v="3"/>
    <s v="sem"/>
    <s v="sem"/>
    <m/>
    <m/>
    <n v="78739"/>
    <n v="78937"/>
    <n v="18584"/>
    <n v="18124"/>
    <n v="83625"/>
    <n v="82957"/>
    <n v="180948"/>
    <n v="6031.6"/>
    <n v="180018"/>
    <n v="6000.6"/>
    <n v="942"/>
    <n v="1471"/>
    <n v="180948"/>
    <n v="180018"/>
    <m/>
    <m/>
    <m/>
    <m/>
    <m/>
    <m/>
    <m/>
    <m/>
    <n v="0"/>
    <n v="0"/>
    <n v="0"/>
    <n v="0"/>
    <m/>
    <m/>
    <n v="0"/>
    <n v="0"/>
  </r>
  <r>
    <x v="4"/>
    <s v="Georgia College and State University"/>
    <m/>
    <n v="139861"/>
    <x v="3"/>
    <s v="sem"/>
    <s v="sem"/>
    <m/>
    <m/>
    <n v="73639"/>
    <n v="74198"/>
    <n v="14223"/>
    <n v="15261"/>
    <n v="77778.5"/>
    <n v="79727"/>
    <n v="165640.5"/>
    <n v="5521.35"/>
    <n v="169186"/>
    <n v="5639.5333333333338"/>
    <n v="618"/>
    <n v="738"/>
    <n v="165640.5"/>
    <n v="169186"/>
    <m/>
    <m/>
    <m/>
    <m/>
    <m/>
    <m/>
    <m/>
    <m/>
    <n v="0"/>
    <n v="0"/>
    <n v="0"/>
    <n v="0"/>
    <m/>
    <m/>
    <n v="0"/>
    <n v="0"/>
  </r>
  <r>
    <x v="4"/>
    <s v="Georgia Regents University"/>
    <m/>
    <n v="482149"/>
    <x v="3"/>
    <s v="sem"/>
    <s v="sem"/>
    <m/>
    <m/>
    <n v="65008"/>
    <n v="66889"/>
    <n v="14796"/>
    <n v="14354"/>
    <n v="67328"/>
    <n v="71160"/>
    <n v="147132"/>
    <n v="4904.3999999999996"/>
    <n v="152403"/>
    <n v="5080.1000000000004"/>
    <n v="946"/>
    <n v="1121"/>
    <n v="147132"/>
    <n v="152403"/>
    <m/>
    <m/>
    <m/>
    <m/>
    <m/>
    <m/>
    <m/>
    <m/>
    <n v="0"/>
    <n v="0"/>
    <n v="0"/>
    <n v="0"/>
    <m/>
    <m/>
    <n v="0"/>
    <n v="0"/>
  </r>
  <r>
    <x v="4"/>
    <s v="Kennesaw State University"/>
    <s v="Reclassified: met the criteria for Four-Year 3 in 2011-12, 2012-13, and 2013-14."/>
    <n v="140164"/>
    <x v="2"/>
    <s v="sem"/>
    <s v="sem"/>
    <m/>
    <m/>
    <n v="256602"/>
    <n v="253256"/>
    <n v="65036"/>
    <n v="62001"/>
    <n v="273537"/>
    <n v="272769"/>
    <n v="595175"/>
    <n v="19839.166666666668"/>
    <n v="588026"/>
    <n v="19600.866666666665"/>
    <n v="3923"/>
    <n v="4830"/>
    <n v="595175"/>
    <n v="588026"/>
    <m/>
    <m/>
    <m/>
    <m/>
    <m/>
    <m/>
    <m/>
    <m/>
    <n v="0"/>
    <n v="0"/>
    <n v="0"/>
    <n v="0"/>
    <m/>
    <m/>
    <n v="0"/>
    <n v="0"/>
  </r>
  <r>
    <x v="4"/>
    <s v="University of North Georgia"/>
    <m/>
    <n v="482680"/>
    <x v="3"/>
    <s v="sem"/>
    <s v="sem"/>
    <m/>
    <m/>
    <n v="153861"/>
    <n v="156880"/>
    <n v="36677"/>
    <n v="31508"/>
    <n v="169905"/>
    <n v="173067"/>
    <n v="360443"/>
    <n v="12014.766666666666"/>
    <n v="361455"/>
    <n v="12048.5"/>
    <n v="2644"/>
    <n v="3818"/>
    <n v="360443"/>
    <n v="361455"/>
    <m/>
    <m/>
    <m/>
    <m/>
    <m/>
    <m/>
    <m/>
    <m/>
    <n v="0"/>
    <n v="0"/>
    <n v="0"/>
    <n v="0"/>
    <m/>
    <m/>
    <n v="0"/>
    <n v="0"/>
  </r>
  <r>
    <x v="4"/>
    <s v="Clayton State University"/>
    <s v="Met the criteria for Four-Year 4 in 2012-13 and 2013-14."/>
    <n v="139311"/>
    <x v="4"/>
    <s v="sem"/>
    <s v="sem"/>
    <m/>
    <m/>
    <n v="70640"/>
    <n v="71045"/>
    <n v="23185"/>
    <n v="21715"/>
    <n v="73336"/>
    <n v="74098"/>
    <n v="167161"/>
    <n v="5572.0333333333338"/>
    <n v="166858"/>
    <n v="5561.9333333333334"/>
    <n v="4352"/>
    <n v="5496"/>
    <n v="167161"/>
    <n v="166858"/>
    <m/>
    <m/>
    <m/>
    <m/>
    <m/>
    <m/>
    <m/>
    <m/>
    <n v="0"/>
    <n v="0"/>
    <n v="0"/>
    <n v="0"/>
    <m/>
    <m/>
    <n v="0"/>
    <n v="0"/>
  </r>
  <r>
    <x v="4"/>
    <s v="Fort Valley State University"/>
    <s v="Met the criteria for Four-Year 4 in 2013-14."/>
    <n v="139719"/>
    <x v="4"/>
    <s v="sem"/>
    <s v="sem"/>
    <m/>
    <m/>
    <n v="45657"/>
    <n v="38628"/>
    <n v="7184"/>
    <n v="5387"/>
    <n v="43648"/>
    <n v="38335"/>
    <n v="96489"/>
    <n v="3216.3"/>
    <n v="82350"/>
    <n v="2745"/>
    <n v="197"/>
    <n v="291"/>
    <n v="96489"/>
    <n v="82350"/>
    <m/>
    <m/>
    <m/>
    <m/>
    <m/>
    <m/>
    <m/>
    <m/>
    <n v="0"/>
    <n v="0"/>
    <n v="0"/>
    <n v="0"/>
    <m/>
    <m/>
    <n v="0"/>
    <n v="0"/>
  </r>
  <r>
    <x v="4"/>
    <s v="Georgia Southwestern State University"/>
    <m/>
    <n v="139764"/>
    <x v="4"/>
    <s v="sem"/>
    <s v="sem"/>
    <m/>
    <m/>
    <n v="31388"/>
    <n v="30543"/>
    <n v="10470"/>
    <n v="10462"/>
    <n v="32746"/>
    <n v="31331"/>
    <n v="74604"/>
    <n v="2486.8000000000002"/>
    <n v="72336"/>
    <n v="2411.1999999999998"/>
    <n v="399"/>
    <n v="365"/>
    <n v="74604"/>
    <n v="72336"/>
    <m/>
    <m/>
    <m/>
    <m/>
    <m/>
    <m/>
    <m/>
    <m/>
    <n v="0"/>
    <n v="0"/>
    <n v="0"/>
    <n v="0"/>
    <m/>
    <m/>
    <n v="0"/>
    <n v="0"/>
  </r>
  <r>
    <x v="4"/>
    <s v="Savannah State University"/>
    <m/>
    <n v="140960"/>
    <x v="4"/>
    <s v="sem"/>
    <s v="sem"/>
    <m/>
    <m/>
    <n v="52297"/>
    <n v="55334"/>
    <n v="7997"/>
    <n v="7480"/>
    <n v="57761"/>
    <n v="63526"/>
    <n v="118055"/>
    <n v="3935.1666666666665"/>
    <n v="126340"/>
    <n v="4211.333333333333"/>
    <n v="1392"/>
    <n v="1370"/>
    <n v="118055"/>
    <n v="126340"/>
    <m/>
    <m/>
    <m/>
    <m/>
    <m/>
    <m/>
    <m/>
    <m/>
    <n v="0"/>
    <n v="0"/>
    <n v="0"/>
    <n v="0"/>
    <m/>
    <m/>
    <n v="0"/>
    <n v="0"/>
  </r>
  <r>
    <x v="4"/>
    <s v="Georgia Gwinnett College"/>
    <m/>
    <n v="447689"/>
    <x v="5"/>
    <s v="sem"/>
    <s v="sem"/>
    <m/>
    <m/>
    <n v="94939"/>
    <n v="108716"/>
    <n v="19884"/>
    <n v="19856"/>
    <n v="111197"/>
    <n v="115108"/>
    <n v="226020"/>
    <n v="7534"/>
    <n v="243680"/>
    <n v="8122.666666666667"/>
    <n v="3645"/>
    <n v="4836"/>
    <n v="226020"/>
    <n v="243680"/>
    <m/>
    <m/>
    <m/>
    <m/>
    <m/>
    <m/>
    <m/>
    <m/>
    <n v="0"/>
    <n v="0"/>
    <n v="0"/>
    <n v="0"/>
    <m/>
    <m/>
    <n v="0"/>
    <n v="0"/>
  </r>
  <r>
    <x v="4"/>
    <s v="Middle Georgia State College"/>
    <m/>
    <n v="482158"/>
    <x v="5"/>
    <s v="sem"/>
    <s v="sem"/>
    <m/>
    <m/>
    <n v="93028"/>
    <n v="87789"/>
    <n v="28269"/>
    <n v="23944"/>
    <n v="96646"/>
    <n v="88396"/>
    <n v="217943"/>
    <n v="7264.7666666666664"/>
    <n v="200129"/>
    <n v="6670.9666666666662"/>
    <n v="5128"/>
    <n v="5944"/>
    <n v="217943"/>
    <n v="200129"/>
    <m/>
    <m/>
    <m/>
    <m/>
    <m/>
    <m/>
    <m/>
    <m/>
    <n v="0"/>
    <n v="0"/>
    <n v="0"/>
    <n v="0"/>
    <m/>
    <m/>
    <n v="0"/>
    <n v="0"/>
  </r>
  <r>
    <x v="4"/>
    <s v="Dalton State College "/>
    <s v="Reclassified: met the criteria for Four-Year 6 in 2011-12, 2012-13, and 2013-14."/>
    <n v="139463"/>
    <x v="5"/>
    <s v="sem"/>
    <s v="sem"/>
    <m/>
    <m/>
    <n v="52243"/>
    <n v="49096"/>
    <n v="11845"/>
    <n v="10470"/>
    <n v="54418"/>
    <n v="55228"/>
    <n v="118506"/>
    <n v="3950.2"/>
    <n v="114794"/>
    <n v="3826.4666666666667"/>
    <n v="1004"/>
    <n v="1133"/>
    <n v="118506"/>
    <n v="114794"/>
    <m/>
    <m/>
    <m/>
    <m/>
    <m/>
    <m/>
    <m/>
    <m/>
    <n v="0"/>
    <n v="0"/>
    <n v="0"/>
    <n v="0"/>
    <m/>
    <m/>
    <n v="0"/>
    <n v="0"/>
  </r>
  <r>
    <x v="4"/>
    <s v="Gordon State College "/>
    <m/>
    <n v="139968"/>
    <x v="11"/>
    <s v="sem"/>
    <s v="sem"/>
    <m/>
    <m/>
    <n v="48524"/>
    <n v="44192"/>
    <n v="6974"/>
    <n v="6067"/>
    <n v="48916"/>
    <n v="49389"/>
    <n v="104414"/>
    <n v="3480.4666666666667"/>
    <n v="99648"/>
    <n v="3321.6"/>
    <n v="991"/>
    <n v="1856"/>
    <n v="104414"/>
    <n v="99648"/>
    <m/>
    <m/>
    <m/>
    <m/>
    <m/>
    <m/>
    <m/>
    <m/>
    <n v="0"/>
    <n v="0"/>
    <n v="0"/>
    <n v="0"/>
    <m/>
    <m/>
    <n v="0"/>
    <n v="0"/>
  </r>
  <r>
    <x v="4"/>
    <s v="Georgia Perimeter College "/>
    <m/>
    <n v="244437"/>
    <x v="6"/>
    <s v="sem"/>
    <s v="sem"/>
    <m/>
    <m/>
    <n v="244704"/>
    <n v="206340"/>
    <n v="84352"/>
    <n v="71679"/>
    <n v="222399"/>
    <n v="193583"/>
    <n v="551455"/>
    <n v="18381.833333333332"/>
    <n v="471602"/>
    <n v="15720.066666666668"/>
    <n v="11740"/>
    <n v="12736"/>
    <n v="551455"/>
    <n v="471602"/>
    <m/>
    <m/>
    <m/>
    <m/>
    <m/>
    <m/>
    <m/>
    <m/>
    <n v="0"/>
    <n v="0"/>
    <n v="0"/>
    <n v="0"/>
    <m/>
    <m/>
    <n v="0"/>
    <n v="0"/>
  </r>
  <r>
    <x v="4"/>
    <s v="Abraham Baldwin Agricultural College "/>
    <s v="Reclassified: met the criteria for Two-Year with Bachelor's in 2011-12, 2012-13, and 2013-14. "/>
    <n v="138558"/>
    <x v="11"/>
    <s v="sem"/>
    <s v="sem"/>
    <m/>
    <m/>
    <n v="34153"/>
    <n v="33430"/>
    <n v="6358"/>
    <n v="5362"/>
    <n v="37304"/>
    <n v="39710"/>
    <n v="77815"/>
    <n v="2593.8333333333335"/>
    <n v="78502"/>
    <n v="2616.7333333333331"/>
    <n v="1661"/>
    <n v="1987"/>
    <n v="77815"/>
    <n v="78502"/>
    <m/>
    <m/>
    <m/>
    <m/>
    <m/>
    <m/>
    <m/>
    <m/>
    <n v="0"/>
    <n v="0"/>
    <n v="0"/>
    <n v="0"/>
    <m/>
    <m/>
    <n v="0"/>
    <n v="0"/>
  </r>
  <r>
    <x v="4"/>
    <s v="Atlanta Metropolitan State College"/>
    <m/>
    <n v="138901"/>
    <x v="7"/>
    <s v="sem"/>
    <s v="sem"/>
    <m/>
    <m/>
    <n v="29462"/>
    <n v="30539"/>
    <n v="11490"/>
    <n v="10715"/>
    <n v="30154"/>
    <n v="31917"/>
    <n v="71106"/>
    <n v="2370.1999999999998"/>
    <n v="73171"/>
    <n v="2439.0333333333333"/>
    <n v="449"/>
    <n v="591"/>
    <n v="71106"/>
    <n v="73171"/>
    <m/>
    <m/>
    <m/>
    <m/>
    <m/>
    <m/>
    <m/>
    <m/>
    <n v="0"/>
    <n v="0"/>
    <n v="0"/>
    <n v="0"/>
    <m/>
    <m/>
    <n v="0"/>
    <n v="0"/>
  </r>
  <r>
    <x v="4"/>
    <s v="Bainbridge State College "/>
    <m/>
    <n v="139010"/>
    <x v="7"/>
    <s v="sem"/>
    <s v="sem"/>
    <m/>
    <m/>
    <n v="38421"/>
    <n v="26413"/>
    <n v="17742"/>
    <n v="12800"/>
    <n v="30697"/>
    <n v="26788"/>
    <n v="86860"/>
    <n v="2895.3333333333335"/>
    <n v="66001"/>
    <n v="2200.0333333333333"/>
    <n v="1019"/>
    <n v="1327"/>
    <n v="86860"/>
    <n v="66001"/>
    <m/>
    <m/>
    <m/>
    <m/>
    <m/>
    <m/>
    <m/>
    <m/>
    <n v="0"/>
    <n v="0"/>
    <n v="0"/>
    <n v="0"/>
    <m/>
    <m/>
    <n v="0"/>
    <n v="0"/>
  </r>
  <r>
    <x v="4"/>
    <s v="College of Coastal Georgia "/>
    <s v="Reclassified: met the criteria for Two-Year with Bachelor's in 2011-12, 2012-13, and 2013-14. "/>
    <n v="139250"/>
    <x v="11"/>
    <s v="sem"/>
    <s v="sem"/>
    <m/>
    <m/>
    <n v="33273"/>
    <n v="32162"/>
    <n v="7116"/>
    <n v="6292"/>
    <n v="34158"/>
    <n v="33205"/>
    <n v="74547"/>
    <n v="2484.9"/>
    <n v="71659"/>
    <n v="2388.6333333333332"/>
    <n v="1449"/>
    <n v="1503"/>
    <n v="74547"/>
    <n v="71659"/>
    <m/>
    <m/>
    <m/>
    <m/>
    <m/>
    <m/>
    <m/>
    <m/>
    <n v="0"/>
    <n v="0"/>
    <n v="0"/>
    <n v="0"/>
    <m/>
    <m/>
    <n v="0"/>
    <n v="0"/>
  </r>
  <r>
    <x v="4"/>
    <s v="Darton State College "/>
    <m/>
    <n v="138691"/>
    <x v="7"/>
    <s v="sem"/>
    <s v="sem"/>
    <m/>
    <m/>
    <n v="58391.5"/>
    <n v="58671"/>
    <n v="27357"/>
    <n v="24951"/>
    <n v="63513"/>
    <n v="61941"/>
    <n v="149261.5"/>
    <n v="4975.3833333333332"/>
    <n v="145563"/>
    <n v="4852.1000000000004"/>
    <n v="992.5"/>
    <n v="1064"/>
    <n v="149261.5"/>
    <n v="145563"/>
    <m/>
    <m/>
    <m/>
    <m/>
    <m/>
    <m/>
    <m/>
    <m/>
    <n v="0"/>
    <n v="0"/>
    <n v="0"/>
    <n v="0"/>
    <m/>
    <m/>
    <n v="0"/>
    <n v="0"/>
  </r>
  <r>
    <x v="4"/>
    <s v="East Georgia State College"/>
    <m/>
    <n v="139621"/>
    <x v="7"/>
    <s v="sem"/>
    <s v="sem"/>
    <m/>
    <m/>
    <n v="35314"/>
    <n v="30504"/>
    <n v="6147"/>
    <n v="5889"/>
    <n v="33696"/>
    <n v="32862"/>
    <n v="75157"/>
    <n v="2505.2333333333331"/>
    <n v="69255"/>
    <n v="2308.5"/>
    <n v="323"/>
    <n v="407"/>
    <n v="75157"/>
    <n v="69255"/>
    <m/>
    <m/>
    <m/>
    <m/>
    <m/>
    <m/>
    <m/>
    <m/>
    <n v="0"/>
    <n v="0"/>
    <n v="0"/>
    <n v="0"/>
    <m/>
    <m/>
    <n v="0"/>
    <n v="0"/>
  </r>
  <r>
    <x v="4"/>
    <s v="Georgia Highlands College"/>
    <m/>
    <n v="139700"/>
    <x v="7"/>
    <s v="sem"/>
    <s v="sem"/>
    <m/>
    <m/>
    <n v="55157"/>
    <n v="52423"/>
    <n v="13296"/>
    <n v="12122"/>
    <n v="56389"/>
    <n v="56753"/>
    <n v="124842"/>
    <n v="4161.3999999999996"/>
    <n v="121298"/>
    <n v="4043.2666666666669"/>
    <n v="1585"/>
    <n v="1718"/>
    <n v="124842"/>
    <n v="121298"/>
    <m/>
    <m/>
    <m/>
    <m/>
    <m/>
    <m/>
    <m/>
    <m/>
    <n v="0"/>
    <n v="0"/>
    <n v="0"/>
    <n v="0"/>
    <m/>
    <m/>
    <n v="0"/>
    <n v="0"/>
  </r>
  <r>
    <x v="4"/>
    <s v="South Georgia State College"/>
    <m/>
    <n v="482699"/>
    <x v="7"/>
    <s v="sem"/>
    <s v="sem"/>
    <m/>
    <m/>
    <n v="34953"/>
    <n v="31315"/>
    <n v="8119"/>
    <n v="6793"/>
    <n v="35781"/>
    <n v="29953"/>
    <n v="78853"/>
    <n v="2628.4333333333334"/>
    <n v="68061"/>
    <n v="2268.6999999999998"/>
    <n v="2153"/>
    <n v="2107"/>
    <n v="78853"/>
    <n v="68061"/>
    <m/>
    <m/>
    <m/>
    <m/>
    <m/>
    <m/>
    <m/>
    <m/>
    <n v="0"/>
    <n v="0"/>
    <n v="0"/>
    <n v="0"/>
    <m/>
    <m/>
    <n v="0"/>
    <n v="0"/>
  </r>
  <r>
    <x v="4"/>
    <s v="Albany Technical College"/>
    <m/>
    <n v="138682"/>
    <x v="9"/>
    <s v="sem"/>
    <s v="sem"/>
    <m/>
    <m/>
    <n v="46658"/>
    <n v="37567"/>
    <n v="31614"/>
    <n v="33683"/>
    <n v="42038"/>
    <n v="40952"/>
    <n v="120310"/>
    <n v="4010.3333333333335"/>
    <n v="112202"/>
    <n v="3740.0666666666666"/>
    <n v="691"/>
    <n v="1373"/>
    <n v="120310"/>
    <n v="112202"/>
    <m/>
    <m/>
    <m/>
    <m/>
    <m/>
    <m/>
    <m/>
    <m/>
    <n v="0"/>
    <n v="0"/>
    <n v="0"/>
    <n v="0"/>
    <m/>
    <m/>
    <n v="0"/>
    <n v="0"/>
  </r>
  <r>
    <x v="4"/>
    <s v="Altamaha Technical College"/>
    <m/>
    <n v="366447"/>
    <x v="9"/>
    <s v="sem"/>
    <s v="sem"/>
    <m/>
    <m/>
    <n v="13256"/>
    <n v="12434"/>
    <n v="8121"/>
    <n v="7085"/>
    <n v="12799"/>
    <n v="11493"/>
    <n v="34176"/>
    <n v="1139.2"/>
    <n v="31012"/>
    <n v="1033.7333333333333"/>
    <n v="1618"/>
    <n v="2273"/>
    <n v="34176"/>
    <n v="31012"/>
    <m/>
    <m/>
    <m/>
    <m/>
    <m/>
    <m/>
    <m/>
    <m/>
    <n v="0"/>
    <n v="0"/>
    <n v="0"/>
    <n v="0"/>
    <m/>
    <m/>
    <n v="0"/>
    <n v="0"/>
  </r>
  <r>
    <x v="4"/>
    <s v="Athens Technical College"/>
    <m/>
    <n v="246813"/>
    <x v="9"/>
    <s v="sem"/>
    <s v="sem"/>
    <m/>
    <m/>
    <n v="39077"/>
    <n v="36826"/>
    <n v="19011"/>
    <n v="18302"/>
    <n v="40269"/>
    <n v="38659"/>
    <n v="98357"/>
    <n v="3278.5666666666666"/>
    <n v="93787"/>
    <n v="3126.2333333333331"/>
    <n v="1795"/>
    <n v="2225"/>
    <n v="98357"/>
    <n v="93787"/>
    <m/>
    <m/>
    <m/>
    <m/>
    <m/>
    <m/>
    <m/>
    <m/>
    <n v="0"/>
    <n v="0"/>
    <n v="0"/>
    <n v="0"/>
    <m/>
    <m/>
    <n v="0"/>
    <n v="0"/>
  </r>
  <r>
    <x v="4"/>
    <s v="Atlanta Technical College"/>
    <m/>
    <n v="138840"/>
    <x v="9"/>
    <s v="sem"/>
    <s v="sem"/>
    <m/>
    <m/>
    <n v="41643"/>
    <n v="49866"/>
    <n v="30304"/>
    <n v="34214"/>
    <n v="46356"/>
    <n v="46369"/>
    <n v="118303"/>
    <n v="3943.4333333333334"/>
    <n v="130449"/>
    <n v="4348.3"/>
    <n v="2772"/>
    <n v="2394"/>
    <n v="118303"/>
    <n v="130449"/>
    <m/>
    <m/>
    <m/>
    <m/>
    <m/>
    <m/>
    <m/>
    <m/>
    <n v="0"/>
    <n v="0"/>
    <n v="0"/>
    <n v="0"/>
    <m/>
    <m/>
    <n v="0"/>
    <n v="0"/>
  </r>
  <r>
    <x v="4"/>
    <s v="Augusta Technical College"/>
    <m/>
    <n v="138956"/>
    <x v="9"/>
    <s v="sem"/>
    <s v="sem"/>
    <m/>
    <m/>
    <n v="39919"/>
    <n v="41100"/>
    <n v="23353"/>
    <n v="23439"/>
    <n v="40395"/>
    <n v="42510"/>
    <n v="103667"/>
    <n v="3455.5666666666666"/>
    <n v="107049"/>
    <n v="3568.3"/>
    <n v="717"/>
    <n v="864"/>
    <n v="103667"/>
    <n v="107049"/>
    <m/>
    <m/>
    <m/>
    <m/>
    <m/>
    <m/>
    <m/>
    <m/>
    <n v="0"/>
    <n v="0"/>
    <n v="0"/>
    <n v="0"/>
    <m/>
    <m/>
    <n v="0"/>
    <n v="0"/>
  </r>
  <r>
    <x v="4"/>
    <s v="Central Georgia Technical College"/>
    <m/>
    <n v="483045"/>
    <x v="9"/>
    <s v="sem"/>
    <s v="sem"/>
    <m/>
    <m/>
    <n v="84037"/>
    <n v="75278"/>
    <n v="47484"/>
    <n v="48295"/>
    <n v="82560"/>
    <n v="76462"/>
    <n v="214081"/>
    <n v="7136.0333333333338"/>
    <n v="200035"/>
    <n v="6667.833333333333"/>
    <n v="6311"/>
    <n v="3743"/>
    <n v="214081"/>
    <n v="200035"/>
    <m/>
    <m/>
    <m/>
    <m/>
    <m/>
    <m/>
    <m/>
    <m/>
    <n v="0"/>
    <n v="0"/>
    <n v="0"/>
    <n v="0"/>
    <m/>
    <m/>
    <n v="0"/>
    <n v="0"/>
  </r>
  <r>
    <x v="4"/>
    <s v="Chattahoochee Technical College"/>
    <m/>
    <n v="140331"/>
    <x v="9"/>
    <s v="sem"/>
    <s v="sem"/>
    <m/>
    <m/>
    <n v="96352"/>
    <n v="94219"/>
    <n v="51143"/>
    <n v="43548"/>
    <n v="99832"/>
    <n v="91267"/>
    <n v="247327"/>
    <n v="8244.2333333333336"/>
    <n v="229034"/>
    <n v="7634.4666666666662"/>
    <n v="2537"/>
    <n v="4068"/>
    <n v="247327"/>
    <n v="229034"/>
    <m/>
    <m/>
    <m/>
    <m/>
    <m/>
    <m/>
    <m/>
    <m/>
    <n v="0"/>
    <n v="0"/>
    <n v="0"/>
    <n v="0"/>
    <m/>
    <m/>
    <n v="0"/>
    <n v="0"/>
  </r>
  <r>
    <x v="4"/>
    <s v="Columbus Technical College"/>
    <m/>
    <n v="139357"/>
    <x v="9"/>
    <s v="sem"/>
    <s v="sem"/>
    <m/>
    <m/>
    <n v="33136"/>
    <n v="36498"/>
    <n v="22208"/>
    <n v="23841"/>
    <n v="38583"/>
    <n v="34980"/>
    <n v="93927"/>
    <n v="3130.9"/>
    <n v="95319"/>
    <n v="3177.3"/>
    <n v="1283"/>
    <n v="2968"/>
    <n v="93927"/>
    <n v="95319"/>
    <m/>
    <m/>
    <m/>
    <m/>
    <m/>
    <m/>
    <m/>
    <m/>
    <n v="0"/>
    <n v="0"/>
    <n v="0"/>
    <n v="0"/>
    <m/>
    <m/>
    <n v="0"/>
    <n v="0"/>
  </r>
  <r>
    <x v="4"/>
    <s v="Georgia Northwestern Technical College"/>
    <m/>
    <n v="139384"/>
    <x v="9"/>
    <s v="sem"/>
    <s v="sem"/>
    <m/>
    <m/>
    <n v="55703"/>
    <n v="53628"/>
    <n v="28077"/>
    <n v="27588"/>
    <n v="57185"/>
    <n v="56004"/>
    <n v="140965"/>
    <n v="4698.833333333333"/>
    <n v="137220"/>
    <n v="4574"/>
    <n v="5457"/>
    <n v="8133"/>
    <n v="140965"/>
    <n v="137220"/>
    <m/>
    <m/>
    <m/>
    <m/>
    <m/>
    <m/>
    <m/>
    <m/>
    <n v="0"/>
    <n v="0"/>
    <n v="0"/>
    <n v="0"/>
    <m/>
    <m/>
    <n v="0"/>
    <n v="0"/>
  </r>
  <r>
    <x v="4"/>
    <s v="Georgia Piedmont Technical College"/>
    <m/>
    <n v="244446"/>
    <x v="9"/>
    <s v="sem"/>
    <s v="sem"/>
    <m/>
    <m/>
    <n v="32747"/>
    <n v="39943"/>
    <n v="21520"/>
    <n v="27608"/>
    <n v="37317"/>
    <n v="39540"/>
    <n v="91584"/>
    <n v="3052.8"/>
    <n v="107091"/>
    <n v="3569.7"/>
    <n v="2980"/>
    <n v="4057"/>
    <n v="91584"/>
    <n v="107091"/>
    <m/>
    <m/>
    <m/>
    <m/>
    <m/>
    <m/>
    <m/>
    <m/>
    <n v="0"/>
    <n v="0"/>
    <n v="0"/>
    <n v="0"/>
    <m/>
    <m/>
    <n v="0"/>
    <n v="0"/>
  </r>
  <r>
    <x v="4"/>
    <s v="Gwinnett Technical College"/>
    <m/>
    <n v="140012"/>
    <x v="9"/>
    <s v="sem"/>
    <s v="sem"/>
    <m/>
    <m/>
    <n v="63543"/>
    <n v="64176"/>
    <n v="30033"/>
    <n v="27610"/>
    <n v="59948"/>
    <n v="63356"/>
    <n v="153524"/>
    <n v="5117.4666666666662"/>
    <n v="155142"/>
    <n v="5171.3999999999996"/>
    <n v="1489"/>
    <n v="3442"/>
    <n v="153524"/>
    <n v="155142"/>
    <m/>
    <m/>
    <m/>
    <m/>
    <m/>
    <m/>
    <m/>
    <m/>
    <n v="0"/>
    <n v="0"/>
    <n v="0"/>
    <n v="0"/>
    <m/>
    <m/>
    <n v="0"/>
    <n v="0"/>
  </r>
  <r>
    <x v="4"/>
    <s v="Lanier Technical College"/>
    <m/>
    <n v="140243"/>
    <x v="9"/>
    <s v="sem"/>
    <s v="sem"/>
    <m/>
    <m/>
    <n v="31058"/>
    <n v="27625"/>
    <n v="16364"/>
    <n v="15194"/>
    <n v="29072"/>
    <n v="31237"/>
    <n v="76494"/>
    <n v="2549.8000000000002"/>
    <n v="74056"/>
    <n v="2468.5333333333333"/>
    <n v="1988"/>
    <n v="2985"/>
    <n v="76494"/>
    <n v="74056"/>
    <m/>
    <m/>
    <m/>
    <m/>
    <m/>
    <m/>
    <m/>
    <m/>
    <n v="0"/>
    <n v="0"/>
    <n v="0"/>
    <n v="0"/>
    <m/>
    <m/>
    <n v="0"/>
    <n v="0"/>
  </r>
  <r>
    <x v="4"/>
    <s v="Moultrie Technical College"/>
    <m/>
    <n v="140599"/>
    <x v="9"/>
    <s v="sem"/>
    <s v="sem"/>
    <m/>
    <m/>
    <n v="18687"/>
    <n v="16067"/>
    <n v="10288"/>
    <n v="9717"/>
    <n v="18459"/>
    <n v="18730"/>
    <n v="47434"/>
    <n v="1581.1333333333334"/>
    <n v="44514"/>
    <n v="1483.8"/>
    <n v="3695"/>
    <n v="4808"/>
    <n v="47434"/>
    <n v="44514"/>
    <m/>
    <m/>
    <m/>
    <m/>
    <m/>
    <m/>
    <m/>
    <m/>
    <n v="0"/>
    <n v="0"/>
    <n v="0"/>
    <n v="0"/>
    <m/>
    <m/>
    <n v="0"/>
    <n v="0"/>
  </r>
  <r>
    <x v="4"/>
    <s v="North Georgia Technical College"/>
    <m/>
    <n v="140678"/>
    <x v="9"/>
    <s v="sem"/>
    <s v="sem"/>
    <m/>
    <m/>
    <n v="23490"/>
    <n v="22101"/>
    <n v="13314"/>
    <n v="13541"/>
    <n v="23899"/>
    <n v="24061"/>
    <n v="60703"/>
    <n v="2023.4333333333334"/>
    <n v="59703"/>
    <n v="1990.1"/>
    <n v="603.5"/>
    <n v="1424"/>
    <n v="60703"/>
    <n v="59703"/>
    <m/>
    <m/>
    <m/>
    <m/>
    <m/>
    <m/>
    <m/>
    <m/>
    <n v="0"/>
    <n v="0"/>
    <n v="0"/>
    <n v="0"/>
    <m/>
    <m/>
    <n v="0"/>
    <n v="0"/>
  </r>
  <r>
    <x v="4"/>
    <s v="Oconee Fall Line Technical College"/>
    <m/>
    <n v="420431"/>
    <x v="9"/>
    <s v="sem"/>
    <s v="sem"/>
    <m/>
    <m/>
    <n v="16603"/>
    <n v="16015"/>
    <n v="10310"/>
    <n v="11327"/>
    <n v="15920"/>
    <n v="15934"/>
    <n v="42833"/>
    <n v="1427.7666666666667"/>
    <n v="43276"/>
    <n v="1442.5333333333333"/>
    <n v="4036"/>
    <n v="4749"/>
    <n v="42833"/>
    <n v="43276"/>
    <m/>
    <m/>
    <m/>
    <m/>
    <m/>
    <m/>
    <m/>
    <m/>
    <n v="0"/>
    <n v="0"/>
    <n v="0"/>
    <n v="0"/>
    <m/>
    <m/>
    <n v="0"/>
    <n v="0"/>
  </r>
  <r>
    <x v="4"/>
    <s v="Ogeechee Technical College"/>
    <m/>
    <n v="366465"/>
    <x v="9"/>
    <s v="sem"/>
    <s v="sem"/>
    <m/>
    <m/>
    <n v="21910"/>
    <n v="22354"/>
    <n v="14115"/>
    <n v="14732"/>
    <n v="22469"/>
    <n v="22323"/>
    <n v="58494"/>
    <n v="1949.8"/>
    <n v="59409"/>
    <n v="1980.3"/>
    <n v="1241"/>
    <n v="814"/>
    <n v="58494"/>
    <n v="59409"/>
    <m/>
    <m/>
    <m/>
    <m/>
    <m/>
    <m/>
    <m/>
    <m/>
    <n v="0"/>
    <n v="0"/>
    <n v="0"/>
    <n v="0"/>
    <m/>
    <m/>
    <n v="0"/>
    <n v="0"/>
  </r>
  <r>
    <x v="4"/>
    <s v="Okefenokee Technical College"/>
    <s v="Met the criteria for Technical College or Institute 2 in 2013-14."/>
    <n v="248776"/>
    <x v="9"/>
    <s v="sem"/>
    <s v="sem"/>
    <m/>
    <m/>
    <n v="11217"/>
    <n v="10527"/>
    <n v="7073"/>
    <n v="6182"/>
    <n v="12148"/>
    <n v="10697"/>
    <n v="30438"/>
    <n v="1014.6"/>
    <n v="27406"/>
    <n v="913.5333333333333"/>
    <n v="1218"/>
    <n v="1927"/>
    <n v="30438"/>
    <n v="27406"/>
    <m/>
    <m/>
    <m/>
    <m/>
    <m/>
    <m/>
    <m/>
    <m/>
    <n v="0"/>
    <n v="0"/>
    <n v="0"/>
    <n v="0"/>
    <m/>
    <m/>
    <n v="0"/>
    <n v="0"/>
  </r>
  <r>
    <x v="4"/>
    <s v="Savannah Technical College"/>
    <m/>
    <n v="140942"/>
    <x v="9"/>
    <s v="sem"/>
    <s v="sem"/>
    <m/>
    <m/>
    <n v="40843"/>
    <n v="43013"/>
    <n v="25235"/>
    <n v="23174"/>
    <n v="44130"/>
    <n v="44428"/>
    <n v="110208"/>
    <n v="3673.6"/>
    <n v="110615"/>
    <n v="3687.1666666666665"/>
    <n v="1356"/>
    <n v="1903"/>
    <n v="110208"/>
    <n v="110615"/>
    <m/>
    <m/>
    <m/>
    <m/>
    <m/>
    <m/>
    <m/>
    <m/>
    <n v="0"/>
    <n v="0"/>
    <n v="0"/>
    <n v="0"/>
    <m/>
    <m/>
    <n v="0"/>
    <n v="0"/>
  </r>
  <r>
    <x v="4"/>
    <s v="South Georgia Technical College"/>
    <m/>
    <n v="141006"/>
    <x v="9"/>
    <s v="sem"/>
    <s v="sem"/>
    <m/>
    <m/>
    <n v="20930"/>
    <n v="18395"/>
    <n v="9300"/>
    <n v="10404"/>
    <n v="19249.7"/>
    <n v="19401"/>
    <n v="49479.7"/>
    <n v="1649.3233333333333"/>
    <n v="48200"/>
    <n v="1606.6666666666667"/>
    <n v="1573.3"/>
    <n v="2103"/>
    <n v="49479.7"/>
    <n v="48200"/>
    <m/>
    <m/>
    <m/>
    <m/>
    <m/>
    <m/>
    <m/>
    <m/>
    <n v="0"/>
    <n v="0"/>
    <n v="0"/>
    <n v="0"/>
    <m/>
    <m/>
    <n v="0"/>
    <n v="0"/>
  </r>
  <r>
    <x v="4"/>
    <s v="Southeastern Technical College"/>
    <m/>
    <n v="368911"/>
    <x v="9"/>
    <s v="sem"/>
    <s v="sem"/>
    <m/>
    <m/>
    <n v="16006"/>
    <n v="14910"/>
    <n v="9030"/>
    <n v="8497"/>
    <n v="15706"/>
    <n v="13976"/>
    <n v="40742"/>
    <n v="1358.0666666666666"/>
    <n v="37383"/>
    <n v="1246.0999999999999"/>
    <n v="2270"/>
    <n v="2228"/>
    <n v="40742"/>
    <n v="37383"/>
    <m/>
    <m/>
    <m/>
    <m/>
    <m/>
    <m/>
    <m/>
    <m/>
    <n v="0"/>
    <n v="0"/>
    <n v="0"/>
    <n v="0"/>
    <m/>
    <m/>
    <n v="0"/>
    <n v="0"/>
  </r>
  <r>
    <x v="4"/>
    <s v="Southern Crescent Technical College"/>
    <m/>
    <n v="139986"/>
    <x v="9"/>
    <s v="sem"/>
    <s v="sem"/>
    <m/>
    <m/>
    <n v="50196"/>
    <n v="50053"/>
    <n v="22700"/>
    <n v="23295"/>
    <n v="52330"/>
    <n v="49685"/>
    <n v="125226"/>
    <n v="4174.2"/>
    <n v="123033"/>
    <n v="4101.1000000000004"/>
    <n v="1938"/>
    <n v="2503"/>
    <n v="125226"/>
    <n v="123033"/>
    <m/>
    <m/>
    <m/>
    <m/>
    <m/>
    <m/>
    <m/>
    <m/>
    <n v="0"/>
    <n v="0"/>
    <n v="0"/>
    <n v="0"/>
    <m/>
    <m/>
    <n v="0"/>
    <n v="0"/>
  </r>
  <r>
    <x v="4"/>
    <s v="Southwest Georgia Technical College"/>
    <m/>
    <n v="141158"/>
    <x v="9"/>
    <s v="sem"/>
    <s v="sem"/>
    <m/>
    <m/>
    <n v="14546"/>
    <n v="13723"/>
    <n v="8470"/>
    <n v="8231"/>
    <n v="13749"/>
    <n v="13117"/>
    <n v="36765"/>
    <n v="1225.5"/>
    <n v="35071"/>
    <n v="1169.0333333333333"/>
    <n v="2339.3000000000002"/>
    <n v="2967.4"/>
    <n v="36765"/>
    <n v="35071"/>
    <m/>
    <m/>
    <m/>
    <m/>
    <m/>
    <m/>
    <m/>
    <m/>
    <n v="0"/>
    <n v="0"/>
    <n v="0"/>
    <n v="0"/>
    <m/>
    <m/>
    <n v="0"/>
    <n v="0"/>
  </r>
  <r>
    <x v="4"/>
    <s v="West Georgia Technical College"/>
    <m/>
    <n v="139278"/>
    <x v="9"/>
    <s v="sem"/>
    <s v="sem"/>
    <m/>
    <m/>
    <n v="59203"/>
    <n v="57449"/>
    <n v="27351"/>
    <n v="27544"/>
    <n v="58238"/>
    <n v="62029"/>
    <n v="144792"/>
    <n v="4826.3999999999996"/>
    <n v="147022"/>
    <n v="4900.7333333333336"/>
    <n v="6971"/>
    <n v="9058"/>
    <n v="144792"/>
    <n v="147022"/>
    <m/>
    <m/>
    <m/>
    <m/>
    <m/>
    <m/>
    <m/>
    <m/>
    <n v="0"/>
    <n v="0"/>
    <n v="0"/>
    <n v="0"/>
    <m/>
    <m/>
    <n v="0"/>
    <n v="0"/>
  </r>
  <r>
    <x v="4"/>
    <s v="Wiregrass Georgia Technical College"/>
    <m/>
    <n v="141255"/>
    <x v="9"/>
    <s v="sem"/>
    <s v="sem"/>
    <m/>
    <m/>
    <n v="39061"/>
    <n v="37016"/>
    <n v="21641"/>
    <n v="19779"/>
    <n v="38740"/>
    <n v="36797"/>
    <n v="99442"/>
    <n v="3314.7333333333331"/>
    <n v="93592"/>
    <n v="3119.7333333333331"/>
    <n v="3295"/>
    <n v="5063"/>
    <n v="99442"/>
    <n v="93592"/>
    <m/>
    <m/>
    <m/>
    <m/>
    <m/>
    <m/>
    <m/>
    <m/>
    <n v="0"/>
    <n v="0"/>
    <n v="0"/>
    <n v="0"/>
    <m/>
    <m/>
    <n v="0"/>
    <n v="0"/>
  </r>
  <r>
    <x v="5"/>
    <s v="University of Kentucky"/>
    <m/>
    <n v="157085"/>
    <x v="0"/>
    <s v="sem"/>
    <m/>
    <m/>
    <m/>
    <n v="254226"/>
    <n v="265699"/>
    <n v="26786"/>
    <n v="25543"/>
    <n v="287886"/>
    <n v="297245"/>
    <n v="568898"/>
    <n v="18963.266666666666"/>
    <n v="588487"/>
    <n v="19616.233333333334"/>
    <n v="67"/>
    <n v="59"/>
    <n v="568898"/>
    <n v="588487"/>
    <m/>
    <m/>
    <m/>
    <m/>
    <m/>
    <m/>
    <m/>
    <m/>
    <n v="0"/>
    <n v="0"/>
    <n v="0"/>
    <n v="0"/>
    <m/>
    <m/>
    <n v="0"/>
    <n v="0"/>
  </r>
  <r>
    <x v="5"/>
    <s v="University of Louisville"/>
    <m/>
    <n v="157289"/>
    <x v="0"/>
    <s v="sem"/>
    <m/>
    <m/>
    <m/>
    <n v="172938"/>
    <n v="174943"/>
    <n v="33151"/>
    <n v="34804"/>
    <n v="192741"/>
    <n v="195044"/>
    <n v="398830"/>
    <n v="13294.333333333334"/>
    <n v="404791"/>
    <n v="13493.033333333333"/>
    <n v="1485"/>
    <n v="1701"/>
    <n v="398830"/>
    <n v="404791"/>
    <m/>
    <m/>
    <m/>
    <m/>
    <m/>
    <m/>
    <m/>
    <m/>
    <n v="0"/>
    <n v="0"/>
    <n v="0"/>
    <n v="0"/>
    <m/>
    <m/>
    <n v="0"/>
    <n v="0"/>
  </r>
  <r>
    <x v="5"/>
    <s v="Eastern Kentucky University "/>
    <m/>
    <n v="156620"/>
    <x v="2"/>
    <s v="sem"/>
    <m/>
    <m/>
    <m/>
    <n v="161687"/>
    <n v="162793"/>
    <n v="21855"/>
    <n v="20177"/>
    <n v="177480"/>
    <n v="174732"/>
    <n v="361022"/>
    <n v="12034.066666666668"/>
    <n v="357702"/>
    <n v="11923.4"/>
    <n v="3279"/>
    <n v="3872"/>
    <n v="361022"/>
    <n v="357702"/>
    <m/>
    <m/>
    <m/>
    <m/>
    <m/>
    <m/>
    <m/>
    <m/>
    <n v="0"/>
    <n v="0"/>
    <n v="0"/>
    <n v="0"/>
    <m/>
    <m/>
    <n v="0"/>
    <n v="0"/>
  </r>
  <r>
    <x v="5"/>
    <s v="Morehead State University "/>
    <m/>
    <n v="157386"/>
    <x v="2"/>
    <s v="sem"/>
    <m/>
    <m/>
    <m/>
    <n v="86320"/>
    <n v="88754"/>
    <n v="8272"/>
    <n v="7532"/>
    <n v="102105"/>
    <n v="106682"/>
    <n v="196697"/>
    <n v="6556.5666666666666"/>
    <n v="202968"/>
    <n v="6765.6"/>
    <n v="14347"/>
    <n v="14763"/>
    <n v="196697"/>
    <n v="202968"/>
    <m/>
    <m/>
    <m/>
    <m/>
    <m/>
    <m/>
    <m/>
    <m/>
    <n v="0"/>
    <n v="0"/>
    <n v="0"/>
    <n v="0"/>
    <m/>
    <m/>
    <n v="0"/>
    <n v="0"/>
  </r>
  <r>
    <x v="5"/>
    <s v="Murray State University "/>
    <m/>
    <n v="157401"/>
    <x v="2"/>
    <s v="sem"/>
    <m/>
    <m/>
    <m/>
    <n v="104296"/>
    <n v="106205"/>
    <n v="8560"/>
    <n v="8915"/>
    <n v="114877"/>
    <n v="116521"/>
    <n v="227733"/>
    <n v="7591.1"/>
    <n v="231641"/>
    <n v="7721.3666666666668"/>
    <n v="3537"/>
    <n v="4432"/>
    <n v="227733"/>
    <n v="231641"/>
    <m/>
    <m/>
    <m/>
    <m/>
    <m/>
    <m/>
    <m/>
    <m/>
    <n v="0"/>
    <n v="0"/>
    <n v="0"/>
    <n v="0"/>
    <m/>
    <m/>
    <n v="0"/>
    <n v="0"/>
  </r>
  <r>
    <x v="5"/>
    <s v="Western Kentucky University "/>
    <m/>
    <n v="157951"/>
    <x v="2"/>
    <s v="sem"/>
    <m/>
    <m/>
    <m/>
    <n v="209719"/>
    <n v="205547"/>
    <n v="24669"/>
    <n v="23331"/>
    <n v="222559"/>
    <n v="215275"/>
    <n v="456947"/>
    <n v="15231.566666666668"/>
    <n v="444153"/>
    <n v="14805.1"/>
    <n v="13475"/>
    <n v="13779"/>
    <n v="456947"/>
    <n v="444153"/>
    <m/>
    <m/>
    <m/>
    <m/>
    <m/>
    <m/>
    <m/>
    <m/>
    <n v="0"/>
    <n v="0"/>
    <n v="0"/>
    <n v="0"/>
    <m/>
    <m/>
    <n v="0"/>
    <n v="0"/>
  </r>
  <r>
    <x v="5"/>
    <s v="Kentucky State University "/>
    <m/>
    <n v="157058"/>
    <x v="3"/>
    <s v="sem"/>
    <m/>
    <m/>
    <m/>
    <n v="28955"/>
    <n v="27319"/>
    <n v="3801"/>
    <n v="3490"/>
    <n v="27941"/>
    <n v="29036"/>
    <n v="60697"/>
    <n v="2023.2333333333333"/>
    <n v="59845"/>
    <n v="1994.8333333333333"/>
    <n v="1436"/>
    <n v="2484"/>
    <n v="60697"/>
    <n v="59845"/>
    <m/>
    <m/>
    <m/>
    <m/>
    <m/>
    <m/>
    <m/>
    <m/>
    <n v="0"/>
    <n v="0"/>
    <n v="0"/>
    <n v="0"/>
    <m/>
    <m/>
    <n v="0"/>
    <n v="0"/>
  </r>
  <r>
    <x v="5"/>
    <s v="Northern Kentucky University "/>
    <s v="Met the criteria for Four-Year 3 in 2012-13 and 2013-14."/>
    <n v="157447"/>
    <x v="3"/>
    <s v="sem"/>
    <m/>
    <m/>
    <m/>
    <n v="149607"/>
    <n v="147488"/>
    <n v="19078"/>
    <n v="18551"/>
    <n v="163225"/>
    <n v="161227"/>
    <n v="331910"/>
    <n v="11063.666666666666"/>
    <n v="327266"/>
    <n v="10908.866666666667"/>
    <n v="4064"/>
    <n v="4199"/>
    <n v="331910"/>
    <n v="327266"/>
    <m/>
    <m/>
    <m/>
    <m/>
    <m/>
    <m/>
    <m/>
    <m/>
    <n v="0"/>
    <n v="0"/>
    <n v="0"/>
    <n v="0"/>
    <m/>
    <m/>
    <n v="0"/>
    <n v="0"/>
  </r>
  <r>
    <x v="5"/>
    <s v="Bluegrass Community and Technical College"/>
    <m/>
    <n v="157173"/>
    <x v="6"/>
    <s v="sem"/>
    <m/>
    <m/>
    <m/>
    <n v="118051"/>
    <n v="108236"/>
    <n v="23850"/>
    <n v="20882"/>
    <n v="124714"/>
    <n v="111652"/>
    <n v="266615"/>
    <n v="8887.1666666666661"/>
    <n v="240770"/>
    <n v="8025.666666666667"/>
    <n v="7826"/>
    <n v="8675"/>
    <n v="266615"/>
    <n v="240770"/>
    <m/>
    <m/>
    <m/>
    <m/>
    <m/>
    <m/>
    <m/>
    <m/>
    <n v="0"/>
    <n v="0"/>
    <n v="0"/>
    <n v="0"/>
    <m/>
    <m/>
    <n v="0"/>
    <n v="0"/>
  </r>
  <r>
    <x v="5"/>
    <s v="Jefferson Community and Technical College "/>
    <m/>
    <n v="156921"/>
    <x v="6"/>
    <s v="sem"/>
    <m/>
    <m/>
    <m/>
    <n v="112521"/>
    <n v="104271"/>
    <n v="18247"/>
    <n v="15108"/>
    <n v="115977"/>
    <n v="107505"/>
    <n v="246745"/>
    <n v="8224.8333333333339"/>
    <n v="226884"/>
    <n v="7562.8"/>
    <n v="9837"/>
    <n v="10689"/>
    <n v="246745"/>
    <n v="226884"/>
    <m/>
    <m/>
    <m/>
    <m/>
    <m/>
    <m/>
    <m/>
    <m/>
    <n v="0"/>
    <n v="0"/>
    <n v="0"/>
    <n v="0"/>
    <m/>
    <m/>
    <n v="0"/>
    <n v="0"/>
  </r>
  <r>
    <x v="5"/>
    <s v="Ashland Community and Technical College"/>
    <m/>
    <n v="156231"/>
    <x v="7"/>
    <s v="sem"/>
    <m/>
    <m/>
    <m/>
    <n v="32226"/>
    <n v="30700"/>
    <n v="6956"/>
    <n v="5643"/>
    <n v="36818"/>
    <n v="35829"/>
    <n v="76000"/>
    <n v="2533.3333333333335"/>
    <n v="72172"/>
    <n v="2405.7333333333331"/>
    <n v="6733"/>
    <n v="4324"/>
    <n v="76000"/>
    <n v="72172"/>
    <m/>
    <m/>
    <m/>
    <m/>
    <m/>
    <m/>
    <m/>
    <m/>
    <n v="0"/>
    <n v="0"/>
    <n v="0"/>
    <n v="0"/>
    <m/>
    <m/>
    <n v="0"/>
    <n v="0"/>
  </r>
  <r>
    <x v="5"/>
    <s v="Big Sandy Community and Technical College "/>
    <m/>
    <n v="157553"/>
    <x v="7"/>
    <s v="sem"/>
    <m/>
    <m/>
    <m/>
    <n v="36595"/>
    <n v="36173"/>
    <n v="6122"/>
    <n v="4337"/>
    <n v="37516"/>
    <n v="37914"/>
    <n v="80233"/>
    <n v="2674.4333333333334"/>
    <n v="78424"/>
    <n v="2614.1333333333332"/>
    <n v="2386"/>
    <n v="2343"/>
    <n v="80233"/>
    <n v="78424"/>
    <m/>
    <m/>
    <m/>
    <m/>
    <m/>
    <m/>
    <m/>
    <m/>
    <n v="0"/>
    <n v="0"/>
    <n v="0"/>
    <n v="0"/>
    <m/>
    <m/>
    <n v="0"/>
    <n v="0"/>
  </r>
  <r>
    <x v="5"/>
    <s v="Elizabethtown Community and Technical College "/>
    <m/>
    <n v="156648"/>
    <x v="7"/>
    <s v="sem"/>
    <m/>
    <m/>
    <m/>
    <n v="53582"/>
    <n v="49278"/>
    <n v="7876"/>
    <n v="7638"/>
    <n v="55707"/>
    <n v="56759"/>
    <n v="117165"/>
    <n v="3905.5"/>
    <n v="113675"/>
    <n v="3789.1666666666665"/>
    <n v="2544"/>
    <n v="4064"/>
    <n v="117165"/>
    <n v="113675"/>
    <m/>
    <m/>
    <m/>
    <m/>
    <m/>
    <m/>
    <m/>
    <m/>
    <n v="0"/>
    <n v="0"/>
    <n v="0"/>
    <n v="0"/>
    <m/>
    <m/>
    <n v="0"/>
    <n v="0"/>
  </r>
  <r>
    <x v="5"/>
    <s v="Hazard Community and Technical College"/>
    <m/>
    <n v="156790"/>
    <x v="7"/>
    <s v="sem"/>
    <m/>
    <m/>
    <m/>
    <n v="27343"/>
    <n v="28311"/>
    <n v="4937"/>
    <n v="4125"/>
    <n v="29360"/>
    <n v="30123"/>
    <n v="61640"/>
    <n v="2054.6666666666665"/>
    <n v="62559"/>
    <n v="2085.3000000000002"/>
    <n v="2447"/>
    <n v="3440"/>
    <n v="61640"/>
    <n v="62559"/>
    <m/>
    <m/>
    <m/>
    <m/>
    <m/>
    <m/>
    <m/>
    <m/>
    <n v="0"/>
    <n v="0"/>
    <n v="0"/>
    <n v="0"/>
    <m/>
    <m/>
    <n v="0"/>
    <n v="0"/>
  </r>
  <r>
    <x v="5"/>
    <s v="Hopkinsville Community College "/>
    <m/>
    <n v="156860"/>
    <x v="7"/>
    <s v="sem"/>
    <m/>
    <m/>
    <m/>
    <n v="33696"/>
    <n v="30108"/>
    <n v="6330"/>
    <n v="6142"/>
    <n v="31626"/>
    <n v="30347"/>
    <n v="71652"/>
    <n v="2388.4"/>
    <n v="66597"/>
    <n v="2219.9"/>
    <n v="2063"/>
    <n v="1817"/>
    <n v="71652"/>
    <n v="66597"/>
    <m/>
    <m/>
    <m/>
    <m/>
    <m/>
    <m/>
    <m/>
    <m/>
    <n v="0"/>
    <n v="0"/>
    <n v="0"/>
    <n v="0"/>
    <m/>
    <m/>
    <n v="0"/>
    <n v="0"/>
  </r>
  <r>
    <x v="5"/>
    <s v="Madisonville Community College"/>
    <m/>
    <n v="157304"/>
    <x v="7"/>
    <s v="sem"/>
    <m/>
    <m/>
    <m/>
    <n v="27044"/>
    <n v="28156"/>
    <n v="3725"/>
    <n v="4330"/>
    <n v="30585"/>
    <n v="33299"/>
    <n v="61354"/>
    <n v="2045.1333333333334"/>
    <n v="65785"/>
    <n v="2192.8333333333335"/>
    <n v="4478"/>
    <n v="5481"/>
    <n v="61354"/>
    <n v="65785"/>
    <m/>
    <m/>
    <m/>
    <m/>
    <m/>
    <m/>
    <m/>
    <m/>
    <n v="0"/>
    <n v="0"/>
    <n v="0"/>
    <n v="0"/>
    <m/>
    <m/>
    <n v="0"/>
    <n v="0"/>
  </r>
  <r>
    <x v="5"/>
    <s v="Maysville Community and Technical College "/>
    <m/>
    <n v="157331"/>
    <x v="7"/>
    <s v="sem"/>
    <m/>
    <m/>
    <m/>
    <n v="45378"/>
    <n v="39478"/>
    <n v="6944"/>
    <n v="6764"/>
    <n v="42640"/>
    <n v="40143"/>
    <n v="94962"/>
    <n v="3165.4"/>
    <n v="86385"/>
    <n v="2879.5"/>
    <n v="5506"/>
    <n v="3824"/>
    <n v="94962"/>
    <n v="86385"/>
    <m/>
    <m/>
    <m/>
    <m/>
    <m/>
    <m/>
    <m/>
    <m/>
    <n v="0"/>
    <n v="0"/>
    <n v="0"/>
    <n v="0"/>
    <m/>
    <m/>
    <n v="0"/>
    <n v="0"/>
  </r>
  <r>
    <x v="5"/>
    <s v="Owensboro Community and Technical College "/>
    <m/>
    <n v="247940"/>
    <x v="7"/>
    <s v="sem"/>
    <m/>
    <m/>
    <m/>
    <n v="39349"/>
    <n v="35746"/>
    <n v="5798"/>
    <n v="5085"/>
    <n v="41080"/>
    <n v="38906"/>
    <n v="86227"/>
    <n v="2874.2333333333331"/>
    <n v="79737"/>
    <n v="2657.9"/>
    <n v="7433"/>
    <n v="4395"/>
    <n v="86227"/>
    <n v="79737"/>
    <m/>
    <m/>
    <m/>
    <m/>
    <m/>
    <m/>
    <m/>
    <m/>
    <n v="0"/>
    <n v="0"/>
    <n v="0"/>
    <n v="0"/>
    <m/>
    <m/>
    <n v="0"/>
    <n v="0"/>
  </r>
  <r>
    <x v="5"/>
    <s v="Somerset Community and Technical College "/>
    <m/>
    <n v="157711"/>
    <x v="7"/>
    <s v="sem"/>
    <m/>
    <m/>
    <m/>
    <n v="71077"/>
    <n v="66285"/>
    <n v="8358"/>
    <n v="7967"/>
    <n v="66292"/>
    <n v="68746"/>
    <n v="145727"/>
    <n v="4857.5666666666666"/>
    <n v="142998"/>
    <n v="4766.6000000000004"/>
    <n v="5487"/>
    <n v="4810"/>
    <n v="145727"/>
    <n v="142998"/>
    <m/>
    <m/>
    <m/>
    <m/>
    <m/>
    <m/>
    <m/>
    <m/>
    <n v="0"/>
    <n v="0"/>
    <n v="0"/>
    <n v="0"/>
    <m/>
    <m/>
    <n v="0"/>
    <n v="0"/>
  </r>
  <r>
    <x v="5"/>
    <s v="Southeast Kentucky Community and Technical College"/>
    <m/>
    <n v="157739"/>
    <x v="7"/>
    <s v="sem"/>
    <m/>
    <m/>
    <m/>
    <n v="30732"/>
    <n v="30006"/>
    <n v="2787"/>
    <n v="2563"/>
    <n v="33101"/>
    <n v="32268"/>
    <n v="66620"/>
    <n v="2220.6666666666665"/>
    <n v="64837"/>
    <n v="2161.2333333333331"/>
    <n v="4698"/>
    <n v="4526"/>
    <n v="66620"/>
    <n v="64837"/>
    <m/>
    <m/>
    <m/>
    <m/>
    <m/>
    <m/>
    <m/>
    <m/>
    <n v="0"/>
    <n v="0"/>
    <n v="0"/>
    <n v="0"/>
    <m/>
    <m/>
    <n v="0"/>
    <n v="0"/>
  </r>
  <r>
    <x v="5"/>
    <s v="West Kentucky Community and Technical College"/>
    <m/>
    <n v="157483"/>
    <x v="7"/>
    <s v="sem"/>
    <m/>
    <m/>
    <m/>
    <n v="53864"/>
    <n v="53642"/>
    <n v="9873"/>
    <n v="10382"/>
    <n v="59691"/>
    <n v="59398"/>
    <n v="123428"/>
    <n v="4114.2666666666664"/>
    <n v="123422"/>
    <n v="4114.0666666666666"/>
    <n v="10212"/>
    <n v="11321"/>
    <n v="123428"/>
    <n v="123422"/>
    <m/>
    <m/>
    <m/>
    <m/>
    <m/>
    <m/>
    <m/>
    <m/>
    <n v="0"/>
    <n v="0"/>
    <n v="0"/>
    <n v="0"/>
    <m/>
    <m/>
    <n v="0"/>
    <n v="0"/>
  </r>
  <r>
    <x v="5"/>
    <s v="Henderson Community College "/>
    <m/>
    <n v="156851"/>
    <x v="8"/>
    <s v="sem"/>
    <m/>
    <m/>
    <m/>
    <n v="17174"/>
    <n v="17962"/>
    <n v="2782"/>
    <n v="3267"/>
    <n v="18257"/>
    <n v="17884"/>
    <n v="38213"/>
    <n v="1273.7666666666667"/>
    <n v="39113"/>
    <n v="1303.7666666666667"/>
    <n v="1813"/>
    <n v="1644"/>
    <n v="38213"/>
    <n v="39113"/>
    <m/>
    <m/>
    <m/>
    <m/>
    <m/>
    <m/>
    <m/>
    <m/>
    <n v="0"/>
    <n v="0"/>
    <n v="0"/>
    <n v="0"/>
    <m/>
    <m/>
    <n v="0"/>
    <n v="0"/>
  </r>
  <r>
    <x v="5"/>
    <s v="Gateway Community and Technical College"/>
    <m/>
    <n v="157438"/>
    <x v="9"/>
    <s v="sem"/>
    <m/>
    <m/>
    <m/>
    <n v="32686"/>
    <n v="32571"/>
    <n v="6560"/>
    <n v="6431"/>
    <n v="33536"/>
    <n v="34799"/>
    <n v="72782"/>
    <n v="2426.0666666666666"/>
    <n v="73801"/>
    <n v="2460.0333333333333"/>
    <n v="2416"/>
    <n v="1828"/>
    <n v="72782"/>
    <n v="73801"/>
    <m/>
    <m/>
    <m/>
    <m/>
    <m/>
    <m/>
    <m/>
    <m/>
    <n v="0"/>
    <n v="0"/>
    <n v="0"/>
    <n v="0"/>
    <m/>
    <m/>
    <n v="0"/>
    <n v="0"/>
  </r>
  <r>
    <x v="5"/>
    <s v="Southcentral Kentucky Community and Technical College"/>
    <m/>
    <n v="156338"/>
    <x v="9"/>
    <s v="sem"/>
    <m/>
    <m/>
    <m/>
    <n v="33739"/>
    <n v="38917"/>
    <n v="6299"/>
    <n v="6145"/>
    <n v="38592"/>
    <n v="42453"/>
    <n v="78630"/>
    <n v="2621"/>
    <n v="87515"/>
    <n v="2917.1666666666665"/>
    <n v="4202"/>
    <n v="5305"/>
    <n v="78630"/>
    <n v="87515"/>
    <m/>
    <m/>
    <m/>
    <m/>
    <m/>
    <m/>
    <m/>
    <m/>
    <n v="0"/>
    <n v="0"/>
    <n v="0"/>
    <n v="0"/>
    <m/>
    <m/>
    <n v="0"/>
    <n v="0"/>
  </r>
  <r>
    <x v="6"/>
    <s v="Louisiana State University and A&amp;M College"/>
    <m/>
    <n v="159391"/>
    <x v="0"/>
    <s v="sem"/>
    <s v="sem"/>
    <m/>
    <m/>
    <n v="321021"/>
    <n v="318961"/>
    <n v="43468"/>
    <n v="37954"/>
    <n v="360518"/>
    <n v="359427"/>
    <n v="725007"/>
    <n v="24166.9"/>
    <n v="716342"/>
    <n v="23878.066666666666"/>
    <n v="2047"/>
    <n v="3412"/>
    <n v="725007"/>
    <n v="716342"/>
    <m/>
    <m/>
    <m/>
    <m/>
    <m/>
    <m/>
    <m/>
    <m/>
    <n v="0"/>
    <n v="0"/>
    <n v="0"/>
    <n v="0"/>
    <m/>
    <m/>
    <n v="0"/>
    <n v="0"/>
  </r>
  <r>
    <x v="6"/>
    <s v="Louisiana Tech University "/>
    <m/>
    <n v="159647"/>
    <x v="1"/>
    <s v="quar"/>
    <s v="quar"/>
    <n v="69068"/>
    <n v="66037"/>
    <n v="69697"/>
    <n v="66465"/>
    <n v="16955"/>
    <n v="16085"/>
    <n v="76434"/>
    <n v="78239"/>
    <n v="232154"/>
    <n v="7738.4666666666662"/>
    <n v="226826"/>
    <n v="7560.8666666666668"/>
    <n v="12178"/>
    <n v="13759"/>
    <n v="232154"/>
    <n v="226826"/>
    <m/>
    <m/>
    <m/>
    <m/>
    <m/>
    <m/>
    <m/>
    <m/>
    <n v="0"/>
    <n v="0"/>
    <n v="0"/>
    <n v="0"/>
    <m/>
    <m/>
    <n v="0"/>
    <n v="0"/>
  </r>
  <r>
    <x v="6"/>
    <s v="University of Louisiana at Lafayette"/>
    <m/>
    <n v="160658"/>
    <x v="1"/>
    <s v="sem"/>
    <s v="sem"/>
    <m/>
    <m/>
    <n v="184501"/>
    <n v="176714"/>
    <n v="24934"/>
    <n v="26682"/>
    <n v="195627"/>
    <n v="195986"/>
    <n v="405062"/>
    <n v="13502.066666666668"/>
    <n v="399382"/>
    <n v="13312.733333333334"/>
    <n v="1724"/>
    <n v="3076"/>
    <n v="405062"/>
    <n v="399382"/>
    <m/>
    <m/>
    <m/>
    <m/>
    <m/>
    <m/>
    <m/>
    <m/>
    <n v="0"/>
    <n v="0"/>
    <n v="0"/>
    <n v="0"/>
    <m/>
    <m/>
    <n v="0"/>
    <n v="0"/>
  </r>
  <r>
    <x v="6"/>
    <s v="University of New Orleans"/>
    <m/>
    <n v="159939"/>
    <x v="1"/>
    <s v="sem"/>
    <s v="sem"/>
    <m/>
    <m/>
    <n v="92318"/>
    <n v="84694"/>
    <n v="18426"/>
    <n v="16713"/>
    <n v="95073"/>
    <n v="87999"/>
    <n v="205817"/>
    <n v="6860.5666666666666"/>
    <n v="189406"/>
    <n v="6313.5333333333338"/>
    <n v="557"/>
    <n v="806"/>
    <n v="205817"/>
    <n v="189406"/>
    <m/>
    <m/>
    <m/>
    <m/>
    <m/>
    <m/>
    <m/>
    <m/>
    <n v="0"/>
    <n v="0"/>
    <n v="0"/>
    <n v="0"/>
    <m/>
    <m/>
    <n v="0"/>
    <n v="0"/>
  </r>
  <r>
    <x v="6"/>
    <s v="Southeastern Louisiana University "/>
    <m/>
    <n v="160612"/>
    <x v="2"/>
    <s v="sem"/>
    <s v="sem"/>
    <m/>
    <m/>
    <n v="162619"/>
    <n v="158207"/>
    <n v="21975"/>
    <n v="19429"/>
    <n v="173089"/>
    <n v="166083"/>
    <n v="357683"/>
    <n v="11922.766666666666"/>
    <n v="343719"/>
    <n v="11457.3"/>
    <n v="9149"/>
    <n v="17788"/>
    <n v="357683"/>
    <n v="343719"/>
    <m/>
    <m/>
    <m/>
    <m/>
    <m/>
    <m/>
    <m/>
    <m/>
    <n v="0"/>
    <n v="0"/>
    <n v="0"/>
    <n v="0"/>
    <m/>
    <m/>
    <n v="0"/>
    <n v="0"/>
  </r>
  <r>
    <x v="6"/>
    <s v="Southern University and A&amp;M College at Baton Rouge "/>
    <m/>
    <n v="160621"/>
    <x v="2"/>
    <s v="sem"/>
    <s v="sem"/>
    <m/>
    <m/>
    <n v="74723"/>
    <n v="69239"/>
    <n v="10996"/>
    <n v="10062"/>
    <n v="73535"/>
    <n v="76075"/>
    <n v="159254"/>
    <n v="5308.4666666666662"/>
    <n v="155376"/>
    <n v="5179.2"/>
    <n v="142"/>
    <n v="357"/>
    <n v="159254"/>
    <n v="155376"/>
    <m/>
    <m/>
    <m/>
    <m/>
    <m/>
    <m/>
    <m/>
    <m/>
    <n v="0"/>
    <n v="0"/>
    <n v="0"/>
    <n v="0"/>
    <m/>
    <m/>
    <n v="0"/>
    <n v="0"/>
  </r>
  <r>
    <x v="6"/>
    <s v="University of Louisiana at Monroe"/>
    <m/>
    <n v="159993"/>
    <x v="2"/>
    <s v="sem"/>
    <s v="sem"/>
    <n v="2643"/>
    <n v="2993"/>
    <n v="74963"/>
    <n v="75488"/>
    <n v="16684"/>
    <n v="12396"/>
    <n v="85842"/>
    <n v="85269"/>
    <n v="180132"/>
    <n v="6004.4"/>
    <n v="176146"/>
    <n v="5871.5333333333338"/>
    <n v="13524"/>
    <n v="11765"/>
    <n v="180132"/>
    <n v="176146"/>
    <m/>
    <m/>
    <m/>
    <m/>
    <m/>
    <m/>
    <m/>
    <m/>
    <n v="0"/>
    <n v="0"/>
    <n v="0"/>
    <n v="0"/>
    <m/>
    <m/>
    <n v="0"/>
    <n v="0"/>
  </r>
  <r>
    <x v="6"/>
    <s v="Grambling State University"/>
    <m/>
    <n v="159009"/>
    <x v="3"/>
    <s v="sem"/>
    <s v="sem"/>
    <m/>
    <m/>
    <n v="57258"/>
    <n v="53862"/>
    <n v="11522"/>
    <n v="9245"/>
    <n v="60356"/>
    <n v="56964"/>
    <n v="129136"/>
    <n v="4304.5333333333338"/>
    <n v="120071"/>
    <n v="4002.3666666666668"/>
    <n v="282"/>
    <n v="285"/>
    <n v="129136"/>
    <n v="120071"/>
    <m/>
    <m/>
    <m/>
    <m/>
    <m/>
    <m/>
    <m/>
    <m/>
    <n v="0"/>
    <n v="0"/>
    <n v="0"/>
    <n v="0"/>
    <m/>
    <m/>
    <n v="0"/>
    <n v="0"/>
  </r>
  <r>
    <x v="6"/>
    <s v="Louisiana State University in Shreveport"/>
    <m/>
    <n v="159416"/>
    <x v="3"/>
    <s v="sem"/>
    <s v="sem"/>
    <m/>
    <m/>
    <n v="40658"/>
    <n v="38264"/>
    <n v="7099"/>
    <n v="5886"/>
    <n v="41384"/>
    <n v="37559"/>
    <n v="89141"/>
    <n v="2971.3666666666668"/>
    <n v="81709"/>
    <n v="2723.6333333333332"/>
    <n v="11114"/>
    <n v="10449"/>
    <n v="89141"/>
    <n v="81709"/>
    <m/>
    <m/>
    <m/>
    <m/>
    <m/>
    <m/>
    <m/>
    <m/>
    <n v="0"/>
    <n v="0"/>
    <n v="0"/>
    <n v="0"/>
    <m/>
    <m/>
    <n v="0"/>
    <n v="0"/>
  </r>
  <r>
    <x v="6"/>
    <s v="McNeese State University"/>
    <m/>
    <n v="159717"/>
    <x v="3"/>
    <s v="sem"/>
    <s v="sem"/>
    <m/>
    <m/>
    <n v="97806"/>
    <n v="93356"/>
    <n v="12418"/>
    <n v="10830"/>
    <n v="103403"/>
    <n v="100468"/>
    <n v="213627"/>
    <n v="7120.9"/>
    <n v="204654"/>
    <n v="6821.8"/>
    <n v="5685"/>
    <n v="5774"/>
    <n v="213627"/>
    <n v="204654"/>
    <m/>
    <m/>
    <m/>
    <m/>
    <m/>
    <m/>
    <m/>
    <m/>
    <n v="0"/>
    <n v="0"/>
    <n v="0"/>
    <n v="0"/>
    <m/>
    <m/>
    <n v="0"/>
    <n v="0"/>
  </r>
  <r>
    <x v="6"/>
    <s v="Nicholls State University "/>
    <m/>
    <n v="159966"/>
    <x v="3"/>
    <s v="sem"/>
    <s v="sem"/>
    <m/>
    <m/>
    <n v="73786"/>
    <n v="72272"/>
    <n v="11331"/>
    <n v="10854"/>
    <n v="79365"/>
    <n v="78191"/>
    <n v="164482"/>
    <n v="5482.7333333333336"/>
    <n v="161317"/>
    <n v="5377.2333333333336"/>
    <n v="1020"/>
    <n v="1138"/>
    <n v="164482"/>
    <n v="161317"/>
    <m/>
    <m/>
    <m/>
    <m/>
    <m/>
    <m/>
    <m/>
    <m/>
    <n v="0"/>
    <n v="0"/>
    <n v="0"/>
    <n v="0"/>
    <m/>
    <m/>
    <n v="0"/>
    <n v="0"/>
  </r>
  <r>
    <x v="6"/>
    <s v="Northwestern State University"/>
    <m/>
    <n v="160038"/>
    <x v="3"/>
    <s v="sem"/>
    <s v="sem"/>
    <m/>
    <m/>
    <n v="92476"/>
    <n v="92359"/>
    <n v="19687"/>
    <n v="17198"/>
    <n v="100426"/>
    <n v="95959"/>
    <n v="212589"/>
    <n v="7086.3"/>
    <n v="205516"/>
    <n v="6850.5333333333338"/>
    <n v="5504"/>
    <n v="6282"/>
    <n v="212589"/>
    <n v="205516"/>
    <m/>
    <m/>
    <m/>
    <m/>
    <m/>
    <m/>
    <m/>
    <m/>
    <n v="0"/>
    <n v="0"/>
    <n v="0"/>
    <n v="0"/>
    <m/>
    <m/>
    <n v="0"/>
    <n v="0"/>
  </r>
  <r>
    <x v="6"/>
    <s v="Southern University at New Orleans"/>
    <s v="Met the criteria for Four-Year 5 in 2012-13 and 2013-14."/>
    <n v="160630"/>
    <x v="3"/>
    <s v="sem"/>
    <s v="sem"/>
    <m/>
    <m/>
    <n v="38111"/>
    <n v="33143"/>
    <n v="5480"/>
    <n v="3143"/>
    <n v="35925"/>
    <n v="34188"/>
    <n v="79516"/>
    <n v="2650.5333333333333"/>
    <n v="70474"/>
    <n v="2349.1333333333332"/>
    <n v="1246"/>
    <n v="1356"/>
    <n v="79516"/>
    <n v="70474"/>
    <m/>
    <m/>
    <m/>
    <m/>
    <m/>
    <m/>
    <m/>
    <m/>
    <n v="0"/>
    <n v="0"/>
    <n v="0"/>
    <n v="0"/>
    <m/>
    <m/>
    <n v="0"/>
    <n v="0"/>
  </r>
  <r>
    <x v="6"/>
    <s v="Louisiana State University at Alexandria"/>
    <m/>
    <n v="159382"/>
    <x v="5"/>
    <s v="sem"/>
    <s v="sem"/>
    <m/>
    <m/>
    <n v="23055"/>
    <n v="21372"/>
    <n v="4552"/>
    <n v="4135"/>
    <n v="24122"/>
    <n v="23698"/>
    <n v="51729"/>
    <n v="1724.3"/>
    <n v="49205"/>
    <n v="1640.1666666666667"/>
    <n v="2869"/>
    <n v="2366"/>
    <n v="51729"/>
    <n v="49205"/>
    <m/>
    <m/>
    <m/>
    <m/>
    <m/>
    <m/>
    <m/>
    <m/>
    <n v="0"/>
    <n v="0"/>
    <n v="0"/>
    <n v="0"/>
    <m/>
    <m/>
    <n v="0"/>
    <n v="0"/>
  </r>
  <r>
    <x v="6"/>
    <s v="Baton Rouge Community College"/>
    <m/>
    <n v="437103"/>
    <x v="6"/>
    <s v="sem"/>
    <s v="sem"/>
    <m/>
    <m/>
    <n v="78630"/>
    <n v="73333"/>
    <n v="10495"/>
    <n v="16997"/>
    <n v="80151"/>
    <n v="99424"/>
    <n v="169276"/>
    <n v="5642.5333333333338"/>
    <n v="189754"/>
    <n v="6325.1333333333332"/>
    <n v="1839"/>
    <n v="2943"/>
    <n v="169276"/>
    <n v="189754"/>
    <m/>
    <m/>
    <m/>
    <m/>
    <m/>
    <m/>
    <m/>
    <m/>
    <n v="0"/>
    <n v="0"/>
    <n v="0"/>
    <n v="0"/>
    <m/>
    <m/>
    <n v="0"/>
    <n v="0"/>
  </r>
  <r>
    <x v="6"/>
    <s v="Bossier Parish Community College"/>
    <m/>
    <n v="158431"/>
    <x v="6"/>
    <s v="sem"/>
    <s v="sem"/>
    <m/>
    <m/>
    <n v="80514"/>
    <n v="81916"/>
    <n v="17606"/>
    <n v="13712"/>
    <n v="85162"/>
    <n v="89127"/>
    <n v="183282"/>
    <n v="6109.4"/>
    <n v="184755"/>
    <n v="6158.5"/>
    <n v="3619"/>
    <n v="4158"/>
    <n v="183282"/>
    <n v="184755"/>
    <m/>
    <m/>
    <m/>
    <m/>
    <m/>
    <m/>
    <m/>
    <m/>
    <n v="0"/>
    <n v="0"/>
    <n v="0"/>
    <n v="0"/>
    <m/>
    <m/>
    <n v="0"/>
    <n v="0"/>
  </r>
  <r>
    <x v="6"/>
    <s v="Delgado Community College "/>
    <m/>
    <n v="158662"/>
    <x v="6"/>
    <s v="sem"/>
    <s v="sem"/>
    <m/>
    <m/>
    <n v="192771"/>
    <n v="173985"/>
    <n v="38177"/>
    <n v="29677"/>
    <n v="172000"/>
    <n v="177459"/>
    <n v="402948"/>
    <n v="13431.6"/>
    <n v="381121"/>
    <n v="12704.033333333333"/>
    <n v="1372"/>
    <n v="1846"/>
    <n v="402948"/>
    <n v="381121"/>
    <m/>
    <m/>
    <m/>
    <m/>
    <m/>
    <m/>
    <m/>
    <m/>
    <n v="0"/>
    <n v="0"/>
    <n v="0"/>
    <n v="0"/>
    <m/>
    <m/>
    <n v="0"/>
    <n v="0"/>
  </r>
  <r>
    <x v="6"/>
    <s v="Louisiana State University at Eunice"/>
    <s v="Met the criteria for Two-Year 3 in 2013-14. "/>
    <n v="159407"/>
    <x v="7"/>
    <s v="sem"/>
    <s v="sem"/>
    <m/>
    <m/>
    <n v="27989"/>
    <n v="26620"/>
    <n v="4969"/>
    <n v="3907"/>
    <n v="29014"/>
    <n v="26138"/>
    <n v="61972"/>
    <n v="2065.7333333333331"/>
    <n v="56665"/>
    <n v="1888.8333333333333"/>
    <n v="3283"/>
    <n v="2950"/>
    <n v="61972"/>
    <n v="56665"/>
    <m/>
    <m/>
    <m/>
    <m/>
    <m/>
    <m/>
    <m/>
    <m/>
    <n v="0"/>
    <n v="0"/>
    <n v="0"/>
    <n v="0"/>
    <m/>
    <m/>
    <n v="0"/>
    <n v="0"/>
  </r>
  <r>
    <x v="6"/>
    <s v="South Louisiana Community College"/>
    <m/>
    <n v="434061"/>
    <x v="7"/>
    <s v="sem"/>
    <s v="sem"/>
    <m/>
    <n v="72"/>
    <n v="70353.5"/>
    <n v="57711"/>
    <n v="18151"/>
    <n v="12897"/>
    <n v="71265"/>
    <n v="70397"/>
    <n v="159769.5"/>
    <n v="5325.65"/>
    <n v="141077"/>
    <n v="4702.5666666666666"/>
    <n v="15668"/>
    <n v="17672"/>
    <n v="159769.5"/>
    <n v="141077"/>
    <m/>
    <m/>
    <m/>
    <m/>
    <m/>
    <m/>
    <m/>
    <m/>
    <n v="0"/>
    <n v="0"/>
    <n v="0"/>
    <n v="0"/>
    <m/>
    <m/>
    <n v="0"/>
    <n v="0"/>
  </r>
  <r>
    <x v="6"/>
    <s v="Louisiana Delta Community College"/>
    <s v="Reclassified: met the criteria for Two-Year 2 in 2011-12, 2012-13, and 2013-14."/>
    <n v="440624"/>
    <x v="7"/>
    <s v="sem"/>
    <s v="sem"/>
    <m/>
    <n v="165"/>
    <n v="43182.5"/>
    <n v="38698"/>
    <n v="11259.5"/>
    <n v="8959"/>
    <n v="37617"/>
    <n v="37370"/>
    <n v="92059"/>
    <n v="3068.6333333333332"/>
    <n v="85192"/>
    <n v="2839.7333333333331"/>
    <n v="5405"/>
    <n v="5316"/>
    <n v="92059"/>
    <n v="85192"/>
    <m/>
    <m/>
    <m/>
    <m/>
    <m/>
    <m/>
    <n v="11"/>
    <m/>
    <n v="11"/>
    <n v="1.2222222222222223E-2"/>
    <n v="0"/>
    <n v="0"/>
    <m/>
    <m/>
    <n v="0"/>
    <n v="0"/>
  </r>
  <r>
    <x v="6"/>
    <s v="Nunez Community College"/>
    <m/>
    <n v="158884"/>
    <x v="8"/>
    <s v="sem"/>
    <s v="sem"/>
    <m/>
    <m/>
    <n v="18641"/>
    <n v="18387"/>
    <n v="3734"/>
    <n v="3370"/>
    <n v="19632"/>
    <n v="21724"/>
    <n v="42007"/>
    <n v="1400.2333333333333"/>
    <n v="43481"/>
    <n v="1449.3666666666666"/>
    <n v="5241"/>
    <n v="5762"/>
    <n v="42007"/>
    <n v="43481"/>
    <m/>
    <m/>
    <m/>
    <m/>
    <m/>
    <m/>
    <m/>
    <m/>
    <n v="0"/>
    <n v="0"/>
    <n v="0"/>
    <n v="0"/>
    <m/>
    <m/>
    <n v="0"/>
    <n v="0"/>
  </r>
  <r>
    <x v="6"/>
    <s v="River Parishes Community College"/>
    <m/>
    <n v="436304"/>
    <x v="8"/>
    <s v="sem"/>
    <s v="sem"/>
    <m/>
    <m/>
    <n v="21519"/>
    <n v="22269"/>
    <n v="4445"/>
    <n v="3514"/>
    <n v="28080"/>
    <n v="23983"/>
    <n v="54044"/>
    <n v="1801.4666666666667"/>
    <n v="49766"/>
    <n v="1658.8666666666666"/>
    <n v="9861"/>
    <n v="10497"/>
    <n v="54044"/>
    <n v="49766"/>
    <m/>
    <m/>
    <m/>
    <m/>
    <m/>
    <m/>
    <m/>
    <m/>
    <n v="0"/>
    <n v="0"/>
    <n v="0"/>
    <n v="0"/>
    <m/>
    <m/>
    <n v="0"/>
    <n v="0"/>
  </r>
  <r>
    <x v="6"/>
    <s v="Southern University in Shreveport"/>
    <s v="Reclassified: met the criteria for Two-Year 2 in 2011-12, 2012-13, and 2013-14."/>
    <n v="160649"/>
    <x v="7"/>
    <s v="sem"/>
    <s v="sem"/>
    <m/>
    <m/>
    <n v="28165"/>
    <n v="29676"/>
    <n v="6743"/>
    <n v="6918"/>
    <n v="31899"/>
    <n v="33358"/>
    <n v="66807"/>
    <n v="2226.9"/>
    <n v="69952"/>
    <n v="2331.7333333333331"/>
    <n v="1458"/>
    <n v="1129"/>
    <n v="66807"/>
    <n v="69952"/>
    <m/>
    <m/>
    <m/>
    <m/>
    <m/>
    <m/>
    <m/>
    <m/>
    <n v="0"/>
    <n v="0"/>
    <n v="0"/>
    <n v="0"/>
    <m/>
    <m/>
    <n v="0"/>
    <n v="0"/>
  </r>
  <r>
    <x v="6"/>
    <s v="Capital Area Technical College"/>
    <s v="Met the criteria for Technical Institute or College 2 in 2013-14."/>
    <n v="158352"/>
    <x v="9"/>
    <s v="sem"/>
    <s v="sem"/>
    <m/>
    <m/>
    <n v="28776"/>
    <m/>
    <n v="10034"/>
    <m/>
    <n v="51143.5"/>
    <m/>
    <n v="89953.5"/>
    <n v="2998.45"/>
    <n v="0"/>
    <n v="0"/>
    <n v="14004"/>
    <n v="8479"/>
    <n v="89953.5"/>
    <n v="0"/>
    <m/>
    <m/>
    <m/>
    <m/>
    <m/>
    <m/>
    <m/>
    <m/>
    <n v="0"/>
    <n v="0"/>
    <n v="0"/>
    <n v="0"/>
    <m/>
    <m/>
    <n v="0"/>
    <n v="0"/>
  </r>
  <r>
    <x v="6"/>
    <s v="Central LA Technical College"/>
    <m/>
    <n v="158088"/>
    <x v="9"/>
    <s v="sem"/>
    <s v="sem"/>
    <m/>
    <m/>
    <n v="24698.5"/>
    <n v="22288"/>
    <n v="8354"/>
    <n v="6070"/>
    <n v="22115"/>
    <n v="22493"/>
    <n v="55167.5"/>
    <n v="1838.9166666666667"/>
    <n v="50851"/>
    <n v="1695.0333333333333"/>
    <n v="4737"/>
    <n v="5041"/>
    <n v="55167.5"/>
    <n v="50851"/>
    <m/>
    <m/>
    <m/>
    <m/>
    <m/>
    <m/>
    <m/>
    <m/>
    <n v="0"/>
    <n v="0"/>
    <n v="0"/>
    <n v="0"/>
    <m/>
    <m/>
    <n v="0"/>
    <n v="0"/>
  </r>
  <r>
    <x v="6"/>
    <s v="L.E. Fletcher Technical Community College"/>
    <m/>
    <n v="160481"/>
    <x v="9"/>
    <s v="sem"/>
    <s v="sem"/>
    <m/>
    <m/>
    <n v="19523"/>
    <n v="18803"/>
    <n v="2905"/>
    <n v="2623"/>
    <n v="23481"/>
    <n v="23173"/>
    <n v="45909"/>
    <n v="1530.3"/>
    <n v="44599"/>
    <n v="1486.6333333333334"/>
    <n v="1428"/>
    <n v="1215"/>
    <n v="45909"/>
    <n v="44599"/>
    <m/>
    <m/>
    <n v="23017"/>
    <n v="19506"/>
    <n v="9897"/>
    <n v="2270"/>
    <n v="17329"/>
    <n v="14114"/>
    <n v="50243"/>
    <n v="55.825555555555553"/>
    <n v="35890"/>
    <n v="39.87777777777778"/>
    <m/>
    <m/>
    <n v="0"/>
    <n v="0"/>
  </r>
  <r>
    <x v="6"/>
    <s v="Northshore Technical College"/>
    <m/>
    <n v="160667"/>
    <x v="9"/>
    <s v="sem"/>
    <s v="sem"/>
    <m/>
    <m/>
    <n v="26303.5"/>
    <n v="21427"/>
    <n v="5296"/>
    <n v="3978"/>
    <n v="23479"/>
    <n v="24372"/>
    <n v="55078.5"/>
    <n v="1835.95"/>
    <n v="49777"/>
    <n v="1659.2333333333333"/>
    <n v="9223"/>
    <n v="7148"/>
    <n v="55078.5"/>
    <n v="49777"/>
    <m/>
    <m/>
    <m/>
    <m/>
    <m/>
    <m/>
    <m/>
    <m/>
    <n v="0"/>
    <n v="0"/>
    <n v="0"/>
    <n v="0"/>
    <m/>
    <m/>
    <n v="0"/>
    <n v="0"/>
  </r>
  <r>
    <x v="6"/>
    <s v="Northwest LA Technical College"/>
    <m/>
    <n v="160010"/>
    <x v="9"/>
    <s v="sem"/>
    <s v="sem"/>
    <m/>
    <m/>
    <n v="25389"/>
    <n v="20928"/>
    <n v="8298"/>
    <n v="6515"/>
    <n v="18412"/>
    <n v="22663"/>
    <n v="52099"/>
    <n v="1736.6333333333334"/>
    <n v="50106"/>
    <n v="1670.2"/>
    <n v="7316"/>
    <n v="7003"/>
    <n v="52099"/>
    <n v="50106"/>
    <m/>
    <m/>
    <m/>
    <m/>
    <m/>
    <m/>
    <m/>
    <m/>
    <n v="0"/>
    <n v="0"/>
    <n v="0"/>
    <n v="0"/>
    <m/>
    <m/>
    <n v="0"/>
    <n v="0"/>
  </r>
  <r>
    <x v="6"/>
    <s v="South Central LA Technical College"/>
    <m/>
    <n v="160913"/>
    <x v="9"/>
    <s v="sem"/>
    <s v="sem"/>
    <m/>
    <m/>
    <n v="21196"/>
    <n v="18548"/>
    <n v="4624.5"/>
    <n v="3098"/>
    <n v="23576"/>
    <n v="23309"/>
    <n v="49396.5"/>
    <n v="1646.55"/>
    <n v="44955"/>
    <n v="1498.5"/>
    <n v="12077"/>
    <n v="8674"/>
    <n v="49396.5"/>
    <n v="44955"/>
    <m/>
    <m/>
    <n v="31465"/>
    <n v="28023"/>
    <n v="15976"/>
    <n v="13330"/>
    <n v="25223"/>
    <n v="19480"/>
    <n v="72664"/>
    <n v="80.737777777777779"/>
    <n v="60833"/>
    <n v="67.592222222222219"/>
    <m/>
    <m/>
    <n v="0"/>
    <n v="0"/>
  </r>
  <r>
    <x v="6"/>
    <s v="Sowela Technical Community College"/>
    <m/>
    <n v="160579"/>
    <x v="9"/>
    <s v="sem"/>
    <s v="sem"/>
    <m/>
    <m/>
    <n v="28256"/>
    <n v="29073"/>
    <n v="5669"/>
    <n v="5297"/>
    <n v="30015"/>
    <n v="34997"/>
    <n v="63940"/>
    <n v="2131.3333333333335"/>
    <n v="69367"/>
    <n v="2312.2333333333331"/>
    <n v="3138"/>
    <n v="4489"/>
    <n v="63940"/>
    <n v="69367"/>
    <m/>
    <m/>
    <m/>
    <m/>
    <m/>
    <m/>
    <n v="42"/>
    <n v="30"/>
    <n v="42"/>
    <n v="4.6666666666666669E-2"/>
    <n v="30"/>
    <n v="3.3333333333333333E-2"/>
    <m/>
    <m/>
    <n v="0"/>
    <n v="0"/>
  </r>
  <r>
    <x v="7"/>
    <s v="University of Maryland College Park"/>
    <m/>
    <n v="163286"/>
    <x v="0"/>
    <s v="sem"/>
    <s v="sem"/>
    <n v="12014"/>
    <n v="11734"/>
    <n v="366609"/>
    <n v="365727"/>
    <n v="36525"/>
    <n v="34238"/>
    <n v="375427"/>
    <n v="375175"/>
    <n v="790575"/>
    <n v="26352.5"/>
    <n v="786874"/>
    <n v="26229.133333333335"/>
    <m/>
    <m/>
    <n v="0"/>
    <n v="0"/>
    <m/>
    <m/>
    <m/>
    <m/>
    <m/>
    <m/>
    <m/>
    <m/>
    <n v="0"/>
    <n v="0"/>
    <n v="0"/>
    <n v="0"/>
    <m/>
    <m/>
    <n v="0"/>
    <n v="0"/>
  </r>
  <r>
    <x v="7"/>
    <s v="Morgan State University"/>
    <m/>
    <n v="163453"/>
    <x v="1"/>
    <s v="sem"/>
    <s v="sem"/>
    <n v="1605"/>
    <n v="1740"/>
    <n v="85647"/>
    <n v="86889"/>
    <n v="7402"/>
    <n v="5268"/>
    <n v="91104"/>
    <n v="86064"/>
    <n v="185758"/>
    <n v="6191.9333333333334"/>
    <n v="179961"/>
    <n v="5998.7"/>
    <m/>
    <m/>
    <n v="0"/>
    <n v="0"/>
    <m/>
    <m/>
    <m/>
    <m/>
    <m/>
    <m/>
    <m/>
    <m/>
    <n v="0"/>
    <n v="0"/>
    <n v="0"/>
    <n v="0"/>
    <m/>
    <m/>
    <n v="0"/>
    <n v="0"/>
  </r>
  <r>
    <x v="7"/>
    <s v="University of Maryland, Baltimore County"/>
    <m/>
    <n v="163268"/>
    <x v="1"/>
    <s v="sem"/>
    <s v="sem"/>
    <n v="5052.5"/>
    <n v="5549"/>
    <n v="137076.5"/>
    <n v="140551"/>
    <n v="18224.5"/>
    <n v="19151.5"/>
    <n v="147568.5"/>
    <n v="150105"/>
    <n v="307922"/>
    <n v="10264.066666666668"/>
    <n v="315356.5"/>
    <n v="10511.883333333333"/>
    <m/>
    <m/>
    <n v="0"/>
    <n v="0"/>
    <m/>
    <m/>
    <m/>
    <m/>
    <m/>
    <m/>
    <m/>
    <m/>
    <n v="0"/>
    <n v="0"/>
    <n v="0"/>
    <n v="0"/>
    <m/>
    <m/>
    <n v="0"/>
    <n v="0"/>
  </r>
  <r>
    <x v="7"/>
    <s v="Towson University "/>
    <m/>
    <n v="164076"/>
    <x v="2"/>
    <s v="sem"/>
    <s v="sem"/>
    <n v="7039"/>
    <n v="7350"/>
    <n v="235082"/>
    <n v="239335"/>
    <n v="26279"/>
    <n v="26793"/>
    <n v="247841"/>
    <n v="259025"/>
    <n v="516241"/>
    <n v="17208.033333333333"/>
    <n v="532503"/>
    <n v="17750.099999999999"/>
    <m/>
    <m/>
    <n v="0"/>
    <n v="0"/>
    <m/>
    <m/>
    <m/>
    <m/>
    <m/>
    <m/>
    <m/>
    <m/>
    <n v="0"/>
    <n v="0"/>
    <n v="0"/>
    <n v="0"/>
    <m/>
    <m/>
    <n v="0"/>
    <n v="0"/>
  </r>
  <r>
    <x v="7"/>
    <s v="Bowie State University "/>
    <m/>
    <n v="162007"/>
    <x v="3"/>
    <s v="sem"/>
    <s v="sem"/>
    <n v="1311"/>
    <n v="1157"/>
    <n v="54894"/>
    <n v="52275"/>
    <n v="5391"/>
    <n v="5849"/>
    <n v="56623"/>
    <n v="57791"/>
    <n v="118219"/>
    <n v="3940.6333333333332"/>
    <n v="117072"/>
    <n v="3902.4"/>
    <m/>
    <m/>
    <n v="0"/>
    <n v="0"/>
    <m/>
    <m/>
    <m/>
    <m/>
    <m/>
    <m/>
    <m/>
    <m/>
    <n v="0"/>
    <n v="0"/>
    <n v="0"/>
    <n v="0"/>
    <m/>
    <m/>
    <n v="0"/>
    <n v="0"/>
  </r>
  <r>
    <x v="7"/>
    <s v="Frostburg State University "/>
    <m/>
    <n v="162584"/>
    <x v="3"/>
    <s v="sem"/>
    <s v="sem"/>
    <n v="2314"/>
    <n v="2133.5"/>
    <n v="61273"/>
    <n v="60233"/>
    <n v="5228"/>
    <n v="5527"/>
    <n v="64609.5"/>
    <n v="64841.5"/>
    <n v="133424.5"/>
    <n v="4447.4833333333336"/>
    <n v="132735"/>
    <n v="4424.5"/>
    <m/>
    <m/>
    <n v="0"/>
    <n v="0"/>
    <m/>
    <m/>
    <m/>
    <m/>
    <m/>
    <m/>
    <m/>
    <m/>
    <n v="0"/>
    <n v="0"/>
    <n v="0"/>
    <n v="0"/>
    <m/>
    <m/>
    <n v="0"/>
    <n v="0"/>
  </r>
  <r>
    <x v="7"/>
    <s v="Salisbury University "/>
    <m/>
    <n v="163851"/>
    <x v="3"/>
    <s v="sem"/>
    <s v="sem"/>
    <n v="6633"/>
    <n v="6562"/>
    <n v="109873"/>
    <n v="109825"/>
    <n v="6883"/>
    <n v="7334"/>
    <n v="114315"/>
    <n v="114866"/>
    <n v="237704"/>
    <n v="7923.4666666666662"/>
    <n v="238587"/>
    <n v="7952.9"/>
    <m/>
    <m/>
    <n v="0"/>
    <n v="0"/>
    <m/>
    <m/>
    <m/>
    <m/>
    <m/>
    <m/>
    <m/>
    <m/>
    <n v="0"/>
    <n v="0"/>
    <n v="0"/>
    <n v="0"/>
    <m/>
    <m/>
    <n v="0"/>
    <n v="0"/>
  </r>
  <r>
    <x v="7"/>
    <s v="University of Baltimore"/>
    <m/>
    <n v="161873"/>
    <x v="3"/>
    <s v="sem"/>
    <s v="sem"/>
    <n v="51"/>
    <n v="98"/>
    <n v="32983"/>
    <n v="33698"/>
    <n v="4313"/>
    <n v="4647"/>
    <n v="36346"/>
    <n v="37187"/>
    <n v="73693"/>
    <n v="2456.4333333333334"/>
    <n v="75630"/>
    <n v="2521"/>
    <m/>
    <m/>
    <n v="0"/>
    <n v="0"/>
    <m/>
    <m/>
    <m/>
    <m/>
    <m/>
    <m/>
    <m/>
    <m/>
    <n v="0"/>
    <n v="0"/>
    <n v="0"/>
    <n v="0"/>
    <m/>
    <m/>
    <n v="0"/>
    <n v="0"/>
  </r>
  <r>
    <x v="7"/>
    <s v="University of Maryland Eastern Shore "/>
    <m/>
    <n v="163338"/>
    <x v="3"/>
    <s v="sem"/>
    <s v="sem"/>
    <n v="1432.5"/>
    <n v="1329.5"/>
    <n v="50953"/>
    <n v="49996.5"/>
    <n v="4366"/>
    <n v="4028"/>
    <n v="53763"/>
    <n v="50662.5"/>
    <n v="110514.5"/>
    <n v="3683.8166666666666"/>
    <n v="106016.5"/>
    <n v="3533.8833333333332"/>
    <m/>
    <m/>
    <n v="0"/>
    <n v="0"/>
    <m/>
    <m/>
    <m/>
    <m/>
    <m/>
    <m/>
    <m/>
    <m/>
    <n v="0"/>
    <n v="0"/>
    <n v="0"/>
    <n v="0"/>
    <m/>
    <m/>
    <n v="0"/>
    <n v="0"/>
  </r>
  <r>
    <x v="7"/>
    <s v="Coppin State University"/>
    <s v="Met the criteria for Four-Year 4 in 2013-14."/>
    <n v="162283"/>
    <x v="4"/>
    <s v="sem"/>
    <s v="sem"/>
    <n v="431"/>
    <n v="542"/>
    <n v="38483"/>
    <n v="36739"/>
    <n v="5144"/>
    <n v="4527"/>
    <n v="41635"/>
    <n v="38863"/>
    <n v="85693"/>
    <n v="2856.4333333333334"/>
    <n v="80671"/>
    <n v="2689.0333333333333"/>
    <m/>
    <m/>
    <n v="0"/>
    <n v="0"/>
    <m/>
    <m/>
    <m/>
    <m/>
    <m/>
    <m/>
    <m/>
    <m/>
    <n v="0"/>
    <n v="0"/>
    <n v="0"/>
    <n v="0"/>
    <m/>
    <m/>
    <n v="0"/>
    <n v="0"/>
  </r>
  <r>
    <x v="7"/>
    <s v="Saint Mary's College of Maryland"/>
    <m/>
    <n v="163912"/>
    <x v="5"/>
    <s v="sem"/>
    <s v="sem"/>
    <m/>
    <n v="0"/>
    <n v="31178"/>
    <n v="27690"/>
    <n v="538"/>
    <n v="338"/>
    <n v="31951"/>
    <n v="27948"/>
    <n v="63667"/>
    <n v="2122.2333333333331"/>
    <n v="55976"/>
    <n v="1865.8666666666666"/>
    <m/>
    <m/>
    <n v="0"/>
    <n v="0"/>
    <m/>
    <m/>
    <m/>
    <m/>
    <m/>
    <m/>
    <m/>
    <m/>
    <n v="0"/>
    <n v="0"/>
    <n v="0"/>
    <n v="0"/>
    <m/>
    <m/>
    <n v="0"/>
    <n v="0"/>
  </r>
  <r>
    <x v="7"/>
    <s v="Anne Arundel Community College "/>
    <m/>
    <n v="161767"/>
    <x v="6"/>
    <s v="sem"/>
    <s v="sem"/>
    <n v="4135"/>
    <n v="3936"/>
    <n v="137168.5"/>
    <n v="130866"/>
    <n v="34122.5"/>
    <n v="30510.5"/>
    <n v="148857"/>
    <n v="138688"/>
    <n v="324283"/>
    <n v="10809.433333333332"/>
    <n v="304000.5"/>
    <n v="10133.35"/>
    <m/>
    <m/>
    <n v="0"/>
    <n v="0"/>
    <m/>
    <m/>
    <m/>
    <m/>
    <m/>
    <m/>
    <m/>
    <m/>
    <n v="0"/>
    <n v="0"/>
    <n v="0"/>
    <n v="0"/>
    <m/>
    <m/>
    <n v="0"/>
    <n v="0"/>
  </r>
  <r>
    <x v="7"/>
    <s v="College of Southern Maryland"/>
    <m/>
    <n v="162122"/>
    <x v="6"/>
    <s v="sem"/>
    <s v="sem"/>
    <m/>
    <n v="789"/>
    <n v="74859"/>
    <n v="72505"/>
    <n v="16741"/>
    <n v="16427"/>
    <n v="80518"/>
    <n v="77346"/>
    <n v="172118"/>
    <n v="5737.2666666666664"/>
    <n v="167067"/>
    <n v="5568.9"/>
    <m/>
    <m/>
    <n v="0"/>
    <n v="0"/>
    <m/>
    <m/>
    <m/>
    <m/>
    <m/>
    <m/>
    <m/>
    <m/>
    <n v="0"/>
    <n v="0"/>
    <n v="0"/>
    <n v="0"/>
    <m/>
    <m/>
    <n v="0"/>
    <n v="0"/>
  </r>
  <r>
    <x v="7"/>
    <s v="Community College of Baltimore County (all campuses)"/>
    <m/>
    <n v="434672"/>
    <x v="6"/>
    <s v="sem"/>
    <s v="sem"/>
    <n v="11107"/>
    <n v="10274"/>
    <n v="198161"/>
    <n v="189005.5"/>
    <n v="40957.5"/>
    <n v="40920"/>
    <n v="217863.5"/>
    <n v="209872.5"/>
    <n v="468089"/>
    <n v="15602.966666666667"/>
    <n v="450072"/>
    <n v="15002.4"/>
    <m/>
    <m/>
    <n v="0"/>
    <n v="0"/>
    <m/>
    <m/>
    <m/>
    <m/>
    <m/>
    <m/>
    <m/>
    <m/>
    <n v="0"/>
    <n v="0"/>
    <n v="0"/>
    <n v="0"/>
    <m/>
    <m/>
    <n v="0"/>
    <n v="0"/>
  </r>
  <r>
    <x v="7"/>
    <s v="Howard Community College "/>
    <m/>
    <n v="162779"/>
    <x v="6"/>
    <s v="sem"/>
    <s v="sem"/>
    <n v="6540"/>
    <n v="6220"/>
    <n v="79799"/>
    <n v="81678"/>
    <n v="19276"/>
    <n v="19026"/>
    <n v="88831"/>
    <n v="90266"/>
    <n v="194446"/>
    <n v="6481.5333333333338"/>
    <n v="197190"/>
    <n v="6573"/>
    <m/>
    <m/>
    <n v="0"/>
    <n v="0"/>
    <m/>
    <m/>
    <m/>
    <m/>
    <m/>
    <m/>
    <m/>
    <m/>
    <n v="0"/>
    <n v="0"/>
    <n v="0"/>
    <n v="0"/>
    <m/>
    <m/>
    <n v="0"/>
    <n v="0"/>
  </r>
  <r>
    <x v="7"/>
    <s v="Montgomery College (all campuses)"/>
    <m/>
    <n v="163426"/>
    <x v="6"/>
    <s v="sem"/>
    <s v="sem"/>
    <n v="4482"/>
    <n v="4505"/>
    <n v="302180.2"/>
    <n v="226075"/>
    <n v="163984.6"/>
    <n v="58152"/>
    <n v="315400.7"/>
    <n v="237005"/>
    <n v="786047.5"/>
    <n v="26201.583333333332"/>
    <n v="525737"/>
    <n v="17524.566666666666"/>
    <m/>
    <m/>
    <n v="0"/>
    <n v="0"/>
    <m/>
    <m/>
    <m/>
    <m/>
    <m/>
    <m/>
    <m/>
    <m/>
    <n v="0"/>
    <n v="0"/>
    <n v="0"/>
    <n v="0"/>
    <m/>
    <m/>
    <n v="0"/>
    <n v="0"/>
  </r>
  <r>
    <x v="7"/>
    <s v="Prince George's Community College "/>
    <m/>
    <n v="163657"/>
    <x v="6"/>
    <s v="sem"/>
    <s v="sem"/>
    <m/>
    <n v="0"/>
    <n v="165584"/>
    <n v="163079"/>
    <n v="52135"/>
    <n v="52655"/>
    <n v="161132"/>
    <n v="157883"/>
    <n v="378851"/>
    <n v="12628.366666666667"/>
    <n v="373617"/>
    <n v="12453.9"/>
    <m/>
    <m/>
    <n v="0"/>
    <n v="0"/>
    <m/>
    <m/>
    <m/>
    <m/>
    <m/>
    <m/>
    <m/>
    <m/>
    <n v="0"/>
    <n v="0"/>
    <n v="0"/>
    <n v="0"/>
    <m/>
    <m/>
    <n v="0"/>
    <n v="0"/>
  </r>
  <r>
    <x v="7"/>
    <s v="Allegany College of Maryland"/>
    <m/>
    <n v="161688"/>
    <x v="7"/>
    <s v="sem"/>
    <s v="sem"/>
    <m/>
    <n v="0"/>
    <n v="34173"/>
    <n v="31488"/>
    <n v="5196"/>
    <n v="4469"/>
    <n v="36258"/>
    <n v="32736"/>
    <n v="75627"/>
    <n v="2520.9"/>
    <n v="68693"/>
    <n v="2289.7666666666669"/>
    <m/>
    <m/>
    <n v="0"/>
    <n v="0"/>
    <m/>
    <m/>
    <m/>
    <m/>
    <m/>
    <m/>
    <m/>
    <m/>
    <n v="0"/>
    <n v="0"/>
    <n v="0"/>
    <n v="0"/>
    <m/>
    <m/>
    <n v="0"/>
    <n v="0"/>
  </r>
  <r>
    <x v="7"/>
    <s v="Baltimore City Community College"/>
    <m/>
    <n v="161864"/>
    <x v="7"/>
    <s v="sem"/>
    <s v="sem"/>
    <n v="1619"/>
    <n v="1577"/>
    <n v="44922"/>
    <n v="48184"/>
    <n v="8584"/>
    <n v="9104"/>
    <n v="50293"/>
    <n v="48087"/>
    <n v="105418"/>
    <n v="3513.9333333333334"/>
    <n v="106952"/>
    <n v="3565.0666666666666"/>
    <m/>
    <m/>
    <n v="0"/>
    <n v="0"/>
    <m/>
    <m/>
    <m/>
    <m/>
    <m/>
    <m/>
    <m/>
    <m/>
    <n v="0"/>
    <n v="0"/>
    <n v="0"/>
    <n v="0"/>
    <m/>
    <m/>
    <n v="0"/>
    <n v="0"/>
  </r>
  <r>
    <x v="7"/>
    <s v="Carroll Community College"/>
    <m/>
    <n v="405872"/>
    <x v="7"/>
    <s v="sem"/>
    <s v="sem"/>
    <n v="2066.5"/>
    <n v="2165"/>
    <n v="33666"/>
    <n v="33416"/>
    <n v="9631.5"/>
    <n v="6118"/>
    <n v="38552"/>
    <n v="35484"/>
    <n v="83916"/>
    <n v="2797.2"/>
    <n v="77183"/>
    <n v="2572.7666666666669"/>
    <m/>
    <m/>
    <n v="0"/>
    <n v="0"/>
    <m/>
    <m/>
    <m/>
    <m/>
    <m/>
    <m/>
    <m/>
    <m/>
    <n v="0"/>
    <n v="0"/>
    <n v="0"/>
    <n v="0"/>
    <m/>
    <m/>
    <n v="0"/>
    <n v="0"/>
  </r>
  <r>
    <x v="7"/>
    <s v="Frederick Community College "/>
    <m/>
    <n v="162557"/>
    <x v="7"/>
    <s v="sem"/>
    <s v="sem"/>
    <n v="1892"/>
    <n v="1791"/>
    <n v="52773"/>
    <n v="55302"/>
    <n v="11702"/>
    <n v="8111"/>
    <n v="54083"/>
    <n v="54280"/>
    <n v="120450"/>
    <n v="4015"/>
    <n v="119484"/>
    <n v="3982.8"/>
    <m/>
    <m/>
    <n v="0"/>
    <n v="0"/>
    <m/>
    <m/>
    <m/>
    <m/>
    <m/>
    <m/>
    <m/>
    <m/>
    <n v="0"/>
    <n v="0"/>
    <n v="0"/>
    <n v="0"/>
    <m/>
    <m/>
    <n v="0"/>
    <n v="0"/>
  </r>
  <r>
    <x v="7"/>
    <s v="Hagerstown Community College "/>
    <m/>
    <n v="162690"/>
    <x v="7"/>
    <s v="sem"/>
    <s v="sem"/>
    <m/>
    <n v="0"/>
    <n v="40067"/>
    <n v="40377"/>
    <n v="12217"/>
    <n v="12355"/>
    <n v="43516"/>
    <n v="42043"/>
    <n v="95800"/>
    <n v="3193.3333333333335"/>
    <n v="94775"/>
    <n v="3159.1666666666665"/>
    <m/>
    <m/>
    <n v="0"/>
    <n v="0"/>
    <m/>
    <m/>
    <m/>
    <m/>
    <m/>
    <m/>
    <m/>
    <m/>
    <n v="0"/>
    <n v="0"/>
    <n v="0"/>
    <n v="0"/>
    <m/>
    <m/>
    <n v="0"/>
    <n v="0"/>
  </r>
  <r>
    <x v="7"/>
    <s v="Harford Community College "/>
    <m/>
    <n v="162706"/>
    <x v="7"/>
    <s v="sem"/>
    <s v="sem"/>
    <n v="2342"/>
    <n v="2300"/>
    <n v="56942"/>
    <n v="55039.5"/>
    <n v="12123"/>
    <n v="11900"/>
    <n v="64055.5"/>
    <n v="61796"/>
    <n v="135462.5"/>
    <n v="4515.416666666667"/>
    <n v="131035.5"/>
    <n v="4367.8500000000004"/>
    <m/>
    <m/>
    <n v="0"/>
    <n v="0"/>
    <m/>
    <m/>
    <m/>
    <m/>
    <m/>
    <m/>
    <m/>
    <m/>
    <n v="0"/>
    <n v="0"/>
    <n v="0"/>
    <n v="0"/>
    <m/>
    <m/>
    <n v="0"/>
    <n v="0"/>
  </r>
  <r>
    <x v="7"/>
    <s v="Wor-Wic Community College "/>
    <m/>
    <n v="164313"/>
    <x v="7"/>
    <s v="sem"/>
    <s v="sem"/>
    <m/>
    <n v="0"/>
    <n v="31440"/>
    <n v="27327.5"/>
    <n v="6593"/>
    <n v="6549"/>
    <n v="33457.5"/>
    <n v="30520.5"/>
    <n v="71490.5"/>
    <n v="2383.0166666666669"/>
    <n v="64397"/>
    <n v="2146.5666666666666"/>
    <m/>
    <m/>
    <n v="0"/>
    <n v="0"/>
    <m/>
    <m/>
    <m/>
    <m/>
    <m/>
    <m/>
    <m/>
    <m/>
    <n v="0"/>
    <n v="0"/>
    <n v="0"/>
    <n v="0"/>
    <m/>
    <m/>
    <n v="0"/>
    <n v="0"/>
  </r>
  <r>
    <x v="7"/>
    <s v="Cecil Community College "/>
    <m/>
    <n v="162104"/>
    <x v="8"/>
    <s v="sem"/>
    <s v="sem"/>
    <m/>
    <n v="0"/>
    <n v="21772"/>
    <n v="21953.5"/>
    <n v="3982"/>
    <n v="3578"/>
    <n v="25100"/>
    <n v="23755"/>
    <n v="50854"/>
    <n v="1695.1333333333334"/>
    <n v="49286.5"/>
    <n v="1642.8833333333334"/>
    <m/>
    <m/>
    <n v="0"/>
    <n v="0"/>
    <m/>
    <m/>
    <m/>
    <m/>
    <m/>
    <m/>
    <m/>
    <m/>
    <n v="0"/>
    <n v="0"/>
    <n v="0"/>
    <n v="0"/>
    <m/>
    <m/>
    <n v="0"/>
    <n v="0"/>
  </r>
  <r>
    <x v="7"/>
    <s v="Chesapeake College "/>
    <m/>
    <n v="162168"/>
    <x v="8"/>
    <s v="sem"/>
    <s v="sem"/>
    <m/>
    <n v="0"/>
    <n v="23661"/>
    <n v="20307"/>
    <n v="2911"/>
    <n v="2704"/>
    <n v="23263"/>
    <n v="22231"/>
    <n v="49835"/>
    <n v="1661.1666666666667"/>
    <n v="45242"/>
    <n v="1508.0666666666666"/>
    <m/>
    <m/>
    <n v="0"/>
    <n v="0"/>
    <m/>
    <m/>
    <m/>
    <m/>
    <m/>
    <m/>
    <m/>
    <m/>
    <n v="0"/>
    <n v="0"/>
    <n v="0"/>
    <n v="0"/>
    <m/>
    <m/>
    <n v="0"/>
    <n v="0"/>
  </r>
  <r>
    <x v="7"/>
    <s v="Garrett College "/>
    <m/>
    <n v="162609"/>
    <x v="8"/>
    <s v="sem"/>
    <s v="sem"/>
    <n v="138"/>
    <n v="81"/>
    <n v="10167"/>
    <n v="9013"/>
    <n v="617"/>
    <n v="596"/>
    <n v="10956"/>
    <n v="9812"/>
    <n v="21878"/>
    <n v="729.26666666666665"/>
    <n v="19502"/>
    <n v="650.06666666666672"/>
    <m/>
    <m/>
    <n v="0"/>
    <n v="0"/>
    <m/>
    <m/>
    <m/>
    <m/>
    <m/>
    <m/>
    <m/>
    <m/>
    <n v="0"/>
    <n v="0"/>
    <n v="0"/>
    <n v="0"/>
    <m/>
    <m/>
    <n v="0"/>
    <n v="0"/>
  </r>
  <r>
    <x v="8"/>
    <s v="Mississippi State University"/>
    <m/>
    <n v="176080"/>
    <x v="0"/>
    <s v="sem"/>
    <m/>
    <m/>
    <m/>
    <n v="196347"/>
    <n v="195541"/>
    <n v="36323"/>
    <n v="32796"/>
    <n v="216576"/>
    <n v="218812"/>
    <n v="449246"/>
    <n v="14974.866666666667"/>
    <n v="447149"/>
    <n v="14904.966666666667"/>
    <m/>
    <m/>
    <n v="0"/>
    <n v="0"/>
    <m/>
    <m/>
    <m/>
    <m/>
    <m/>
    <m/>
    <m/>
    <m/>
    <n v="0"/>
    <n v="0"/>
    <n v="0"/>
    <n v="0"/>
    <m/>
    <m/>
    <n v="0"/>
    <n v="0"/>
  </r>
  <r>
    <x v="8"/>
    <s v="University of Southern Mississippi"/>
    <m/>
    <n v="176372"/>
    <x v="0"/>
    <s v="sem"/>
    <m/>
    <m/>
    <m/>
    <n v="150178"/>
    <n v="160644"/>
    <n v="30038"/>
    <n v="29078"/>
    <n v="170608"/>
    <n v="174255"/>
    <n v="350824"/>
    <n v="11694.133333333333"/>
    <n v="363977"/>
    <n v="12132.566666666668"/>
    <m/>
    <m/>
    <n v="0"/>
    <n v="0"/>
    <m/>
    <m/>
    <m/>
    <m/>
    <m/>
    <m/>
    <m/>
    <m/>
    <n v="0"/>
    <n v="0"/>
    <n v="0"/>
    <n v="0"/>
    <m/>
    <m/>
    <n v="0"/>
    <n v="0"/>
  </r>
  <r>
    <x v="8"/>
    <s v="Jackson State University "/>
    <m/>
    <n v="175856"/>
    <x v="1"/>
    <s v="sem"/>
    <m/>
    <m/>
    <m/>
    <n v="75959.5"/>
    <n v="73905"/>
    <n v="13757"/>
    <n v="12104"/>
    <n v="75741"/>
    <n v="78361"/>
    <n v="165457.5"/>
    <n v="5515.25"/>
    <n v="164370"/>
    <n v="5479"/>
    <m/>
    <m/>
    <n v="0"/>
    <n v="0"/>
    <m/>
    <m/>
    <m/>
    <m/>
    <m/>
    <m/>
    <m/>
    <m/>
    <n v="0"/>
    <n v="0"/>
    <n v="0"/>
    <n v="0"/>
    <m/>
    <m/>
    <n v="0"/>
    <n v="0"/>
  </r>
  <r>
    <x v="8"/>
    <s v="University of Mississippi"/>
    <m/>
    <n v="176017"/>
    <x v="1"/>
    <s v="sem"/>
    <m/>
    <m/>
    <m/>
    <n v="202880"/>
    <n v="206851"/>
    <n v="43436"/>
    <n v="40669"/>
    <n v="216740"/>
    <n v="224583"/>
    <n v="463056"/>
    <n v="15435.2"/>
    <n v="472103"/>
    <n v="15736.766666666666"/>
    <m/>
    <m/>
    <n v="0"/>
    <n v="0"/>
    <m/>
    <m/>
    <m/>
    <m/>
    <m/>
    <m/>
    <m/>
    <m/>
    <n v="0"/>
    <n v="0"/>
    <n v="0"/>
    <n v="0"/>
    <m/>
    <m/>
    <n v="0"/>
    <n v="0"/>
  </r>
  <r>
    <x v="8"/>
    <s v="Alcorn State University"/>
    <m/>
    <n v="175342"/>
    <x v="3"/>
    <s v="sem"/>
    <m/>
    <m/>
    <m/>
    <n v="39157"/>
    <n v="38769"/>
    <n v="8426"/>
    <n v="6567"/>
    <n v="42493"/>
    <n v="40951"/>
    <n v="90076"/>
    <n v="3002.5333333333333"/>
    <n v="86287"/>
    <n v="2876.2333333333331"/>
    <m/>
    <m/>
    <n v="0"/>
    <n v="0"/>
    <m/>
    <m/>
    <m/>
    <m/>
    <m/>
    <m/>
    <m/>
    <m/>
    <n v="0"/>
    <n v="0"/>
    <n v="0"/>
    <n v="0"/>
    <m/>
    <m/>
    <n v="0"/>
    <n v="0"/>
  </r>
  <r>
    <x v="8"/>
    <s v="Delta State University"/>
    <m/>
    <n v="175616"/>
    <x v="3"/>
    <s v="sem"/>
    <m/>
    <m/>
    <m/>
    <n v="32117"/>
    <n v="29971"/>
    <n v="5632"/>
    <n v="4600"/>
    <n v="33378"/>
    <n v="33137"/>
    <n v="71127"/>
    <n v="2370.9"/>
    <n v="67708"/>
    <n v="2256.9333333333334"/>
    <m/>
    <m/>
    <n v="0"/>
    <n v="0"/>
    <m/>
    <m/>
    <m/>
    <m/>
    <m/>
    <m/>
    <m/>
    <m/>
    <n v="0"/>
    <n v="0"/>
    <n v="0"/>
    <n v="0"/>
    <m/>
    <m/>
    <n v="0"/>
    <n v="0"/>
  </r>
  <r>
    <x v="8"/>
    <s v="Mississippi Valley State University"/>
    <m/>
    <n v="176044"/>
    <x v="3"/>
    <s v="sem"/>
    <m/>
    <m/>
    <m/>
    <n v="25107"/>
    <n v="24094"/>
    <n v="5353"/>
    <n v="5855"/>
    <n v="25041"/>
    <n v="25221"/>
    <n v="55501"/>
    <n v="1850.0333333333333"/>
    <n v="55170"/>
    <n v="1839"/>
    <m/>
    <m/>
    <n v="0"/>
    <n v="0"/>
    <m/>
    <m/>
    <m/>
    <m/>
    <m/>
    <m/>
    <m/>
    <m/>
    <n v="0"/>
    <n v="0"/>
    <n v="0"/>
    <n v="0"/>
    <m/>
    <m/>
    <n v="0"/>
    <n v="0"/>
  </r>
  <r>
    <x v="8"/>
    <s v="Mississippi University for Women"/>
    <m/>
    <n v="176035"/>
    <x v="4"/>
    <s v="sem"/>
    <m/>
    <m/>
    <m/>
    <n v="28031"/>
    <n v="29570"/>
    <n v="9827"/>
    <n v="8684"/>
    <n v="30461"/>
    <n v="29825"/>
    <n v="68319"/>
    <n v="2277.3000000000002"/>
    <n v="68079"/>
    <n v="2269.3000000000002"/>
    <m/>
    <m/>
    <n v="0"/>
    <n v="0"/>
    <m/>
    <m/>
    <m/>
    <m/>
    <m/>
    <m/>
    <m/>
    <m/>
    <n v="0"/>
    <n v="0"/>
    <n v="0"/>
    <n v="0"/>
    <m/>
    <m/>
    <n v="0"/>
    <n v="0"/>
  </r>
  <r>
    <x v="8"/>
    <s v="Hinds Community College "/>
    <m/>
    <n v="175786"/>
    <x v="6"/>
    <s v="sem"/>
    <s v="sem"/>
    <m/>
    <m/>
    <n v="129154"/>
    <n v="124373"/>
    <n v="24987"/>
    <n v="23076"/>
    <n v="143099"/>
    <n v="143579"/>
    <n v="297240"/>
    <n v="9908"/>
    <n v="291028"/>
    <n v="9700.9333333333325"/>
    <n v="6396"/>
    <n v="8787"/>
    <n v="297240"/>
    <n v="291028"/>
    <m/>
    <m/>
    <m/>
    <m/>
    <m/>
    <m/>
    <m/>
    <m/>
    <n v="0"/>
    <n v="0"/>
    <n v="0"/>
    <n v="0"/>
    <m/>
    <m/>
    <n v="0"/>
    <n v="0"/>
  </r>
  <r>
    <x v="8"/>
    <s v="Itawamba Community College "/>
    <m/>
    <n v="175829"/>
    <x v="6"/>
    <s v="sem"/>
    <s v="sem"/>
    <m/>
    <m/>
    <n v="77365"/>
    <n v="68038"/>
    <n v="10862"/>
    <n v="8609"/>
    <n v="78218"/>
    <n v="75201"/>
    <n v="166445"/>
    <n v="5548.166666666667"/>
    <n v="151848"/>
    <n v="5061.6000000000004"/>
    <n v="1187"/>
    <n v="1508"/>
    <n v="166445"/>
    <n v="151848"/>
    <m/>
    <m/>
    <m/>
    <m/>
    <m/>
    <m/>
    <m/>
    <m/>
    <n v="0"/>
    <n v="0"/>
    <n v="0"/>
    <n v="0"/>
    <m/>
    <m/>
    <n v="0"/>
    <n v="0"/>
  </r>
  <r>
    <x v="8"/>
    <s v="Mississippi Gulf Coast Community College "/>
    <m/>
    <n v="176071"/>
    <x v="6"/>
    <s v="sem"/>
    <s v="sem"/>
    <n v="231"/>
    <n v="321"/>
    <n v="109179"/>
    <n v="104386"/>
    <n v="24710"/>
    <n v="22591"/>
    <n v="118537"/>
    <n v="119819"/>
    <n v="252657"/>
    <n v="8421.9"/>
    <n v="247117"/>
    <n v="8237.2333333333336"/>
    <n v="2157"/>
    <n v="2754"/>
    <n v="252657"/>
    <n v="247117"/>
    <m/>
    <m/>
    <m/>
    <m/>
    <m/>
    <m/>
    <m/>
    <m/>
    <n v="0"/>
    <n v="0"/>
    <n v="0"/>
    <n v="0"/>
    <m/>
    <m/>
    <n v="0"/>
    <n v="0"/>
  </r>
  <r>
    <x v="8"/>
    <s v="Northwest Mississippi Community College "/>
    <m/>
    <n v="176178"/>
    <x v="6"/>
    <s v="sem"/>
    <s v="sem"/>
    <m/>
    <m/>
    <n v="92151"/>
    <n v="87255"/>
    <n v="16932"/>
    <n v="15502"/>
    <n v="96143"/>
    <n v="85751"/>
    <n v="205226"/>
    <n v="6840.8666666666668"/>
    <n v="188508"/>
    <n v="6283.6"/>
    <n v="1327"/>
    <n v="1727"/>
    <n v="205226"/>
    <n v="188508"/>
    <m/>
    <m/>
    <m/>
    <m/>
    <m/>
    <m/>
    <m/>
    <m/>
    <n v="0"/>
    <n v="0"/>
    <n v="0"/>
    <n v="0"/>
    <m/>
    <m/>
    <n v="0"/>
    <n v="0"/>
  </r>
  <r>
    <x v="8"/>
    <s v="Copiah-Lincoln Community College "/>
    <m/>
    <n v="175573"/>
    <x v="7"/>
    <s v="sem"/>
    <s v="sem"/>
    <m/>
    <m/>
    <n v="39502"/>
    <n v="37195"/>
    <n v="6859"/>
    <n v="6714"/>
    <n v="41919"/>
    <n v="38918"/>
    <n v="88280"/>
    <n v="2942.6666666666665"/>
    <n v="82827"/>
    <n v="2760.9"/>
    <n v="420"/>
    <n v="2437"/>
    <n v="88280"/>
    <n v="82827"/>
    <m/>
    <m/>
    <m/>
    <m/>
    <m/>
    <m/>
    <m/>
    <m/>
    <n v="0"/>
    <n v="0"/>
    <n v="0"/>
    <n v="0"/>
    <m/>
    <m/>
    <n v="0"/>
    <n v="0"/>
  </r>
  <r>
    <x v="8"/>
    <s v="East Central Community College "/>
    <m/>
    <n v="175643"/>
    <x v="7"/>
    <s v="sem"/>
    <s v="sem"/>
    <m/>
    <m/>
    <n v="29552"/>
    <n v="27838"/>
    <n v="6374"/>
    <n v="4634"/>
    <n v="32007"/>
    <n v="31802"/>
    <n v="67933"/>
    <n v="2264.4333333333334"/>
    <n v="64274"/>
    <n v="2142.4666666666667"/>
    <n v="1251"/>
    <n v="1475"/>
    <n v="67933"/>
    <n v="64274"/>
    <m/>
    <m/>
    <m/>
    <m/>
    <m/>
    <m/>
    <m/>
    <m/>
    <n v="0"/>
    <n v="0"/>
    <n v="0"/>
    <n v="0"/>
    <m/>
    <m/>
    <n v="0"/>
    <n v="0"/>
  </r>
  <r>
    <x v="8"/>
    <s v="East Mississippi Community College "/>
    <m/>
    <n v="175652"/>
    <x v="7"/>
    <s v="sem"/>
    <s v="sem"/>
    <m/>
    <m/>
    <n v="50856"/>
    <n v="50935"/>
    <n v="13061"/>
    <n v="12174"/>
    <n v="56450"/>
    <n v="54956"/>
    <n v="120367"/>
    <n v="4012.2333333333331"/>
    <n v="118065"/>
    <n v="3935.5"/>
    <n v="1426"/>
    <n v="1539"/>
    <n v="120367"/>
    <n v="118065"/>
    <m/>
    <m/>
    <m/>
    <m/>
    <m/>
    <m/>
    <m/>
    <m/>
    <n v="0"/>
    <n v="0"/>
    <n v="0"/>
    <n v="0"/>
    <m/>
    <m/>
    <n v="0"/>
    <n v="0"/>
  </r>
  <r>
    <x v="8"/>
    <s v="Holmes Community College "/>
    <s v="Met criteria for Two-Year 1 in 2012-13 and 2013-14."/>
    <n v="175810"/>
    <x v="7"/>
    <s v="sem"/>
    <s v="sem"/>
    <m/>
    <m/>
    <n v="65335"/>
    <n v="65102"/>
    <n v="16641"/>
    <n v="15814"/>
    <n v="74724"/>
    <n v="70441"/>
    <n v="156700"/>
    <n v="5223.333333333333"/>
    <n v="151357"/>
    <n v="5045.2333333333336"/>
    <n v="1619"/>
    <n v="1892"/>
    <n v="156700"/>
    <n v="151357"/>
    <m/>
    <m/>
    <m/>
    <m/>
    <m/>
    <m/>
    <m/>
    <m/>
    <n v="0"/>
    <n v="0"/>
    <n v="0"/>
    <n v="0"/>
    <m/>
    <m/>
    <n v="0"/>
    <n v="0"/>
  </r>
  <r>
    <x v="8"/>
    <s v="Jones County Junior College "/>
    <m/>
    <n v="175883"/>
    <x v="7"/>
    <s v="sem"/>
    <s v="sem"/>
    <m/>
    <m/>
    <n v="51242"/>
    <n v="50117"/>
    <n v="10469"/>
    <n v="10557"/>
    <n v="56224"/>
    <n v="60756"/>
    <n v="117935"/>
    <n v="3931.1666666666665"/>
    <n v="121430"/>
    <n v="4047.6666666666665"/>
    <n v="1729"/>
    <n v="2608"/>
    <n v="117935"/>
    <n v="121430"/>
    <m/>
    <m/>
    <m/>
    <m/>
    <m/>
    <m/>
    <m/>
    <m/>
    <n v="0"/>
    <n v="0"/>
    <n v="0"/>
    <n v="0"/>
    <m/>
    <m/>
    <n v="0"/>
    <n v="0"/>
  </r>
  <r>
    <x v="8"/>
    <s v="Meridian Community College "/>
    <m/>
    <n v="175935"/>
    <x v="7"/>
    <s v="sem"/>
    <s v="sem"/>
    <m/>
    <m/>
    <n v="43057.5"/>
    <n v="39695"/>
    <n v="7573"/>
    <n v="6673"/>
    <n v="45047.5"/>
    <n v="42458"/>
    <n v="95678"/>
    <n v="3189.2666666666669"/>
    <n v="88826"/>
    <n v="2960.8666666666668"/>
    <n v="663"/>
    <n v="821"/>
    <n v="95678"/>
    <n v="88826"/>
    <m/>
    <m/>
    <m/>
    <m/>
    <m/>
    <m/>
    <m/>
    <m/>
    <n v="0"/>
    <n v="0"/>
    <n v="0"/>
    <n v="0"/>
    <m/>
    <m/>
    <n v="0"/>
    <n v="0"/>
  </r>
  <r>
    <x v="8"/>
    <s v="Mississippi Delta Community College "/>
    <m/>
    <n v="176008"/>
    <x v="7"/>
    <s v="sem"/>
    <s v="sem"/>
    <m/>
    <m/>
    <n v="38237"/>
    <n v="35602"/>
    <n v="6047"/>
    <n v="5019"/>
    <n v="38367"/>
    <n v="37699"/>
    <n v="82651"/>
    <n v="2755.0333333333333"/>
    <n v="78320"/>
    <n v="2610.6666666666665"/>
    <n v="1394"/>
    <n v="1127"/>
    <n v="82651"/>
    <n v="78320"/>
    <m/>
    <m/>
    <m/>
    <m/>
    <m/>
    <m/>
    <m/>
    <m/>
    <n v="0"/>
    <n v="0"/>
    <n v="0"/>
    <n v="0"/>
    <m/>
    <m/>
    <n v="0"/>
    <n v="0"/>
  </r>
  <r>
    <x v="8"/>
    <s v="Northeast Mississippi Community College "/>
    <m/>
    <n v="176169"/>
    <x v="7"/>
    <s v="sem"/>
    <s v="sem"/>
    <m/>
    <m/>
    <n v="42980"/>
    <n v="39416"/>
    <n v="4311"/>
    <n v="3638"/>
    <n v="44847"/>
    <n v="42213"/>
    <n v="92138"/>
    <n v="3071.2666666666669"/>
    <n v="85267"/>
    <n v="2842.2333333333331"/>
    <n v="954"/>
    <n v="665"/>
    <n v="92138"/>
    <n v="85267"/>
    <m/>
    <m/>
    <m/>
    <m/>
    <m/>
    <m/>
    <m/>
    <m/>
    <n v="0"/>
    <n v="0"/>
    <n v="0"/>
    <n v="0"/>
    <m/>
    <m/>
    <n v="0"/>
    <n v="0"/>
  </r>
  <r>
    <x v="8"/>
    <s v="Pearl River Community College "/>
    <m/>
    <n v="176239"/>
    <x v="7"/>
    <s v="sem"/>
    <s v="sem"/>
    <m/>
    <m/>
    <n v="53088"/>
    <n v="49974"/>
    <n v="9651"/>
    <n v="8844"/>
    <n v="55101"/>
    <n v="53674"/>
    <n v="117840"/>
    <n v="3928"/>
    <n v="112492"/>
    <n v="3749.7333333333331"/>
    <n v="1146"/>
    <n v="1871"/>
    <n v="117840"/>
    <n v="112492"/>
    <m/>
    <m/>
    <m/>
    <m/>
    <m/>
    <m/>
    <m/>
    <m/>
    <n v="0"/>
    <n v="0"/>
    <n v="0"/>
    <n v="0"/>
    <m/>
    <m/>
    <n v="0"/>
    <n v="0"/>
  </r>
  <r>
    <x v="8"/>
    <s v="Coahoma Community College "/>
    <m/>
    <n v="175519"/>
    <x v="8"/>
    <s v="sem"/>
    <s v="sem"/>
    <m/>
    <m/>
    <n v="27350"/>
    <n v="23742"/>
    <n v="2322"/>
    <n v="1925"/>
    <n v="27665"/>
    <n v="19015"/>
    <n v="57337"/>
    <n v="1911.2333333333333"/>
    <n v="44682"/>
    <n v="1489.4"/>
    <n v="552"/>
    <n v="696"/>
    <n v="57337"/>
    <n v="44682"/>
    <m/>
    <m/>
    <m/>
    <m/>
    <m/>
    <m/>
    <m/>
    <m/>
    <n v="0"/>
    <n v="0"/>
    <n v="0"/>
    <n v="0"/>
    <m/>
    <m/>
    <n v="0"/>
    <n v="0"/>
  </r>
  <r>
    <x v="8"/>
    <s v="Southwest Mississippi Community College"/>
    <m/>
    <n v="176354"/>
    <x v="8"/>
    <s v="sem"/>
    <s v="sem"/>
    <m/>
    <m/>
    <n v="26090"/>
    <n v="22834"/>
    <n v="3362"/>
    <n v="2538"/>
    <n v="27629"/>
    <n v="27625"/>
    <n v="57081"/>
    <n v="1902.7"/>
    <n v="52997"/>
    <n v="1766.5666666666666"/>
    <n v="728"/>
    <n v="929"/>
    <n v="57081"/>
    <n v="52997"/>
    <m/>
    <m/>
    <m/>
    <m/>
    <m/>
    <m/>
    <m/>
    <m/>
    <n v="0"/>
    <n v="0"/>
    <n v="0"/>
    <n v="0"/>
    <m/>
    <m/>
    <n v="0"/>
    <n v="0"/>
  </r>
  <r>
    <x v="9"/>
    <s v="North Carolina State University "/>
    <m/>
    <n v="199193"/>
    <x v="0"/>
    <s v="sem"/>
    <s v="sem"/>
    <m/>
    <m/>
    <n v="323964"/>
    <n v="319035"/>
    <n v="57251"/>
    <n v="53302"/>
    <n v="345012"/>
    <n v="341052"/>
    <n v="726227"/>
    <n v="24207.566666666666"/>
    <n v="713389"/>
    <n v="23779.633333333335"/>
    <n v="0"/>
    <n v="283"/>
    <n v="726227"/>
    <n v="713389"/>
    <m/>
    <m/>
    <m/>
    <m/>
    <m/>
    <m/>
    <m/>
    <m/>
    <n v="0"/>
    <n v="0"/>
    <n v="0"/>
    <n v="0"/>
    <m/>
    <m/>
    <n v="0"/>
    <n v="0"/>
  </r>
  <r>
    <x v="9"/>
    <s v="University of North Carolina at Chapel Hill "/>
    <m/>
    <n v="199120"/>
    <x v="0"/>
    <s v="sem"/>
    <s v="sem"/>
    <m/>
    <m/>
    <n v="231719"/>
    <n v="232437"/>
    <n v="33400"/>
    <n v="31799"/>
    <n v="246807"/>
    <n v="246731"/>
    <n v="511926"/>
    <n v="17064.2"/>
    <n v="510967"/>
    <n v="17032.233333333334"/>
    <n v="9"/>
    <n v="41"/>
    <n v="511926"/>
    <n v="510967"/>
    <m/>
    <m/>
    <m/>
    <m/>
    <m/>
    <m/>
    <m/>
    <m/>
    <n v="0"/>
    <n v="0"/>
    <n v="0"/>
    <n v="0"/>
    <m/>
    <m/>
    <n v="0"/>
    <n v="0"/>
  </r>
  <r>
    <x v="9"/>
    <s v="University of North Carolina at Greensboro"/>
    <m/>
    <n v="199148"/>
    <x v="0"/>
    <s v="sem"/>
    <s v="sem"/>
    <m/>
    <m/>
    <n v="178744"/>
    <n v="182359"/>
    <n v="22682"/>
    <n v="29577"/>
    <n v="195598"/>
    <n v="191314"/>
    <n v="397024"/>
    <n v="13234.133333333333"/>
    <n v="403250"/>
    <n v="13441.666666666666"/>
    <n v="0"/>
    <n v="793"/>
    <n v="397024"/>
    <n v="403250"/>
    <m/>
    <m/>
    <m/>
    <m/>
    <m/>
    <m/>
    <m/>
    <m/>
    <n v="0"/>
    <n v="0"/>
    <n v="0"/>
    <n v="0"/>
    <m/>
    <m/>
    <n v="0"/>
    <n v="0"/>
  </r>
  <r>
    <x v="9"/>
    <s v="East Carolina University "/>
    <m/>
    <n v="198464"/>
    <x v="1"/>
    <s v="sem"/>
    <s v="sem"/>
    <m/>
    <m/>
    <n v="259153"/>
    <n v="253531"/>
    <n v="33163"/>
    <n v="49366"/>
    <n v="277036"/>
    <n v="280838"/>
    <n v="569352"/>
    <n v="18978.400000000001"/>
    <n v="583735"/>
    <n v="19457.833333333332"/>
    <n v="600"/>
    <n v="1254"/>
    <n v="569352"/>
    <n v="583735"/>
    <m/>
    <m/>
    <m/>
    <m/>
    <m/>
    <m/>
    <m/>
    <m/>
    <n v="0"/>
    <n v="0"/>
    <n v="0"/>
    <n v="0"/>
    <m/>
    <m/>
    <n v="0"/>
    <n v="0"/>
  </r>
  <r>
    <x v="9"/>
    <s v="University of North Carolina at Charlotte"/>
    <s v="Met the criteria for Four-Year 1 in 2012-13 and 2013-14."/>
    <n v="199139"/>
    <x v="1"/>
    <s v="sem"/>
    <s v="sem"/>
    <m/>
    <m/>
    <n v="256102"/>
    <n v="264729"/>
    <n v="42295"/>
    <n v="41891"/>
    <n v="284908"/>
    <n v="289413"/>
    <n v="583305"/>
    <n v="19443.5"/>
    <n v="596033"/>
    <n v="19867.766666666666"/>
    <n v="0"/>
    <n v="0"/>
    <n v="583305"/>
    <n v="596033"/>
    <m/>
    <m/>
    <m/>
    <m/>
    <m/>
    <m/>
    <m/>
    <m/>
    <n v="0"/>
    <n v="0"/>
    <n v="0"/>
    <n v="0"/>
    <m/>
    <m/>
    <n v="0"/>
    <n v="0"/>
  </r>
  <r>
    <x v="9"/>
    <s v="Appalachian State University "/>
    <m/>
    <n v="197869"/>
    <x v="2"/>
    <s v="sem"/>
    <s v="sem"/>
    <m/>
    <m/>
    <n v="213142"/>
    <n v="215067"/>
    <n v="32298"/>
    <n v="33474"/>
    <n v="229156"/>
    <n v="233852"/>
    <n v="474596"/>
    <n v="15819.866666666667"/>
    <n v="482393"/>
    <n v="16079.766666666666"/>
    <n v="0"/>
    <n v="0"/>
    <n v="474596"/>
    <n v="482393"/>
    <m/>
    <m/>
    <m/>
    <m/>
    <m/>
    <m/>
    <m/>
    <m/>
    <n v="0"/>
    <n v="0"/>
    <n v="0"/>
    <n v="0"/>
    <m/>
    <m/>
    <n v="0"/>
    <n v="0"/>
  </r>
  <r>
    <x v="9"/>
    <s v="North Carolina A&amp;T State University"/>
    <m/>
    <n v="199102"/>
    <x v="2"/>
    <s v="sem"/>
    <s v="sem"/>
    <m/>
    <m/>
    <n v="116005"/>
    <n v="114742"/>
    <n v="18704"/>
    <n v="17414"/>
    <n v="122533"/>
    <n v="122753"/>
    <n v="257242"/>
    <n v="8574.7333333333336"/>
    <n v="254909"/>
    <n v="8496.9666666666672"/>
    <n v="370"/>
    <n v="36"/>
    <n v="257242"/>
    <n v="254909"/>
    <m/>
    <m/>
    <m/>
    <m/>
    <m/>
    <m/>
    <m/>
    <m/>
    <n v="0"/>
    <n v="0"/>
    <n v="0"/>
    <n v="0"/>
    <m/>
    <m/>
    <n v="0"/>
    <n v="0"/>
  </r>
  <r>
    <x v="9"/>
    <s v="North Carolina Central University "/>
    <m/>
    <n v="199157"/>
    <x v="2"/>
    <s v="sem"/>
    <s v="sem"/>
    <m/>
    <m/>
    <n v="80446"/>
    <n v="82055"/>
    <n v="20406"/>
    <n v="20041"/>
    <n v="87385"/>
    <n v="82933"/>
    <n v="188237"/>
    <n v="6274.5666666666666"/>
    <n v="185029"/>
    <n v="6167.6333333333332"/>
    <n v="4031"/>
    <n v="3951"/>
    <n v="188237"/>
    <n v="185029"/>
    <m/>
    <m/>
    <m/>
    <m/>
    <m/>
    <m/>
    <m/>
    <m/>
    <n v="0"/>
    <n v="0"/>
    <n v="0"/>
    <n v="0"/>
    <m/>
    <m/>
    <n v="0"/>
    <n v="0"/>
  </r>
  <r>
    <x v="9"/>
    <s v="University of North Carolina at Wilmington"/>
    <m/>
    <n v="199218"/>
    <x v="2"/>
    <s v="sem"/>
    <s v="sem"/>
    <m/>
    <m/>
    <n v="155231"/>
    <n v="162385"/>
    <n v="30569"/>
    <n v="31076"/>
    <n v="174508"/>
    <n v="175583"/>
    <n v="360308"/>
    <n v="12010.266666666666"/>
    <n v="369044"/>
    <n v="12301.466666666667"/>
    <n v="2102"/>
    <n v="1993"/>
    <n v="360308"/>
    <n v="369044"/>
    <m/>
    <m/>
    <m/>
    <m/>
    <m/>
    <m/>
    <m/>
    <m/>
    <n v="0"/>
    <n v="0"/>
    <n v="0"/>
    <n v="0"/>
    <m/>
    <m/>
    <n v="0"/>
    <n v="0"/>
  </r>
  <r>
    <x v="9"/>
    <s v="Western Carolina University "/>
    <m/>
    <n v="200004"/>
    <x v="2"/>
    <s v="sem"/>
    <s v="sem"/>
    <m/>
    <m/>
    <n v="98306"/>
    <n v="102833"/>
    <n v="14850"/>
    <n v="15270"/>
    <n v="108766"/>
    <n v="114489"/>
    <n v="221922"/>
    <n v="7397.4"/>
    <n v="232592"/>
    <n v="7753.0666666666666"/>
    <n v="0"/>
    <n v="0"/>
    <n v="221922"/>
    <n v="232592"/>
    <m/>
    <m/>
    <m/>
    <m/>
    <m/>
    <m/>
    <m/>
    <m/>
    <n v="0"/>
    <n v="0"/>
    <n v="0"/>
    <n v="0"/>
    <m/>
    <m/>
    <n v="0"/>
    <n v="0"/>
  </r>
  <r>
    <x v="9"/>
    <s v="Fayetteville State University "/>
    <m/>
    <n v="198543"/>
    <x v="3"/>
    <s v="sem"/>
    <s v="sem"/>
    <m/>
    <m/>
    <n v="60826"/>
    <n v="59950"/>
    <n v="19319"/>
    <n v="19490"/>
    <n v="68677"/>
    <n v="69561"/>
    <n v="148822"/>
    <n v="4960.7333333333336"/>
    <n v="149001"/>
    <n v="4966.7"/>
    <n v="2538"/>
    <n v="3200"/>
    <n v="148822"/>
    <n v="149001"/>
    <m/>
    <m/>
    <m/>
    <m/>
    <m/>
    <m/>
    <m/>
    <m/>
    <n v="0"/>
    <n v="0"/>
    <n v="0"/>
    <n v="0"/>
    <m/>
    <m/>
    <n v="0"/>
    <n v="0"/>
  </r>
  <r>
    <x v="9"/>
    <s v="University of North Carolina at Pembroke"/>
    <m/>
    <n v="199281"/>
    <x v="4"/>
    <s v="sem"/>
    <s v="sem"/>
    <m/>
    <m/>
    <n v="64653"/>
    <n v="63968"/>
    <n v="16862"/>
    <n v="17871"/>
    <n v="70795"/>
    <n v="68851"/>
    <n v="152310"/>
    <n v="5077"/>
    <n v="150690"/>
    <n v="5023"/>
    <n v="0"/>
    <n v="0"/>
    <n v="152310"/>
    <n v="150690"/>
    <m/>
    <m/>
    <m/>
    <m/>
    <m/>
    <m/>
    <m/>
    <m/>
    <n v="0"/>
    <n v="0"/>
    <n v="0"/>
    <n v="0"/>
    <m/>
    <m/>
    <n v="0"/>
    <n v="0"/>
  </r>
  <r>
    <x v="9"/>
    <s v="Winston-Salem State University "/>
    <m/>
    <n v="199999"/>
    <x v="4"/>
    <s v="sem"/>
    <s v="sem"/>
    <m/>
    <m/>
    <n v="70916"/>
    <n v="68156"/>
    <n v="13800"/>
    <n v="11503"/>
    <n v="70763"/>
    <n v="67143"/>
    <n v="155479"/>
    <n v="5182.6333333333332"/>
    <n v="146802"/>
    <n v="4893.3999999999996"/>
    <n v="0"/>
    <n v="0"/>
    <n v="155479"/>
    <n v="146802"/>
    <m/>
    <m/>
    <m/>
    <m/>
    <m/>
    <m/>
    <m/>
    <m/>
    <n v="0"/>
    <n v="0"/>
    <n v="0"/>
    <n v="0"/>
    <m/>
    <m/>
    <n v="0"/>
    <n v="0"/>
  </r>
  <r>
    <x v="9"/>
    <s v="Elizabeth City State University "/>
    <s v="Met the criteria for Four-Year 5 in 2013-14."/>
    <n v="198507"/>
    <x v="5"/>
    <s v="sem"/>
    <s v="sem"/>
    <m/>
    <m/>
    <n v="37173"/>
    <n v="34765"/>
    <n v="8111"/>
    <n v="6993"/>
    <n v="39528"/>
    <n v="33748"/>
    <n v="84812"/>
    <n v="2827.0666666666666"/>
    <n v="75506"/>
    <n v="2516.8666666666668"/>
    <n v="0"/>
    <n v="0"/>
    <n v="84812"/>
    <n v="75506"/>
    <m/>
    <m/>
    <m/>
    <m/>
    <m/>
    <m/>
    <m/>
    <m/>
    <n v="0"/>
    <n v="0"/>
    <n v="0"/>
    <n v="0"/>
    <m/>
    <m/>
    <n v="0"/>
    <n v="0"/>
  </r>
  <r>
    <x v="9"/>
    <s v="University of North Carolina at Asheville"/>
    <m/>
    <n v="199111"/>
    <x v="5"/>
    <s v="sem"/>
    <s v="sem"/>
    <m/>
    <m/>
    <n v="45490"/>
    <n v="45032"/>
    <n v="5120"/>
    <n v="4594"/>
    <n v="47102"/>
    <n v="48904"/>
    <n v="97712"/>
    <n v="3257.0666666666666"/>
    <n v="98530"/>
    <n v="3284.3333333333335"/>
    <n v="0"/>
    <n v="0"/>
    <n v="97712"/>
    <n v="98530"/>
    <m/>
    <m/>
    <m/>
    <m/>
    <m/>
    <m/>
    <m/>
    <m/>
    <n v="0"/>
    <n v="0"/>
    <n v="0"/>
    <n v="0"/>
    <m/>
    <m/>
    <n v="0"/>
    <n v="0"/>
  </r>
  <r>
    <x v="9"/>
    <s v="Asheville-Buncombe Technical Community College"/>
    <m/>
    <n v="197887"/>
    <x v="6"/>
    <s v="sem"/>
    <m/>
    <m/>
    <m/>
    <n v="69136"/>
    <n v="69995"/>
    <n v="17198"/>
    <n v="16476"/>
    <n v="70508"/>
    <n v="72995"/>
    <n v="156842"/>
    <n v="5228.0666666666666"/>
    <n v="159466"/>
    <n v="5315.5333333333338"/>
    <n v="12314"/>
    <n v="10027"/>
    <n v="156842"/>
    <n v="159466"/>
    <m/>
    <m/>
    <n v="297168"/>
    <n v="281887"/>
    <n v="216090"/>
    <n v="210050"/>
    <n v="317643"/>
    <n v="278080"/>
    <n v="830901"/>
    <n v="923.22333333333336"/>
    <n v="770017"/>
    <n v="855.57444444444445"/>
    <m/>
    <m/>
    <n v="0"/>
    <n v="0"/>
  </r>
  <r>
    <x v="9"/>
    <s v="Cape Fear Community College"/>
    <m/>
    <n v="198154"/>
    <x v="6"/>
    <s v="sem"/>
    <m/>
    <m/>
    <m/>
    <n v="91258"/>
    <n v="89333"/>
    <n v="22082"/>
    <n v="22006"/>
    <n v="96721"/>
    <n v="93195"/>
    <n v="210061"/>
    <n v="7002.0333333333338"/>
    <n v="204534"/>
    <n v="6817.8"/>
    <n v="6511"/>
    <n v="5417"/>
    <n v="210061"/>
    <n v="204534"/>
    <m/>
    <m/>
    <n v="382873"/>
    <n v="359779"/>
    <n v="205771"/>
    <n v="203012"/>
    <n v="427387"/>
    <n v="390950"/>
    <n v="1016031"/>
    <n v="1128.9233333333334"/>
    <n v="953741"/>
    <n v="1059.7122222222222"/>
    <m/>
    <m/>
    <n v="0"/>
    <n v="0"/>
  </r>
  <r>
    <x v="9"/>
    <s v="Central Piedmont Community College "/>
    <m/>
    <n v="198260"/>
    <x v="6"/>
    <s v="sem"/>
    <m/>
    <m/>
    <m/>
    <n v="173581"/>
    <n v="175633"/>
    <n v="47577"/>
    <n v="48695"/>
    <n v="176942"/>
    <n v="172352"/>
    <n v="398100"/>
    <n v="13270"/>
    <n v="396680"/>
    <n v="13222.666666666666"/>
    <n v="4922"/>
    <n v="3823"/>
    <n v="398100"/>
    <n v="396680"/>
    <m/>
    <m/>
    <n v="736360"/>
    <n v="750559"/>
    <n v="320976"/>
    <n v="302224"/>
    <n v="774775"/>
    <n v="705421"/>
    <n v="1832111"/>
    <n v="2035.6788888888889"/>
    <n v="1758204"/>
    <n v="1953.56"/>
    <m/>
    <m/>
    <n v="0"/>
    <n v="0"/>
  </r>
  <r>
    <x v="9"/>
    <s v="Fayetteville Technical Community College"/>
    <m/>
    <n v="198534"/>
    <x v="6"/>
    <s v="sem"/>
    <m/>
    <m/>
    <m/>
    <n v="112408"/>
    <n v="115607"/>
    <n v="29835"/>
    <n v="28527"/>
    <n v="108229"/>
    <n v="115452"/>
    <n v="250472"/>
    <n v="8349.0666666666675"/>
    <n v="259586"/>
    <n v="8652.8666666666668"/>
    <n v="4736"/>
    <n v="4407"/>
    <n v="250472"/>
    <n v="259586"/>
    <m/>
    <m/>
    <n v="746911"/>
    <n v="762025"/>
    <n v="607552"/>
    <n v="584456"/>
    <n v="786134"/>
    <n v="920098"/>
    <n v="2140597"/>
    <n v="2378.4411111111112"/>
    <n v="2266579"/>
    <n v="2518.4211111111113"/>
    <m/>
    <m/>
    <n v="0"/>
    <n v="0"/>
  </r>
  <r>
    <x v="9"/>
    <s v="Forsyth Technical Community College"/>
    <m/>
    <n v="198552"/>
    <x v="6"/>
    <s v="sem"/>
    <m/>
    <m/>
    <m/>
    <n v="97225"/>
    <n v="92142"/>
    <n v="25496"/>
    <n v="25179"/>
    <n v="102925"/>
    <n v="95657"/>
    <n v="225646"/>
    <n v="7521.5333333333338"/>
    <n v="212978"/>
    <n v="7099.2666666666664"/>
    <n v="7310"/>
    <n v="8373"/>
    <n v="225646"/>
    <n v="212978"/>
    <m/>
    <m/>
    <n v="429484"/>
    <n v="438431"/>
    <n v="298463"/>
    <n v="255613"/>
    <n v="507932"/>
    <n v="456910"/>
    <n v="1235879"/>
    <n v="1373.1988888888889"/>
    <n v="1150954"/>
    <n v="1278.8377777777778"/>
    <m/>
    <m/>
    <n v="0"/>
    <n v="0"/>
  </r>
  <r>
    <x v="9"/>
    <s v="Gaston College "/>
    <s v="Reclassified: met the criteria for Two-Year 2 in 2011-12, 2012-13, and 2013-14."/>
    <n v="198570"/>
    <x v="7"/>
    <s v="sem"/>
    <m/>
    <m/>
    <m/>
    <n v="58933"/>
    <n v="56522"/>
    <n v="11536"/>
    <n v="12209"/>
    <n v="62327"/>
    <n v="60793"/>
    <n v="132796"/>
    <n v="4426.5333333333338"/>
    <n v="129524"/>
    <n v="4317.4666666666662"/>
    <n v="3388"/>
    <n v="873"/>
    <n v="132796"/>
    <n v="129524"/>
    <m/>
    <m/>
    <n v="204396"/>
    <n v="194774"/>
    <n v="117792"/>
    <n v="116332"/>
    <n v="189290"/>
    <n v="167692"/>
    <n v="511478"/>
    <n v="568.30888888888887"/>
    <n v="478798"/>
    <n v="531.99777777777774"/>
    <m/>
    <m/>
    <n v="0"/>
    <n v="0"/>
  </r>
  <r>
    <x v="9"/>
    <s v="Guilford Technical Community College"/>
    <m/>
    <n v="198622"/>
    <x v="6"/>
    <s v="sem"/>
    <m/>
    <m/>
    <m/>
    <n v="153384"/>
    <n v="149680"/>
    <n v="33401"/>
    <n v="32545"/>
    <n v="159423"/>
    <n v="151139"/>
    <n v="346208"/>
    <n v="11540.266666666666"/>
    <n v="333364"/>
    <n v="11112.133333333333"/>
    <n v="4737"/>
    <n v="4587"/>
    <n v="346208"/>
    <n v="333364"/>
    <m/>
    <m/>
    <n v="566303"/>
    <n v="610806"/>
    <n v="309291"/>
    <n v="299257"/>
    <n v="553629"/>
    <n v="587662"/>
    <n v="1429223"/>
    <n v="1588.0255555555555"/>
    <n v="1497725"/>
    <n v="1664.1388888888889"/>
    <m/>
    <m/>
    <n v="0"/>
    <n v="0"/>
  </r>
  <r>
    <x v="9"/>
    <s v="Pitt Community College"/>
    <m/>
    <n v="199333"/>
    <x v="6"/>
    <s v="sem"/>
    <m/>
    <m/>
    <m/>
    <n v="84596"/>
    <n v="88952"/>
    <n v="24011"/>
    <n v="24019"/>
    <n v="87378"/>
    <n v="93043"/>
    <n v="195985"/>
    <n v="6532.833333333333"/>
    <n v="206014"/>
    <n v="6867.1333333333332"/>
    <n v="2404"/>
    <n v="2602"/>
    <n v="195985"/>
    <n v="206014"/>
    <m/>
    <m/>
    <n v="256942"/>
    <n v="272979"/>
    <n v="192545"/>
    <n v="187275"/>
    <n v="300179"/>
    <n v="343192"/>
    <n v="749666"/>
    <n v="832.96222222222218"/>
    <n v="803446"/>
    <n v="892.71777777777777"/>
    <m/>
    <m/>
    <n v="0"/>
    <n v="0"/>
  </r>
  <r>
    <x v="9"/>
    <s v="Rowan-Cabarrus Community College"/>
    <m/>
    <n v="199494"/>
    <x v="6"/>
    <s v="sem"/>
    <m/>
    <m/>
    <m/>
    <n v="62869"/>
    <n v="62635"/>
    <n v="16118"/>
    <n v="16117"/>
    <n v="67507"/>
    <n v="63486"/>
    <n v="146494"/>
    <n v="4883.1333333333332"/>
    <n v="142238"/>
    <n v="4741.2666666666664"/>
    <n v="7256"/>
    <n v="7714"/>
    <n v="146494"/>
    <n v="142238"/>
    <m/>
    <m/>
    <n v="277100"/>
    <n v="310621"/>
    <n v="201755"/>
    <n v="198095"/>
    <n v="305452"/>
    <n v="308373"/>
    <n v="784307"/>
    <n v="871.45222222222219"/>
    <n v="817089"/>
    <n v="907.87666666666667"/>
    <m/>
    <m/>
    <n v="0"/>
    <n v="0"/>
  </r>
  <r>
    <x v="9"/>
    <s v="Wake Technical Community College"/>
    <m/>
    <n v="199856"/>
    <x v="6"/>
    <s v="sem"/>
    <m/>
    <m/>
    <m/>
    <n v="174894"/>
    <n v="189405"/>
    <n v="40427"/>
    <n v="43674"/>
    <n v="179588"/>
    <n v="193128"/>
    <n v="394909"/>
    <n v="13163.633333333333"/>
    <n v="426207"/>
    <n v="14206.9"/>
    <n v="5011"/>
    <n v="4544"/>
    <n v="394909"/>
    <n v="426207"/>
    <m/>
    <m/>
    <n v="848662"/>
    <n v="883579"/>
    <n v="559989"/>
    <n v="601042"/>
    <n v="839804"/>
    <n v="851247"/>
    <n v="2248455"/>
    <n v="2498.2833333333333"/>
    <n v="2335868"/>
    <n v="2595.4088888888887"/>
    <m/>
    <m/>
    <n v="0"/>
    <n v="0"/>
  </r>
  <r>
    <x v="9"/>
    <s v="Alamance Community College"/>
    <m/>
    <n v="199786"/>
    <x v="7"/>
    <s v="sem"/>
    <m/>
    <m/>
    <m/>
    <n v="44880"/>
    <n v="41603"/>
    <n v="9029"/>
    <n v="8837"/>
    <n v="48022"/>
    <n v="43082"/>
    <n v="101931"/>
    <n v="3397.7"/>
    <n v="93522"/>
    <n v="3117.4"/>
    <n v="4687"/>
    <n v="4101"/>
    <n v="101931"/>
    <n v="93522"/>
    <m/>
    <m/>
    <n v="177274"/>
    <n v="199190"/>
    <n v="127954"/>
    <n v="118396"/>
    <n v="215302"/>
    <n v="195242"/>
    <n v="520530"/>
    <n v="578.36666666666667"/>
    <n v="512828"/>
    <n v="569.80888888888887"/>
    <m/>
    <m/>
    <n v="0"/>
    <n v="0"/>
  </r>
  <r>
    <x v="9"/>
    <s v="Caldwell Community College &amp; Technical Institute"/>
    <m/>
    <n v="198118"/>
    <x v="7"/>
    <s v="sem"/>
    <m/>
    <m/>
    <m/>
    <n v="41910"/>
    <n v="38756"/>
    <n v="10531"/>
    <n v="8700"/>
    <n v="44408"/>
    <n v="42316"/>
    <n v="96849"/>
    <n v="3228.3"/>
    <n v="89772"/>
    <n v="2992.4"/>
    <n v="8134"/>
    <n v="6958"/>
    <n v="96849"/>
    <n v="89772"/>
    <m/>
    <m/>
    <n v="193972"/>
    <n v="209854"/>
    <n v="147355"/>
    <n v="126257"/>
    <n v="259194"/>
    <n v="242717"/>
    <n v="600521"/>
    <n v="667.2455555555556"/>
    <n v="578828"/>
    <n v="643.14222222222224"/>
    <m/>
    <m/>
    <n v="0"/>
    <n v="0"/>
  </r>
  <r>
    <x v="9"/>
    <s v="Catawba Valley Community College"/>
    <m/>
    <n v="198233"/>
    <x v="7"/>
    <s v="sem"/>
    <m/>
    <m/>
    <m/>
    <n v="44845"/>
    <n v="39837"/>
    <n v="11758"/>
    <n v="9901"/>
    <n v="47396"/>
    <n v="42550"/>
    <n v="103999"/>
    <n v="3466.6333333333332"/>
    <n v="92288"/>
    <n v="3076.2666666666669"/>
    <n v="8491"/>
    <n v="8767"/>
    <n v="103999"/>
    <n v="92288"/>
    <m/>
    <m/>
    <n v="247588"/>
    <n v="267016"/>
    <n v="150779"/>
    <n v="171483"/>
    <n v="260008"/>
    <n v="276350"/>
    <n v="658375"/>
    <n v="731.52777777777783"/>
    <n v="714849"/>
    <n v="794.27666666666664"/>
    <m/>
    <m/>
    <n v="0"/>
    <n v="0"/>
  </r>
  <r>
    <x v="9"/>
    <s v="Central Carolina Commuity College"/>
    <m/>
    <n v="198251"/>
    <x v="7"/>
    <s v="sem"/>
    <m/>
    <m/>
    <m/>
    <n v="39235"/>
    <n v="39011"/>
    <n v="6982"/>
    <n v="7264"/>
    <n v="41427"/>
    <n v="44323"/>
    <n v="87644"/>
    <n v="2921.4666666666667"/>
    <n v="90598"/>
    <n v="3019.9333333333334"/>
    <n v="9327"/>
    <n v="6777"/>
    <n v="87644"/>
    <n v="90598"/>
    <m/>
    <m/>
    <n v="434372"/>
    <n v="480583"/>
    <n v="285076"/>
    <n v="268358"/>
    <n v="476844"/>
    <n v="472646"/>
    <n v="1196292"/>
    <n v="1329.2133333333334"/>
    <n v="1221587"/>
    <n v="1357.318888888889"/>
    <m/>
    <m/>
    <n v="0"/>
    <n v="0"/>
  </r>
  <r>
    <x v="9"/>
    <s v="Cleveland Community College"/>
    <m/>
    <n v="198321"/>
    <x v="7"/>
    <s v="sem"/>
    <m/>
    <m/>
    <m/>
    <n v="28243"/>
    <n v="28569"/>
    <n v="3792"/>
    <n v="3323"/>
    <n v="31082"/>
    <n v="29453"/>
    <n v="63117"/>
    <n v="2103.9"/>
    <n v="61345"/>
    <n v="2044.8333333333333"/>
    <n v="7598"/>
    <n v="9518"/>
    <n v="63117"/>
    <n v="61345"/>
    <m/>
    <m/>
    <n v="150090"/>
    <n v="169786"/>
    <n v="91102"/>
    <n v="97552"/>
    <n v="151566"/>
    <n v="171928"/>
    <n v="392758"/>
    <n v="436.39777777777778"/>
    <n v="439266"/>
    <n v="488.07333333333332"/>
    <m/>
    <m/>
    <n v="0"/>
    <n v="0"/>
  </r>
  <r>
    <x v="9"/>
    <s v="Coastal Carolina Community College "/>
    <m/>
    <n v="198330"/>
    <x v="7"/>
    <s v="sem"/>
    <m/>
    <m/>
    <m/>
    <n v="46872"/>
    <n v="45960"/>
    <n v="19332"/>
    <n v="18275"/>
    <n v="47944"/>
    <n v="47646"/>
    <n v="114148"/>
    <n v="3804.9333333333334"/>
    <n v="111881"/>
    <n v="3729.3666666666668"/>
    <n v="664"/>
    <n v="716"/>
    <n v="114148"/>
    <n v="111881"/>
    <m/>
    <m/>
    <n v="258569"/>
    <n v="225220"/>
    <n v="194891"/>
    <n v="162642"/>
    <n v="314904"/>
    <n v="301784"/>
    <n v="768364"/>
    <n v="853.73777777777775"/>
    <n v="689646"/>
    <n v="766.27333333333331"/>
    <m/>
    <m/>
    <n v="0"/>
    <n v="0"/>
  </r>
  <r>
    <x v="9"/>
    <s v="Craven Community College "/>
    <m/>
    <n v="198367"/>
    <x v="7"/>
    <s v="sem"/>
    <m/>
    <m/>
    <m/>
    <n v="31385"/>
    <n v="28636"/>
    <n v="7294"/>
    <n v="7496"/>
    <n v="32837"/>
    <n v="28787"/>
    <n v="71516"/>
    <n v="2383.8666666666668"/>
    <n v="64919"/>
    <n v="2163.9666666666667"/>
    <n v="4375"/>
    <n v="4513"/>
    <n v="71516"/>
    <n v="64919"/>
    <m/>
    <m/>
    <n v="148437"/>
    <n v="130010"/>
    <n v="86014"/>
    <n v="90935"/>
    <n v="136842"/>
    <n v="163808"/>
    <n v="371293"/>
    <n v="412.54777777777775"/>
    <n v="384753"/>
    <n v="427.50333333333333"/>
    <m/>
    <m/>
    <n v="0"/>
    <n v="0"/>
  </r>
  <r>
    <x v="9"/>
    <s v="Davidson County Community College "/>
    <m/>
    <n v="198376"/>
    <x v="7"/>
    <s v="sem"/>
    <m/>
    <m/>
    <m/>
    <n v="38027"/>
    <n v="36069"/>
    <n v="8257"/>
    <n v="7707"/>
    <n v="40368"/>
    <n v="38066"/>
    <n v="86652"/>
    <n v="2888.4"/>
    <n v="81842"/>
    <n v="2728.0666666666666"/>
    <n v="5860"/>
    <n v="5361"/>
    <n v="86652"/>
    <n v="81842"/>
    <m/>
    <m/>
    <n v="231630"/>
    <n v="238351"/>
    <n v="162517"/>
    <n v="153545"/>
    <n v="264415"/>
    <n v="251878"/>
    <n v="658562"/>
    <n v="731.73555555555561"/>
    <n v="643774"/>
    <n v="715.30444444444447"/>
    <m/>
    <m/>
    <n v="0"/>
    <n v="0"/>
  </r>
  <r>
    <x v="9"/>
    <s v="Durham Technical Community College"/>
    <m/>
    <n v="198455"/>
    <x v="7"/>
    <s v="sem"/>
    <m/>
    <m/>
    <m/>
    <n v="45879"/>
    <n v="46216"/>
    <n v="11437"/>
    <n v="11149"/>
    <n v="43958"/>
    <n v="46419"/>
    <n v="101274"/>
    <n v="3375.8"/>
    <n v="103784"/>
    <n v="3459.4666666666667"/>
    <n v="2205"/>
    <n v="2494"/>
    <n v="101274"/>
    <n v="103784"/>
    <m/>
    <m/>
    <n v="313043"/>
    <n v="260976"/>
    <n v="160151"/>
    <n v="154465"/>
    <n v="340806"/>
    <n v="298399"/>
    <n v="814000"/>
    <n v="904.44444444444446"/>
    <n v="713840"/>
    <n v="793.15555555555557"/>
    <m/>
    <m/>
    <n v="0"/>
    <n v="0"/>
  </r>
  <r>
    <x v="9"/>
    <s v="Edgecombe Community College"/>
    <m/>
    <n v="198491"/>
    <x v="7"/>
    <s v="sem"/>
    <m/>
    <m/>
    <m/>
    <n v="29892"/>
    <n v="27315"/>
    <n v="7234"/>
    <n v="7489"/>
    <n v="32198"/>
    <n v="29678"/>
    <n v="69324"/>
    <n v="2310.8000000000002"/>
    <n v="64482"/>
    <n v="2149.4"/>
    <n v="2308"/>
    <n v="2490"/>
    <n v="69324"/>
    <n v="64482"/>
    <m/>
    <m/>
    <n v="119519"/>
    <n v="132143"/>
    <n v="89501"/>
    <n v="83011"/>
    <n v="150571"/>
    <n v="147140"/>
    <n v="359591"/>
    <n v="399.54555555555555"/>
    <n v="362294"/>
    <n v="402.54888888888888"/>
    <m/>
    <m/>
    <n v="0"/>
    <n v="0"/>
  </r>
  <r>
    <x v="9"/>
    <s v="Haywood Community College"/>
    <s v="Reclassified: met the criteria for Two-Year 3 in 2011-12, 2012-13, and 2013-14."/>
    <n v="198668"/>
    <x v="8"/>
    <s v="sem"/>
    <m/>
    <m/>
    <m/>
    <n v="19532"/>
    <n v="19319"/>
    <n v="4231"/>
    <n v="5043"/>
    <n v="20642"/>
    <n v="19110"/>
    <n v="44405"/>
    <n v="1480.1666666666667"/>
    <n v="43472"/>
    <n v="1449.0666666666666"/>
    <n v="5749"/>
    <n v="2689"/>
    <n v="44405"/>
    <n v="43472"/>
    <m/>
    <m/>
    <n v="88369"/>
    <n v="90555"/>
    <n v="52725"/>
    <n v="48824"/>
    <n v="85233"/>
    <n v="92000"/>
    <n v="226327"/>
    <n v="251.47444444444446"/>
    <n v="231379"/>
    <n v="257.08777777777777"/>
    <m/>
    <m/>
    <n v="0"/>
    <n v="0"/>
  </r>
  <r>
    <x v="9"/>
    <s v="Isothermal Community College "/>
    <s v="Met the criteria for Two-Year 3 in 2012-13 and 2013-14."/>
    <n v="198710"/>
    <x v="7"/>
    <s v="sem"/>
    <m/>
    <m/>
    <m/>
    <n v="21146"/>
    <n v="21366"/>
    <n v="6322"/>
    <n v="5733"/>
    <n v="21459"/>
    <n v="20842"/>
    <n v="48927"/>
    <n v="1630.9"/>
    <n v="47941"/>
    <n v="1598.0333333333333"/>
    <n v="6839"/>
    <n v="7841"/>
    <n v="48927"/>
    <n v="47941"/>
    <m/>
    <m/>
    <n v="127170"/>
    <n v="101981"/>
    <n v="66493"/>
    <n v="76609"/>
    <n v="114935"/>
    <n v="108870"/>
    <n v="308598"/>
    <n v="342.88666666666666"/>
    <n v="287460"/>
    <n v="319.39999999999998"/>
    <m/>
    <m/>
    <n v="0"/>
    <n v="0"/>
  </r>
  <r>
    <x v="9"/>
    <s v="Johnston Community College"/>
    <m/>
    <n v="198774"/>
    <x v="7"/>
    <s v="sem"/>
    <m/>
    <m/>
    <m/>
    <n v="40985"/>
    <n v="38794"/>
    <n v="1370"/>
    <n v="1207"/>
    <n v="44735"/>
    <n v="41534"/>
    <n v="87090"/>
    <n v="2903"/>
    <n v="81535"/>
    <n v="2717.8333333333335"/>
    <n v="5612"/>
    <n v="6481"/>
    <n v="87090"/>
    <n v="81535"/>
    <m/>
    <m/>
    <n v="217187"/>
    <n v="220829"/>
    <n v="161699"/>
    <n v="125839"/>
    <n v="218120"/>
    <n v="230929"/>
    <n v="597006"/>
    <n v="663.34"/>
    <n v="577597"/>
    <n v="641.7744444444445"/>
    <m/>
    <m/>
    <n v="0"/>
    <n v="0"/>
  </r>
  <r>
    <x v="9"/>
    <s v="Lenoir Community College "/>
    <m/>
    <n v="198817"/>
    <x v="7"/>
    <s v="sem"/>
    <m/>
    <m/>
    <m/>
    <n v="25590"/>
    <n v="23958"/>
    <n v="8167"/>
    <n v="8053"/>
    <n v="28644"/>
    <n v="25776"/>
    <n v="62401"/>
    <n v="2080.0333333333333"/>
    <n v="57787"/>
    <n v="1926.2333333333333"/>
    <n v="8958"/>
    <n v="7276"/>
    <n v="62401"/>
    <n v="57787"/>
    <m/>
    <m/>
    <n v="505253"/>
    <n v="511387"/>
    <n v="392470"/>
    <n v="327882"/>
    <n v="506646"/>
    <n v="515016"/>
    <n v="1404369"/>
    <n v="1560.41"/>
    <n v="1354285"/>
    <n v="1504.7611111111112"/>
    <m/>
    <m/>
    <n v="0"/>
    <n v="0"/>
  </r>
  <r>
    <x v="9"/>
    <s v="Mitchell Community College "/>
    <m/>
    <n v="198987"/>
    <x v="7"/>
    <s v="sem"/>
    <m/>
    <m/>
    <m/>
    <n v="30610"/>
    <n v="29266"/>
    <n v="6549"/>
    <n v="7182"/>
    <n v="32407"/>
    <n v="28939"/>
    <n v="69566"/>
    <n v="2318.8666666666668"/>
    <n v="65387"/>
    <n v="2179.5666666666666"/>
    <n v="7841"/>
    <n v="7254"/>
    <n v="69566"/>
    <n v="65387"/>
    <m/>
    <m/>
    <n v="131564"/>
    <n v="146248"/>
    <n v="98867"/>
    <n v="88536"/>
    <n v="140325"/>
    <n v="159867"/>
    <n v="370756"/>
    <n v="411.95111111111112"/>
    <n v="394651"/>
    <n v="438.50111111111113"/>
    <m/>
    <m/>
    <n v="0"/>
    <n v="0"/>
  </r>
  <r>
    <x v="9"/>
    <s v="Nash Community College"/>
    <m/>
    <n v="199087"/>
    <x v="7"/>
    <s v="sem"/>
    <m/>
    <m/>
    <m/>
    <n v="29552"/>
    <n v="28591"/>
    <n v="4699"/>
    <n v="5503"/>
    <n v="29577"/>
    <n v="29273"/>
    <n v="63828"/>
    <n v="2127.6"/>
    <n v="63367"/>
    <n v="2112.2333333333331"/>
    <n v="5774"/>
    <n v="5142"/>
    <n v="63828"/>
    <n v="63367"/>
    <m/>
    <m/>
    <n v="158437"/>
    <n v="144602"/>
    <n v="93385"/>
    <n v="96972"/>
    <n v="154894"/>
    <n v="177632"/>
    <n v="406716"/>
    <n v="451.90666666666669"/>
    <n v="419206"/>
    <n v="465.78444444444443"/>
    <m/>
    <m/>
    <n v="0"/>
    <n v="0"/>
  </r>
  <r>
    <x v="9"/>
    <s v="Randolph Community College"/>
    <m/>
    <n v="199421"/>
    <x v="7"/>
    <s v="sem"/>
    <m/>
    <m/>
    <m/>
    <n v="25747"/>
    <n v="26163"/>
    <n v="4510"/>
    <n v="4807"/>
    <n v="27540"/>
    <n v="26896"/>
    <n v="57797"/>
    <n v="1926.5666666666666"/>
    <n v="57866"/>
    <n v="1928.8666666666666"/>
    <n v="4981"/>
    <n v="5025"/>
    <n v="57797"/>
    <n v="57866"/>
    <m/>
    <m/>
    <n v="189578"/>
    <n v="186550"/>
    <n v="92936"/>
    <n v="88413"/>
    <n v="166359"/>
    <n v="173436"/>
    <n v="448873"/>
    <n v="498.7477777777778"/>
    <n v="448399"/>
    <n v="498.2211111111111"/>
    <m/>
    <m/>
    <n v="0"/>
    <n v="0"/>
  </r>
  <r>
    <x v="9"/>
    <s v="Robeson Community College"/>
    <m/>
    <n v="199476"/>
    <x v="7"/>
    <s v="sem"/>
    <m/>
    <m/>
    <m/>
    <n v="24532"/>
    <n v="25810"/>
    <n v="4537"/>
    <n v="4991"/>
    <n v="28227"/>
    <n v="29902"/>
    <n v="57296"/>
    <n v="1909.8666666666666"/>
    <n v="60703"/>
    <n v="2023.4333333333334"/>
    <n v="2217"/>
    <n v="2845"/>
    <n v="57296"/>
    <n v="60703"/>
    <m/>
    <m/>
    <n v="387360"/>
    <n v="321775"/>
    <n v="181675"/>
    <n v="149860"/>
    <n v="404657"/>
    <n v="334175"/>
    <n v="973692"/>
    <n v="1081.8800000000001"/>
    <n v="805810"/>
    <n v="895.34444444444443"/>
    <m/>
    <m/>
    <n v="0"/>
    <n v="0"/>
  </r>
  <r>
    <x v="9"/>
    <s v="Sandhills Community College "/>
    <m/>
    <n v="199634"/>
    <x v="7"/>
    <s v="sem"/>
    <m/>
    <m/>
    <m/>
    <n v="36985"/>
    <n v="34583"/>
    <n v="10644"/>
    <n v="9850"/>
    <n v="39601"/>
    <n v="38102"/>
    <n v="87230"/>
    <n v="2907.6666666666665"/>
    <n v="82535"/>
    <n v="2751.1666666666665"/>
    <n v="4505"/>
    <n v="6355"/>
    <n v="87230"/>
    <n v="82535"/>
    <m/>
    <m/>
    <n v="192210"/>
    <n v="207304"/>
    <n v="101747"/>
    <n v="140216"/>
    <n v="198274"/>
    <n v="205471"/>
    <n v="492231"/>
    <n v="546.92333333333329"/>
    <n v="552991"/>
    <n v="614.43444444444447"/>
    <m/>
    <m/>
    <n v="0"/>
    <n v="0"/>
  </r>
  <r>
    <x v="9"/>
    <s v="Stanly Community College"/>
    <m/>
    <n v="199740"/>
    <x v="7"/>
    <s v="sem"/>
    <m/>
    <m/>
    <m/>
    <n v="26836"/>
    <n v="24885"/>
    <n v="6140"/>
    <n v="5686"/>
    <n v="29688"/>
    <n v="26799"/>
    <n v="62664"/>
    <n v="2088.8000000000002"/>
    <n v="57370"/>
    <n v="1912.3333333333333"/>
    <n v="2788"/>
    <n v="2841"/>
    <n v="62664"/>
    <n v="57370"/>
    <m/>
    <m/>
    <n v="218877"/>
    <n v="173832"/>
    <n v="103485"/>
    <n v="102133"/>
    <n v="212632"/>
    <n v="168467"/>
    <n v="534994"/>
    <n v="594.4377777777778"/>
    <n v="444432"/>
    <n v="493.81333333333333"/>
    <m/>
    <m/>
    <n v="0"/>
    <n v="0"/>
  </r>
  <r>
    <x v="9"/>
    <s v="Surry Community College "/>
    <m/>
    <n v="199768"/>
    <x v="7"/>
    <s v="sem"/>
    <m/>
    <m/>
    <m/>
    <n v="22310"/>
    <n v="29523"/>
    <n v="3786"/>
    <n v="5325"/>
    <n v="24425"/>
    <n v="22461"/>
    <n v="50521"/>
    <n v="1684.0333333333333"/>
    <n v="57309"/>
    <n v="1910.3"/>
    <n v="6194"/>
    <n v="6533"/>
    <n v="50521"/>
    <n v="57309"/>
    <m/>
    <m/>
    <n v="151490"/>
    <n v="155915"/>
    <n v="147580"/>
    <n v="157302"/>
    <n v="206788"/>
    <n v="241002"/>
    <n v="505858"/>
    <n v="562.06444444444446"/>
    <n v="554219"/>
    <n v="615.79888888888888"/>
    <m/>
    <m/>
    <n v="0"/>
    <n v="0"/>
  </r>
  <r>
    <x v="9"/>
    <s v="Vance-Granville Community College "/>
    <m/>
    <n v="199838"/>
    <x v="7"/>
    <s v="sem"/>
    <m/>
    <m/>
    <m/>
    <n v="32390"/>
    <n v="30088"/>
    <n v="6548"/>
    <n v="5805"/>
    <n v="36047"/>
    <n v="32466"/>
    <n v="74985"/>
    <n v="2499.5"/>
    <n v="68359"/>
    <n v="2278.6333333333332"/>
    <n v="8210"/>
    <n v="9355"/>
    <n v="74985"/>
    <n v="68359"/>
    <m/>
    <m/>
    <n v="285456"/>
    <n v="280728"/>
    <n v="164413"/>
    <n v="157458"/>
    <n v="309488"/>
    <n v="315190"/>
    <n v="759357"/>
    <n v="843.73"/>
    <n v="753376"/>
    <n v="837.08444444444444"/>
    <m/>
    <m/>
    <n v="0"/>
    <n v="0"/>
  </r>
  <r>
    <x v="9"/>
    <s v="Wayne Community College"/>
    <m/>
    <n v="199892"/>
    <x v="7"/>
    <s v="sem"/>
    <m/>
    <m/>
    <m/>
    <n v="34964"/>
    <n v="35155"/>
    <n v="6438"/>
    <n v="6895"/>
    <n v="36131"/>
    <n v="36745"/>
    <n v="77533"/>
    <n v="2584.4333333333334"/>
    <n v="78795"/>
    <n v="2626.5"/>
    <n v="5990"/>
    <n v="6860"/>
    <n v="77533"/>
    <n v="78795"/>
    <m/>
    <m/>
    <n v="224501"/>
    <n v="221882"/>
    <n v="122371"/>
    <n v="130050"/>
    <n v="220392"/>
    <n v="206126"/>
    <n v="567264"/>
    <n v="630.29333333333329"/>
    <n v="558058"/>
    <n v="620.06444444444446"/>
    <m/>
    <m/>
    <n v="0"/>
    <n v="0"/>
  </r>
  <r>
    <x v="9"/>
    <s v="Western Piedmont Community College "/>
    <m/>
    <n v="199908"/>
    <x v="7"/>
    <s v="sem"/>
    <m/>
    <m/>
    <m/>
    <n v="26851"/>
    <n v="22926"/>
    <n v="5764"/>
    <n v="5338"/>
    <n v="30842"/>
    <n v="25456"/>
    <n v="63457"/>
    <n v="2115.2333333333331"/>
    <n v="53720"/>
    <n v="1790.6666666666667"/>
    <n v="4056"/>
    <n v="3944"/>
    <n v="63457"/>
    <n v="53720"/>
    <m/>
    <m/>
    <n v="212405"/>
    <n v="225022"/>
    <n v="135555"/>
    <n v="126540"/>
    <n v="219557"/>
    <n v="206846"/>
    <n v="567517"/>
    <n v="630.57444444444445"/>
    <n v="558408"/>
    <n v="620.45333333333338"/>
    <m/>
    <m/>
    <n v="0"/>
    <n v="0"/>
  </r>
  <r>
    <x v="9"/>
    <s v="Wilkes Community College "/>
    <m/>
    <n v="199926"/>
    <x v="7"/>
    <s v="sem"/>
    <m/>
    <m/>
    <m/>
    <n v="25522"/>
    <n v="26201"/>
    <n v="4216"/>
    <n v="4141"/>
    <n v="27165"/>
    <n v="26575"/>
    <n v="56903"/>
    <n v="1896.7666666666667"/>
    <n v="56917"/>
    <n v="1897.2333333333333"/>
    <n v="3238"/>
    <n v="4398"/>
    <n v="56903"/>
    <n v="56917"/>
    <m/>
    <m/>
    <n v="179547"/>
    <n v="203063"/>
    <n v="144074"/>
    <n v="117703"/>
    <n v="192181"/>
    <n v="226628"/>
    <n v="515802"/>
    <n v="573.11333333333334"/>
    <n v="547394"/>
    <n v="608.21555555555551"/>
    <m/>
    <m/>
    <n v="0"/>
    <n v="0"/>
  </r>
  <r>
    <x v="9"/>
    <s v="Beaufort County Community College "/>
    <m/>
    <n v="197966"/>
    <x v="8"/>
    <s v="sem"/>
    <m/>
    <m/>
    <m/>
    <n v="17203"/>
    <n v="17342"/>
    <n v="2066"/>
    <n v="3291"/>
    <n v="18021"/>
    <n v="17029"/>
    <n v="37290"/>
    <n v="1243"/>
    <n v="37662"/>
    <n v="1255.4000000000001"/>
    <n v="2787"/>
    <n v="3929"/>
    <n v="37290"/>
    <n v="37662"/>
    <m/>
    <m/>
    <n v="104478"/>
    <n v="83005"/>
    <n v="75950"/>
    <n v="65945"/>
    <n v="93261"/>
    <n v="95216"/>
    <n v="273689"/>
    <n v="304.09888888888889"/>
    <n v="244166"/>
    <n v="271.29555555555555"/>
    <m/>
    <m/>
    <n v="0"/>
    <n v="0"/>
  </r>
  <r>
    <x v="9"/>
    <s v="Bladen Community College"/>
    <m/>
    <n v="198011"/>
    <x v="8"/>
    <s v="sem"/>
    <m/>
    <m/>
    <m/>
    <n v="16492"/>
    <n v="13448"/>
    <n v="2899"/>
    <n v="2498"/>
    <n v="17733"/>
    <n v="14873"/>
    <n v="37124"/>
    <n v="1237.4666666666667"/>
    <n v="30819"/>
    <n v="1027.3"/>
    <n v="296"/>
    <n v="1165"/>
    <n v="37124"/>
    <n v="30819"/>
    <m/>
    <m/>
    <n v="91483"/>
    <n v="84433"/>
    <n v="50617"/>
    <n v="42740"/>
    <n v="81999"/>
    <n v="82761"/>
    <n v="224099"/>
    <n v="248.9988888888889"/>
    <n v="209934"/>
    <n v="233.26"/>
    <m/>
    <m/>
    <n v="0"/>
    <n v="0"/>
  </r>
  <r>
    <x v="9"/>
    <s v="Blue Ridge Community College"/>
    <m/>
    <n v="198039"/>
    <x v="8"/>
    <s v="sem"/>
    <m/>
    <m/>
    <m/>
    <n v="18070"/>
    <n v="17514"/>
    <n v="4135"/>
    <n v="3949"/>
    <n v="17684"/>
    <n v="19078"/>
    <n v="39889"/>
    <n v="1329.6333333333334"/>
    <n v="40541"/>
    <n v="1351.3666666666666"/>
    <n v="4042"/>
    <n v="3726"/>
    <n v="39889"/>
    <n v="40541"/>
    <m/>
    <m/>
    <n v="193732"/>
    <n v="193397"/>
    <n v="99423"/>
    <n v="108473"/>
    <n v="190331"/>
    <n v="188787"/>
    <n v="483486"/>
    <n v="537.20666666666671"/>
    <n v="490657"/>
    <n v="545.17444444444448"/>
    <m/>
    <m/>
    <n v="0"/>
    <n v="0"/>
  </r>
  <r>
    <x v="9"/>
    <s v="Brunswick Community College"/>
    <m/>
    <n v="198084"/>
    <x v="8"/>
    <s v="sem"/>
    <m/>
    <m/>
    <m/>
    <n v="13284"/>
    <n v="12595"/>
    <n v="2187"/>
    <n v="2490"/>
    <n v="14782"/>
    <n v="13387"/>
    <n v="30253"/>
    <n v="1008.4333333333333"/>
    <n v="28472"/>
    <n v="949.06666666666672"/>
    <n v="3939"/>
    <n v="5000"/>
    <n v="30253"/>
    <n v="28472"/>
    <m/>
    <m/>
    <n v="135862"/>
    <n v="143491"/>
    <n v="90871"/>
    <n v="103148"/>
    <n v="153167"/>
    <n v="163765"/>
    <n v="379900"/>
    <n v="422.11111111111109"/>
    <n v="410404"/>
    <n v="456.00444444444446"/>
    <m/>
    <m/>
    <n v="0"/>
    <n v="0"/>
  </r>
  <r>
    <x v="9"/>
    <s v="Carteret Community College"/>
    <m/>
    <n v="198206"/>
    <x v="8"/>
    <s v="sem"/>
    <m/>
    <m/>
    <m/>
    <n v="16372"/>
    <n v="15525"/>
    <n v="3268"/>
    <n v="3347"/>
    <n v="16783"/>
    <n v="16257"/>
    <n v="36423"/>
    <n v="1214.0999999999999"/>
    <n v="35129"/>
    <n v="1170.9666666666667"/>
    <n v="690"/>
    <n v="489"/>
    <n v="36423"/>
    <n v="35129"/>
    <m/>
    <m/>
    <n v="131202"/>
    <n v="140200"/>
    <n v="83691"/>
    <n v="66513"/>
    <n v="124710"/>
    <n v="131173"/>
    <n v="339603"/>
    <n v="377.33666666666664"/>
    <n v="337886"/>
    <n v="375.42888888888888"/>
    <m/>
    <m/>
    <n v="0"/>
    <n v="0"/>
  </r>
  <r>
    <x v="9"/>
    <s v="College of the Albemarle"/>
    <m/>
    <n v="197814"/>
    <x v="8"/>
    <s v="sem"/>
    <m/>
    <m/>
    <m/>
    <n v="23574"/>
    <n v="20689"/>
    <n v="3858"/>
    <n v="3754"/>
    <n v="26541"/>
    <n v="22817"/>
    <n v="53973"/>
    <n v="1799.1"/>
    <n v="47260"/>
    <n v="1575.3333333333333"/>
    <n v="4820"/>
    <n v="4643"/>
    <n v="53973"/>
    <n v="47260"/>
    <m/>
    <m/>
    <n v="141875"/>
    <n v="129581"/>
    <n v="81230"/>
    <n v="56967"/>
    <n v="125580"/>
    <n v="132712"/>
    <n v="348685"/>
    <n v="387.42777777777781"/>
    <n v="319260"/>
    <n v="354.73333333333335"/>
    <m/>
    <m/>
    <n v="0"/>
    <n v="0"/>
  </r>
  <r>
    <x v="9"/>
    <s v="Halifax Community College "/>
    <m/>
    <n v="198640"/>
    <x v="8"/>
    <s v="sem"/>
    <m/>
    <m/>
    <m/>
    <n v="16344"/>
    <n v="15218"/>
    <n v="1586"/>
    <n v="1629"/>
    <n v="17138"/>
    <n v="15989"/>
    <n v="35068"/>
    <n v="1168.9333333333334"/>
    <n v="32836"/>
    <n v="1094.5333333333333"/>
    <n v="1028"/>
    <n v="1819"/>
    <n v="35068"/>
    <n v="32836"/>
    <m/>
    <m/>
    <n v="134468"/>
    <n v="111407"/>
    <n v="72182"/>
    <n v="47307"/>
    <n v="122318"/>
    <n v="124636"/>
    <n v="328968"/>
    <n v="365.52"/>
    <n v="283350"/>
    <n v="314.83333333333331"/>
    <m/>
    <m/>
    <n v="0"/>
    <n v="0"/>
  </r>
  <r>
    <x v="9"/>
    <s v="James Sprunt Community College"/>
    <m/>
    <n v="198729"/>
    <x v="8"/>
    <s v="sem"/>
    <m/>
    <m/>
    <m/>
    <n v="13964"/>
    <n v="14239"/>
    <n v="1648"/>
    <n v="1618"/>
    <n v="13575"/>
    <n v="15230"/>
    <n v="29187"/>
    <n v="972.9"/>
    <n v="31087"/>
    <n v="1036.2333333333333"/>
    <n v="3270"/>
    <n v="2688"/>
    <n v="29187"/>
    <n v="31087"/>
    <m/>
    <m/>
    <n v="109336"/>
    <n v="92352"/>
    <n v="102367"/>
    <n v="52778"/>
    <n v="97915"/>
    <n v="100354"/>
    <n v="309618"/>
    <n v="344.02"/>
    <n v="245484"/>
    <n v="272.76"/>
    <m/>
    <m/>
    <n v="0"/>
    <n v="0"/>
  </r>
  <r>
    <x v="9"/>
    <s v="Martin Community College "/>
    <m/>
    <n v="198905"/>
    <x v="8"/>
    <s v="sem"/>
    <m/>
    <m/>
    <m/>
    <n v="7602"/>
    <n v="6580"/>
    <n v="395"/>
    <n v="529"/>
    <n v="8054"/>
    <n v="7273"/>
    <n v="16051"/>
    <n v="535.0333333333333"/>
    <n v="14382"/>
    <n v="479.4"/>
    <n v="1102"/>
    <n v="1712"/>
    <n v="16051"/>
    <n v="14382"/>
    <m/>
    <m/>
    <n v="91402"/>
    <n v="90567"/>
    <n v="55043"/>
    <n v="54738"/>
    <n v="87818"/>
    <n v="86532"/>
    <n v="234263"/>
    <n v="260.29222222222222"/>
    <n v="231837"/>
    <n v="257.59666666666669"/>
    <m/>
    <m/>
    <n v="0"/>
    <n v="0"/>
  </r>
  <r>
    <x v="9"/>
    <s v="Mayland Community College"/>
    <m/>
    <n v="198914"/>
    <x v="8"/>
    <s v="sem"/>
    <m/>
    <m/>
    <m/>
    <n v="10171"/>
    <n v="9206"/>
    <n v="774"/>
    <n v="723"/>
    <n v="8736"/>
    <n v="9283"/>
    <n v="19681"/>
    <n v="656.0333333333333"/>
    <n v="19212"/>
    <n v="640.4"/>
    <n v="3140"/>
    <n v="4800"/>
    <n v="19681"/>
    <n v="19212"/>
    <m/>
    <m/>
    <n v="207942"/>
    <n v="178983"/>
    <n v="150919"/>
    <n v="121325"/>
    <n v="192831"/>
    <n v="181986"/>
    <n v="551692"/>
    <n v="612.99111111111108"/>
    <n v="482294"/>
    <n v="535.88222222222225"/>
    <m/>
    <m/>
    <n v="0"/>
    <n v="0"/>
  </r>
  <r>
    <x v="9"/>
    <s v="McDowell Technical Community College"/>
    <m/>
    <n v="198923"/>
    <x v="8"/>
    <s v="sem"/>
    <m/>
    <m/>
    <m/>
    <n v="11194"/>
    <n v="9988"/>
    <n v="3416"/>
    <n v="2979"/>
    <n v="11437"/>
    <n v="10539"/>
    <n v="26047"/>
    <n v="868.23333333333335"/>
    <n v="23506"/>
    <n v="783.5333333333333"/>
    <n v="2662"/>
    <n v="4114"/>
    <n v="26047"/>
    <n v="23506"/>
    <m/>
    <m/>
    <n v="118266"/>
    <n v="141771"/>
    <n v="72034"/>
    <n v="66827"/>
    <n v="102041"/>
    <n v="110053"/>
    <n v="292341"/>
    <n v="324.82333333333332"/>
    <n v="318651"/>
    <n v="354.05666666666667"/>
    <m/>
    <m/>
    <n v="0"/>
    <n v="0"/>
  </r>
  <r>
    <x v="9"/>
    <s v="Montgomery Community College"/>
    <m/>
    <n v="199023"/>
    <x v="8"/>
    <s v="sem"/>
    <m/>
    <m/>
    <m/>
    <n v="7548"/>
    <n v="7090"/>
    <n v="1731"/>
    <n v="1335"/>
    <n v="7589"/>
    <n v="7101"/>
    <n v="16868"/>
    <n v="562.26666666666665"/>
    <n v="15526"/>
    <n v="517.5333333333333"/>
    <n v="473"/>
    <n v="1056"/>
    <n v="16868"/>
    <n v="15526"/>
    <m/>
    <m/>
    <n v="97923"/>
    <n v="85612"/>
    <n v="54352"/>
    <n v="53769"/>
    <n v="99652"/>
    <n v="90262"/>
    <n v="251927"/>
    <n v="279.91888888888889"/>
    <n v="229643"/>
    <n v="255.1588888888889"/>
    <m/>
    <m/>
    <n v="0"/>
    <n v="0"/>
  </r>
  <r>
    <x v="9"/>
    <s v="Pamlico Community College"/>
    <m/>
    <n v="199263"/>
    <x v="8"/>
    <s v="sem"/>
    <m/>
    <m/>
    <m/>
    <n v="2909"/>
    <n v="4313"/>
    <n v="275"/>
    <n v="478"/>
    <n v="3516"/>
    <n v="4293"/>
    <n v="6700"/>
    <n v="223.33333333333334"/>
    <n v="9084"/>
    <n v="302.8"/>
    <n v="2239"/>
    <n v="3002"/>
    <n v="6700"/>
    <n v="9084"/>
    <m/>
    <m/>
    <n v="86416"/>
    <n v="58485"/>
    <n v="45399"/>
    <n v="54488"/>
    <n v="52000"/>
    <n v="50698"/>
    <n v="183815"/>
    <n v="204.23888888888888"/>
    <n v="163671"/>
    <n v="181.85666666666665"/>
    <m/>
    <m/>
    <n v="0"/>
    <n v="0"/>
  </r>
  <r>
    <x v="9"/>
    <s v="Piedmont Community College"/>
    <m/>
    <n v="199324"/>
    <x v="8"/>
    <s v="sem"/>
    <m/>
    <m/>
    <m/>
    <n v="17467"/>
    <n v="15599"/>
    <n v="2340"/>
    <n v="2184"/>
    <n v="18852"/>
    <n v="16206"/>
    <n v="38659"/>
    <n v="1288.6333333333334"/>
    <n v="33989"/>
    <n v="1132.9666666666667"/>
    <n v="4912"/>
    <n v="2256"/>
    <n v="38659"/>
    <n v="33989"/>
    <m/>
    <m/>
    <n v="209670"/>
    <n v="206857"/>
    <n v="112376"/>
    <n v="120301"/>
    <n v="203081"/>
    <n v="211673"/>
    <n v="525127"/>
    <n v="583.47444444444443"/>
    <n v="538831"/>
    <n v="598.70111111111112"/>
    <m/>
    <m/>
    <n v="0"/>
    <n v="0"/>
  </r>
  <r>
    <x v="9"/>
    <s v="Richmond Community College"/>
    <s v="Met the criteria for Two-Year 2 in 2012-13 and 2013-14."/>
    <n v="199449"/>
    <x v="8"/>
    <s v="sem"/>
    <m/>
    <m/>
    <m/>
    <n v="21833"/>
    <n v="21332"/>
    <n v="4236"/>
    <n v="3556"/>
    <n v="23413"/>
    <n v="22926"/>
    <n v="49482"/>
    <n v="1649.4"/>
    <n v="47814"/>
    <n v="1593.8"/>
    <n v="5980"/>
    <n v="6326"/>
    <n v="49482"/>
    <n v="47814"/>
    <m/>
    <m/>
    <n v="194240"/>
    <n v="203311"/>
    <n v="142381"/>
    <n v="154154"/>
    <n v="208897"/>
    <n v="220409"/>
    <n v="545518"/>
    <n v="606.13111111111107"/>
    <n v="577874"/>
    <n v="642.08222222222219"/>
    <m/>
    <m/>
    <n v="0"/>
    <n v="0"/>
  </r>
  <r>
    <x v="9"/>
    <s v="Roanoke-Chowan Community College"/>
    <m/>
    <n v="199467"/>
    <x v="8"/>
    <s v="sem"/>
    <m/>
    <m/>
    <m/>
    <n v="7716"/>
    <n v="7162"/>
    <n v="0"/>
    <n v="786"/>
    <n v="8566"/>
    <n v="8129"/>
    <n v="16282"/>
    <n v="542.73333333333335"/>
    <n v="16077"/>
    <n v="535.9"/>
    <n v="2172"/>
    <n v="1927"/>
    <n v="16282"/>
    <n v="16077"/>
    <m/>
    <m/>
    <n v="74253"/>
    <n v="69633"/>
    <n v="46554"/>
    <n v="42006"/>
    <n v="63832"/>
    <n v="73600"/>
    <n v="184639"/>
    <n v="205.15444444444444"/>
    <n v="185239"/>
    <n v="205.82111111111112"/>
    <m/>
    <m/>
    <n v="0"/>
    <n v="0"/>
  </r>
  <r>
    <x v="9"/>
    <s v="Rockingham Community College "/>
    <m/>
    <n v="199485"/>
    <x v="8"/>
    <s v="sem"/>
    <m/>
    <m/>
    <m/>
    <n v="19300"/>
    <n v="17281"/>
    <n v="3816"/>
    <n v="3310"/>
    <n v="21803"/>
    <n v="18989"/>
    <n v="44919"/>
    <n v="1497.3"/>
    <n v="39580"/>
    <n v="1319.3333333333333"/>
    <n v="2597"/>
    <n v="3185"/>
    <n v="44919"/>
    <n v="39580"/>
    <m/>
    <m/>
    <n v="111454"/>
    <n v="96993"/>
    <n v="65301"/>
    <n v="62819"/>
    <n v="113318"/>
    <n v="109074"/>
    <n v="290073"/>
    <n v="322.30333333333334"/>
    <n v="268886"/>
    <n v="298.76222222222225"/>
    <m/>
    <m/>
    <n v="0"/>
    <n v="0"/>
  </r>
  <r>
    <x v="9"/>
    <s v="Sampson Community College"/>
    <m/>
    <n v="199625"/>
    <x v="8"/>
    <s v="sem"/>
    <m/>
    <m/>
    <m/>
    <n v="13272"/>
    <n v="11926"/>
    <n v="863"/>
    <n v="1378"/>
    <n v="13836"/>
    <n v="12394"/>
    <n v="27971"/>
    <n v="932.36666666666667"/>
    <n v="25698"/>
    <n v="856.6"/>
    <n v="3462"/>
    <n v="4699"/>
    <n v="27971"/>
    <n v="25698"/>
    <m/>
    <m/>
    <n v="143346"/>
    <n v="152630"/>
    <n v="113581"/>
    <n v="121777"/>
    <n v="205855"/>
    <n v="203727"/>
    <n v="462782"/>
    <n v="514.20222222222219"/>
    <n v="478134"/>
    <n v="531.26"/>
    <m/>
    <m/>
    <n v="0"/>
    <n v="0"/>
  </r>
  <r>
    <x v="9"/>
    <s v="South Piedmont Community College"/>
    <s v="Met the criteria for Two-Year 2 in 2012-13 and 2013-14."/>
    <n v="197850"/>
    <x v="8"/>
    <s v="sem"/>
    <m/>
    <m/>
    <m/>
    <n v="17968"/>
    <n v="17932"/>
    <n v="3430"/>
    <n v="3771"/>
    <n v="20086"/>
    <n v="19009"/>
    <n v="41484"/>
    <n v="1382.8"/>
    <n v="40712"/>
    <n v="1357.0666666666666"/>
    <n v="6889"/>
    <n v="7588"/>
    <n v="41484"/>
    <n v="40712"/>
    <m/>
    <m/>
    <n v="249826"/>
    <n v="263576"/>
    <n v="171283"/>
    <n v="147723"/>
    <n v="271279"/>
    <n v="286970"/>
    <n v="692388"/>
    <n v="769.32"/>
    <n v="698269"/>
    <n v="775.85444444444443"/>
    <m/>
    <m/>
    <n v="0"/>
    <n v="0"/>
  </r>
  <r>
    <x v="9"/>
    <s v="Southeastern Community College "/>
    <m/>
    <n v="199722"/>
    <x v="8"/>
    <s v="sem"/>
    <m/>
    <m/>
    <m/>
    <n v="16228"/>
    <n v="14263"/>
    <n v="4842"/>
    <n v="4134"/>
    <n v="19135"/>
    <n v="16423"/>
    <n v="40205"/>
    <n v="1340.1666666666667"/>
    <n v="34820"/>
    <n v="1160.6666666666667"/>
    <n v="3032"/>
    <n v="2537"/>
    <n v="40205"/>
    <n v="34820"/>
    <m/>
    <m/>
    <n v="265023"/>
    <n v="286647"/>
    <n v="167311"/>
    <n v="164927"/>
    <n v="307655"/>
    <n v="268246"/>
    <n v="739989"/>
    <n v="822.21"/>
    <n v="719820"/>
    <n v="799.8"/>
    <m/>
    <m/>
    <n v="0"/>
    <n v="0"/>
  </r>
  <r>
    <x v="9"/>
    <s v="Southwestern Community College "/>
    <s v="Met the criteria for Two-Year 2 in 2012-13 and 2013-14."/>
    <n v="199731"/>
    <x v="8"/>
    <s v="sem"/>
    <m/>
    <m/>
    <m/>
    <n v="21882"/>
    <n v="21459"/>
    <n v="5625"/>
    <n v="5266"/>
    <n v="21977"/>
    <n v="22885"/>
    <n v="49484"/>
    <n v="1649.4666666666667"/>
    <n v="49610"/>
    <n v="1653.6666666666667"/>
    <n v="6882"/>
    <n v="6616"/>
    <n v="49484"/>
    <n v="49610"/>
    <m/>
    <m/>
    <n v="166775"/>
    <n v="166096"/>
    <n v="71369"/>
    <n v="97013"/>
    <n v="164413"/>
    <n v="158398"/>
    <n v="402557"/>
    <n v="447.28555555555556"/>
    <n v="421507"/>
    <n v="468.3411111111111"/>
    <m/>
    <m/>
    <n v="0"/>
    <n v="0"/>
  </r>
  <r>
    <x v="9"/>
    <s v="Tri-County Community College "/>
    <m/>
    <n v="199795"/>
    <x v="8"/>
    <s v="sem"/>
    <m/>
    <m/>
    <m/>
    <n v="11742"/>
    <n v="12607"/>
    <n v="1808"/>
    <n v="1701"/>
    <n v="12576"/>
    <n v="12624"/>
    <n v="26126"/>
    <n v="870.86666666666667"/>
    <n v="26932"/>
    <n v="897.73333333333335"/>
    <n v="4048"/>
    <n v="4136"/>
    <n v="26126"/>
    <n v="26932"/>
    <m/>
    <m/>
    <n v="49211"/>
    <n v="53598"/>
    <n v="34904"/>
    <n v="28788"/>
    <n v="78978"/>
    <n v="68734"/>
    <n v="163093"/>
    <n v="181.21444444444444"/>
    <n v="151120"/>
    <n v="167.9111111111111"/>
    <m/>
    <m/>
    <n v="0"/>
    <n v="0"/>
  </r>
  <r>
    <x v="9"/>
    <s v="Wilson Community College"/>
    <m/>
    <n v="199953"/>
    <x v="8"/>
    <s v="sem"/>
    <m/>
    <m/>
    <m/>
    <n v="17037"/>
    <n v="16516"/>
    <n v="6508"/>
    <n v="6822"/>
    <n v="17755"/>
    <n v="16794"/>
    <n v="41300"/>
    <n v="1376.6666666666667"/>
    <n v="40132"/>
    <n v="1337.7333333333333"/>
    <n v="2185"/>
    <n v="3405"/>
    <n v="41300"/>
    <n v="40132"/>
    <m/>
    <m/>
    <n v="142061"/>
    <n v="162045"/>
    <n v="86191"/>
    <n v="81957"/>
    <n v="138636"/>
    <n v="153064"/>
    <n v="366888"/>
    <n v="407.65333333333331"/>
    <n v="397066"/>
    <n v="441.18444444444447"/>
    <m/>
    <m/>
    <n v="0"/>
    <n v="0"/>
  </r>
  <r>
    <x v="10"/>
    <s v="Oklahoma State University Main Campus"/>
    <m/>
    <n v="207388"/>
    <x v="0"/>
    <s v="sem"/>
    <s v="sem"/>
    <m/>
    <m/>
    <n v="259507"/>
    <n v="274206"/>
    <n v="33526"/>
    <n v="32382"/>
    <n v="294208"/>
    <n v="302098"/>
    <n v="587241"/>
    <n v="19574.7"/>
    <n v="608686"/>
    <n v="20289.533333333333"/>
    <n v="998"/>
    <n v="824"/>
    <n v="587241"/>
    <n v="608686"/>
    <m/>
    <m/>
    <m/>
    <m/>
    <m/>
    <m/>
    <m/>
    <m/>
    <n v="0"/>
    <n v="0"/>
    <n v="0"/>
    <n v="0"/>
    <m/>
    <m/>
    <n v="0"/>
    <n v="0"/>
  </r>
  <r>
    <x v="10"/>
    <s v="University of Oklahoma Norman Campus"/>
    <m/>
    <n v="207500"/>
    <x v="0"/>
    <s v="sem"/>
    <s v="sem"/>
    <m/>
    <m/>
    <n v="314245"/>
    <n v="312399"/>
    <n v="52379"/>
    <n v="54256"/>
    <n v="337875"/>
    <n v="341164"/>
    <n v="704499"/>
    <n v="23483.3"/>
    <n v="707819"/>
    <n v="23593.966666666667"/>
    <n v="616"/>
    <n v="607"/>
    <n v="704499"/>
    <n v="707819"/>
    <m/>
    <m/>
    <m/>
    <m/>
    <m/>
    <m/>
    <m/>
    <m/>
    <n v="0"/>
    <n v="0"/>
    <n v="0"/>
    <n v="0"/>
    <m/>
    <m/>
    <n v="0"/>
    <n v="0"/>
  </r>
  <r>
    <x v="10"/>
    <s v="Northeastern State University"/>
    <m/>
    <n v="207263"/>
    <x v="2"/>
    <s v="sem"/>
    <s v="sem"/>
    <m/>
    <m/>
    <n v="86831"/>
    <n v="83094"/>
    <n v="15474"/>
    <n v="15205"/>
    <n v="90882"/>
    <n v="89357"/>
    <n v="193187"/>
    <n v="6439.5666666666666"/>
    <n v="187656"/>
    <n v="6255.2"/>
    <n v="1300"/>
    <n v="1704"/>
    <n v="193187"/>
    <n v="187656"/>
    <m/>
    <m/>
    <m/>
    <m/>
    <m/>
    <m/>
    <m/>
    <m/>
    <n v="0"/>
    <n v="0"/>
    <n v="0"/>
    <n v="0"/>
    <m/>
    <m/>
    <n v="0"/>
    <n v="0"/>
  </r>
  <r>
    <x v="10"/>
    <s v="University of Central Oklahoma"/>
    <m/>
    <n v="206941"/>
    <x v="2"/>
    <s v="sem"/>
    <s v="sem"/>
    <m/>
    <m/>
    <n v="163897"/>
    <n v="166295"/>
    <n v="28595"/>
    <n v="28644"/>
    <n v="180666"/>
    <n v="179066"/>
    <n v="373158"/>
    <n v="12438.6"/>
    <n v="374005"/>
    <n v="12466.833333333334"/>
    <n v="2519"/>
    <n v="4204"/>
    <n v="373158"/>
    <n v="374005"/>
    <m/>
    <m/>
    <m/>
    <m/>
    <m/>
    <m/>
    <m/>
    <m/>
    <n v="0"/>
    <n v="0"/>
    <n v="0"/>
    <n v="0"/>
    <m/>
    <m/>
    <n v="0"/>
    <n v="0"/>
  </r>
  <r>
    <x v="10"/>
    <s v="Southeastern Oklahoma State University "/>
    <m/>
    <n v="207847"/>
    <x v="3"/>
    <s v="sem"/>
    <s v="sem"/>
    <m/>
    <m/>
    <n v="41811"/>
    <n v="39690"/>
    <n v="8004"/>
    <n v="7040"/>
    <n v="45411"/>
    <n v="43037"/>
    <n v="95226"/>
    <n v="3174.2"/>
    <n v="89767"/>
    <n v="2992.2333333333331"/>
    <n v="1448"/>
    <n v="1599"/>
    <n v="95226"/>
    <n v="89767"/>
    <m/>
    <m/>
    <m/>
    <m/>
    <m/>
    <m/>
    <m/>
    <m/>
    <n v="0"/>
    <n v="0"/>
    <n v="0"/>
    <n v="0"/>
    <m/>
    <m/>
    <n v="0"/>
    <n v="0"/>
  </r>
  <r>
    <x v="10"/>
    <s v="Cameron University "/>
    <m/>
    <n v="206914"/>
    <x v="4"/>
    <s v="sem"/>
    <s v="sem"/>
    <m/>
    <m/>
    <n v="60635"/>
    <n v="57607"/>
    <n v="11716"/>
    <n v="10535"/>
    <n v="61744"/>
    <n v="59374"/>
    <n v="134095"/>
    <n v="4469.833333333333"/>
    <n v="127516"/>
    <n v="4250.5333333333338"/>
    <n v="2445"/>
    <n v="2477"/>
    <n v="134095"/>
    <n v="127516"/>
    <m/>
    <m/>
    <m/>
    <m/>
    <m/>
    <m/>
    <m/>
    <m/>
    <n v="0"/>
    <n v="0"/>
    <n v="0"/>
    <n v="0"/>
    <m/>
    <m/>
    <n v="0"/>
    <n v="0"/>
  </r>
  <r>
    <x v="10"/>
    <s v="East Central University "/>
    <m/>
    <n v="207041"/>
    <x v="4"/>
    <s v="sem"/>
    <s v="sem"/>
    <m/>
    <m/>
    <n v="46720"/>
    <n v="45015"/>
    <n v="8024"/>
    <n v="7497"/>
    <n v="48635"/>
    <n v="48502"/>
    <n v="103379"/>
    <n v="3445.9666666666667"/>
    <n v="101014"/>
    <n v="3367.1333333333332"/>
    <n v="1027"/>
    <n v="1190"/>
    <n v="103379"/>
    <n v="101014"/>
    <m/>
    <m/>
    <m/>
    <m/>
    <m/>
    <m/>
    <m/>
    <m/>
    <n v="0"/>
    <n v="0"/>
    <n v="0"/>
    <n v="0"/>
    <m/>
    <m/>
    <n v="0"/>
    <n v="0"/>
  </r>
  <r>
    <x v="10"/>
    <s v="Langston University"/>
    <m/>
    <n v="207209"/>
    <x v="4"/>
    <s v="sem"/>
    <s v="sem"/>
    <m/>
    <m/>
    <n v="27455"/>
    <n v="23523"/>
    <n v="3351"/>
    <n v="2939"/>
    <n v="26789"/>
    <n v="28053"/>
    <n v="57595"/>
    <n v="1919.8333333333333"/>
    <n v="54515"/>
    <n v="1817.1666666666667"/>
    <n v="0"/>
    <n v="20"/>
    <n v="57595"/>
    <n v="54515"/>
    <m/>
    <m/>
    <m/>
    <m/>
    <m/>
    <m/>
    <m/>
    <m/>
    <n v="0"/>
    <n v="0"/>
    <n v="0"/>
    <n v="0"/>
    <m/>
    <m/>
    <n v="0"/>
    <n v="0"/>
  </r>
  <r>
    <x v="10"/>
    <s v="Northwestern Oklahoma State University "/>
    <m/>
    <n v="207306"/>
    <x v="4"/>
    <s v="sem"/>
    <s v="sem"/>
    <m/>
    <m/>
    <n v="22497"/>
    <n v="23196"/>
    <n v="3327"/>
    <n v="3559"/>
    <n v="25327"/>
    <n v="25394"/>
    <n v="51151"/>
    <n v="1705.0333333333333"/>
    <n v="52149"/>
    <n v="1738.3"/>
    <n v="547"/>
    <n v="558"/>
    <n v="51151"/>
    <n v="52149"/>
    <m/>
    <m/>
    <m/>
    <m/>
    <m/>
    <m/>
    <m/>
    <m/>
    <n v="0"/>
    <n v="0"/>
    <n v="0"/>
    <n v="0"/>
    <m/>
    <m/>
    <n v="0"/>
    <n v="0"/>
  </r>
  <r>
    <x v="10"/>
    <s v="Southwestern Oklahoma State University"/>
    <m/>
    <n v="207865"/>
    <x v="4"/>
    <s v="sem"/>
    <s v="sem"/>
    <m/>
    <m/>
    <n v="53247"/>
    <n v="51998"/>
    <n v="8776"/>
    <n v="8139"/>
    <n v="58520"/>
    <n v="57130"/>
    <n v="120543"/>
    <n v="4018.1"/>
    <n v="117267"/>
    <n v="3908.9"/>
    <n v="1482"/>
    <n v="1599"/>
    <n v="120543"/>
    <n v="117267"/>
    <m/>
    <m/>
    <m/>
    <m/>
    <m/>
    <m/>
    <m/>
    <m/>
    <n v="0"/>
    <n v="0"/>
    <n v="0"/>
    <n v="0"/>
    <m/>
    <m/>
    <n v="0"/>
    <n v="0"/>
  </r>
  <r>
    <x v="10"/>
    <s v="Oklahoma Panhandle State University "/>
    <m/>
    <n v="207351"/>
    <x v="5"/>
    <s v="sem"/>
    <s v="sem"/>
    <m/>
    <m/>
    <n v="19721"/>
    <n v="18177"/>
    <n v="1777"/>
    <n v="1811"/>
    <n v="21010"/>
    <n v="17572"/>
    <n v="42508"/>
    <n v="1416.9333333333334"/>
    <n v="37560"/>
    <n v="1252"/>
    <n v="445"/>
    <n v="675"/>
    <n v="42508"/>
    <n v="37560"/>
    <m/>
    <m/>
    <m/>
    <m/>
    <m/>
    <m/>
    <m/>
    <m/>
    <n v="0"/>
    <n v="0"/>
    <n v="0"/>
    <n v="0"/>
    <m/>
    <m/>
    <n v="0"/>
    <n v="0"/>
  </r>
  <r>
    <x v="10"/>
    <s v="Rogers State University"/>
    <m/>
    <n v="207661"/>
    <x v="5"/>
    <s v="sem"/>
    <s v="sem"/>
    <m/>
    <m/>
    <n v="47320"/>
    <n v="45591"/>
    <n v="7856"/>
    <n v="6673"/>
    <n v="51001"/>
    <n v="47061"/>
    <n v="106177"/>
    <n v="3539.2333333333331"/>
    <n v="99325"/>
    <n v="3310.8333333333335"/>
    <n v="4409"/>
    <n v="4634"/>
    <n v="106177"/>
    <n v="99325"/>
    <m/>
    <m/>
    <m/>
    <m/>
    <m/>
    <m/>
    <m/>
    <m/>
    <n v="0"/>
    <n v="0"/>
    <n v="0"/>
    <n v="0"/>
    <m/>
    <m/>
    <n v="0"/>
    <n v="0"/>
  </r>
  <r>
    <x v="10"/>
    <s v="University of Science and Arts of Oklahoma"/>
    <m/>
    <n v="207722"/>
    <x v="5"/>
    <s v="sem"/>
    <s v="sem"/>
    <m/>
    <m/>
    <n v="11408"/>
    <n v="10801"/>
    <n v="4533"/>
    <n v="3799"/>
    <n v="12452"/>
    <n v="12070"/>
    <n v="28393"/>
    <n v="946.43333333333328"/>
    <n v="26670"/>
    <n v="889"/>
    <n v="81"/>
    <n v="92"/>
    <n v="28393"/>
    <n v="26670"/>
    <m/>
    <m/>
    <m/>
    <m/>
    <m/>
    <m/>
    <m/>
    <m/>
    <n v="0"/>
    <n v="0"/>
    <n v="0"/>
    <n v="0"/>
    <m/>
    <m/>
    <n v="0"/>
    <n v="0"/>
  </r>
  <r>
    <x v="10"/>
    <s v="Oklahoma State University Technical Branch-Okmulgee "/>
    <s v="Met the criteria for Two-Year 2 institution in 2012-13 and 2013-14."/>
    <n v="207564"/>
    <x v="11"/>
    <s v="sem"/>
    <s v="sem"/>
    <m/>
    <m/>
    <n v="35923"/>
    <n v="36881"/>
    <n v="23086"/>
    <n v="22316"/>
    <n v="37331"/>
    <n v="40087"/>
    <n v="96340"/>
    <n v="3211.3333333333335"/>
    <n v="99284"/>
    <n v="3309.4666666666667"/>
    <n v="6299"/>
    <n v="7349"/>
    <n v="96340"/>
    <n v="99284"/>
    <m/>
    <m/>
    <m/>
    <m/>
    <m/>
    <m/>
    <m/>
    <m/>
    <n v="0"/>
    <n v="0"/>
    <n v="0"/>
    <n v="0"/>
    <m/>
    <m/>
    <n v="0"/>
    <n v="0"/>
  </r>
  <r>
    <x v="10"/>
    <s v="Oklahoma State University-Oklahoma City "/>
    <s v="Met the criteria for Two-Year 2 institution in 2013-14."/>
    <n v="207397"/>
    <x v="11"/>
    <s v="sem"/>
    <s v="sem"/>
    <m/>
    <m/>
    <n v="71210"/>
    <n v="65941"/>
    <n v="20919"/>
    <n v="17400"/>
    <n v="75625"/>
    <n v="66651"/>
    <n v="167754"/>
    <n v="5591.8"/>
    <n v="149992"/>
    <n v="4999.7333333333336"/>
    <n v="3336"/>
    <n v="3609"/>
    <n v="167754"/>
    <n v="149992"/>
    <m/>
    <m/>
    <m/>
    <m/>
    <m/>
    <m/>
    <m/>
    <m/>
    <n v="0"/>
    <n v="0"/>
    <n v="0"/>
    <n v="0"/>
    <m/>
    <m/>
    <n v="0"/>
    <n v="0"/>
  </r>
  <r>
    <x v="10"/>
    <s v="Oklahoma City Community College "/>
    <m/>
    <n v="207449"/>
    <x v="6"/>
    <s v="sem"/>
    <s v="sem"/>
    <m/>
    <m/>
    <n v="120354"/>
    <n v="111438"/>
    <n v="30470"/>
    <n v="29459"/>
    <n v="122469"/>
    <n v="117292"/>
    <n v="273293"/>
    <n v="9109.7666666666664"/>
    <n v="258189"/>
    <n v="8606.2999999999993"/>
    <n v="17241"/>
    <n v="10753"/>
    <n v="273293"/>
    <n v="258189"/>
    <m/>
    <m/>
    <m/>
    <m/>
    <m/>
    <m/>
    <m/>
    <m/>
    <n v="0"/>
    <n v="0"/>
    <n v="0"/>
    <n v="0"/>
    <m/>
    <m/>
    <n v="0"/>
    <n v="0"/>
  </r>
  <r>
    <x v="10"/>
    <s v="Rose State College "/>
    <s v="Met the criteria for Two-Year 2 institution in 2013-14."/>
    <n v="207670"/>
    <x v="6"/>
    <s v="sem"/>
    <s v="sem"/>
    <m/>
    <m/>
    <n v="67236"/>
    <n v="61126"/>
    <n v="15835"/>
    <n v="14302"/>
    <n v="69916"/>
    <n v="63154"/>
    <n v="152987"/>
    <n v="5099.5666666666666"/>
    <n v="138582"/>
    <n v="4619.3999999999996"/>
    <n v="4292"/>
    <n v="4158"/>
    <n v="152987"/>
    <n v="138582"/>
    <m/>
    <m/>
    <m/>
    <m/>
    <m/>
    <m/>
    <m/>
    <m/>
    <n v="0"/>
    <n v="0"/>
    <n v="0"/>
    <n v="0"/>
    <m/>
    <m/>
    <n v="0"/>
    <n v="0"/>
  </r>
  <r>
    <x v="10"/>
    <s v="Tulsa Community College "/>
    <m/>
    <n v="207935"/>
    <x v="6"/>
    <s v="sem"/>
    <s v="sem"/>
    <m/>
    <m/>
    <n v="165422"/>
    <n v="156923"/>
    <n v="47856"/>
    <n v="42359"/>
    <n v="169640"/>
    <n v="159214"/>
    <n v="382918"/>
    <n v="12763.933333333332"/>
    <n v="358496"/>
    <n v="11949.866666666667"/>
    <n v="14531"/>
    <n v="16922"/>
    <n v="382918"/>
    <n v="358496"/>
    <m/>
    <m/>
    <m/>
    <m/>
    <m/>
    <m/>
    <m/>
    <m/>
    <n v="0"/>
    <n v="0"/>
    <n v="0"/>
    <n v="0"/>
    <m/>
    <m/>
    <n v="0"/>
    <n v="0"/>
  </r>
  <r>
    <x v="10"/>
    <s v="Carl Albert State College"/>
    <s v="Met the criteria for Two-Year 3 institution in 2013-14."/>
    <n v="206923"/>
    <x v="7"/>
    <s v="sem"/>
    <s v="sem"/>
    <m/>
    <m/>
    <n v="28774"/>
    <n v="27088"/>
    <n v="4168"/>
    <n v="4360"/>
    <n v="29971"/>
    <n v="28007"/>
    <n v="62913"/>
    <n v="2097.1"/>
    <n v="59455"/>
    <n v="1981.8333333333333"/>
    <n v="2361"/>
    <n v="2455"/>
    <n v="62913"/>
    <n v="59455"/>
    <m/>
    <m/>
    <m/>
    <m/>
    <m/>
    <m/>
    <m/>
    <m/>
    <n v="0"/>
    <n v="0"/>
    <n v="0"/>
    <n v="0"/>
    <m/>
    <m/>
    <n v="0"/>
    <n v="0"/>
  </r>
  <r>
    <x v="10"/>
    <s v="Northern Oklahoma College "/>
    <m/>
    <n v="207281"/>
    <x v="7"/>
    <s v="sem"/>
    <s v="sem"/>
    <m/>
    <m/>
    <n v="49789"/>
    <n v="45161"/>
    <n v="6950"/>
    <n v="6514"/>
    <n v="50260"/>
    <n v="47501"/>
    <n v="106999"/>
    <n v="3566.6333333333332"/>
    <n v="99176"/>
    <n v="3305.8666666666668"/>
    <n v="6756"/>
    <n v="5639"/>
    <n v="106999"/>
    <n v="99176"/>
    <m/>
    <m/>
    <m/>
    <m/>
    <m/>
    <m/>
    <m/>
    <m/>
    <n v="0"/>
    <n v="0"/>
    <n v="0"/>
    <n v="0"/>
    <m/>
    <m/>
    <n v="0"/>
    <n v="0"/>
  </r>
  <r>
    <x v="10"/>
    <s v="Connors State College "/>
    <m/>
    <n v="206996"/>
    <x v="8"/>
    <s v="sem"/>
    <s v="sem"/>
    <m/>
    <m/>
    <n v="29393"/>
    <n v="23101"/>
    <n v="4136"/>
    <n v="4484"/>
    <n v="25914"/>
    <n v="26315"/>
    <n v="59443"/>
    <n v="1981.4333333333334"/>
    <n v="53900"/>
    <n v="1796.6666666666667"/>
    <n v="4904"/>
    <n v="7379"/>
    <n v="59443"/>
    <n v="53900"/>
    <m/>
    <m/>
    <m/>
    <m/>
    <m/>
    <m/>
    <m/>
    <m/>
    <n v="0"/>
    <n v="0"/>
    <n v="0"/>
    <n v="0"/>
    <m/>
    <m/>
    <n v="0"/>
    <n v="0"/>
  </r>
  <r>
    <x v="10"/>
    <s v="Eastern Oklahoma State College "/>
    <m/>
    <n v="207050"/>
    <x v="8"/>
    <s v="sem"/>
    <s v="sem"/>
    <m/>
    <m/>
    <n v="19429"/>
    <n v="18677"/>
    <n v="3195"/>
    <n v="2786"/>
    <n v="20574"/>
    <n v="19190"/>
    <n v="43198"/>
    <n v="1439.9333333333334"/>
    <n v="40653"/>
    <n v="1355.1"/>
    <n v="3369"/>
    <n v="3703"/>
    <n v="43198"/>
    <n v="40653"/>
    <m/>
    <m/>
    <m/>
    <m/>
    <m/>
    <m/>
    <m/>
    <m/>
    <n v="0"/>
    <n v="0"/>
    <n v="0"/>
    <n v="0"/>
    <m/>
    <m/>
    <n v="0"/>
    <n v="0"/>
  </r>
  <r>
    <x v="10"/>
    <s v="Murray State College "/>
    <m/>
    <n v="207236"/>
    <x v="8"/>
    <s v="sem"/>
    <s v="sem"/>
    <m/>
    <m/>
    <n v="25180"/>
    <n v="23159"/>
    <n v="4778"/>
    <n v="3755"/>
    <n v="26273"/>
    <n v="22967"/>
    <n v="56231"/>
    <n v="1874.3666666666666"/>
    <n v="49881"/>
    <n v="1662.7"/>
    <n v="4697"/>
    <n v="4481"/>
    <n v="56231"/>
    <n v="49881"/>
    <m/>
    <m/>
    <m/>
    <m/>
    <m/>
    <m/>
    <m/>
    <m/>
    <n v="0"/>
    <n v="0"/>
    <n v="0"/>
    <n v="0"/>
    <m/>
    <m/>
    <n v="0"/>
    <n v="0"/>
  </r>
  <r>
    <x v="10"/>
    <s v="Northeastern Oklahoma A &amp; M College "/>
    <m/>
    <n v="207290"/>
    <x v="8"/>
    <s v="sem"/>
    <s v="sem"/>
    <m/>
    <m/>
    <n v="27681"/>
    <n v="26860"/>
    <n v="3957"/>
    <n v="3519"/>
    <n v="31427"/>
    <n v="29479"/>
    <n v="63065"/>
    <n v="2102.1666666666665"/>
    <n v="59858"/>
    <n v="1995.2666666666667"/>
    <n v="2105"/>
    <n v="2183"/>
    <n v="63065"/>
    <n v="59858"/>
    <m/>
    <m/>
    <m/>
    <m/>
    <m/>
    <m/>
    <m/>
    <m/>
    <n v="0"/>
    <n v="0"/>
    <n v="0"/>
    <n v="0"/>
    <m/>
    <m/>
    <n v="0"/>
    <n v="0"/>
  </r>
  <r>
    <x v="10"/>
    <s v="Redlands Community College"/>
    <m/>
    <n v="207069"/>
    <x v="8"/>
    <s v="sem"/>
    <s v="sem"/>
    <m/>
    <m/>
    <n v="20375"/>
    <n v="18941"/>
    <n v="3849"/>
    <n v="3665"/>
    <n v="21220"/>
    <n v="21178"/>
    <n v="45444"/>
    <n v="1514.8"/>
    <n v="43784"/>
    <n v="1459.4666666666667"/>
    <n v="7165"/>
    <n v="9354"/>
    <n v="45444"/>
    <n v="43784"/>
    <m/>
    <m/>
    <m/>
    <m/>
    <m/>
    <m/>
    <m/>
    <m/>
    <n v="0"/>
    <n v="0"/>
    <n v="0"/>
    <n v="0"/>
    <m/>
    <m/>
    <n v="0"/>
    <n v="0"/>
  </r>
  <r>
    <x v="10"/>
    <s v="Seminole State College "/>
    <m/>
    <n v="207740"/>
    <x v="8"/>
    <s v="sem"/>
    <s v="sem"/>
    <m/>
    <m/>
    <n v="19994"/>
    <n v="18344"/>
    <n v="2802"/>
    <n v="3642"/>
    <n v="21107"/>
    <n v="19006"/>
    <n v="43903"/>
    <n v="1463.4333333333334"/>
    <n v="40992"/>
    <n v="1366.4"/>
    <n v="3673"/>
    <n v="3900"/>
    <n v="43903"/>
    <n v="40992"/>
    <m/>
    <m/>
    <m/>
    <m/>
    <m/>
    <m/>
    <m/>
    <m/>
    <n v="0"/>
    <n v="0"/>
    <n v="0"/>
    <n v="0"/>
    <m/>
    <m/>
    <n v="0"/>
    <n v="0"/>
  </r>
  <r>
    <x v="10"/>
    <s v="Western Oklahoma State College "/>
    <m/>
    <n v="208035"/>
    <x v="8"/>
    <s v="sem"/>
    <s v="sem"/>
    <m/>
    <m/>
    <n v="20607"/>
    <n v="17595"/>
    <n v="12945"/>
    <n v="1401"/>
    <n v="31032"/>
    <n v="15644"/>
    <n v="64584"/>
    <n v="2152.8000000000002"/>
    <n v="34640"/>
    <n v="1154.6666666666667"/>
    <n v="3694"/>
    <n v="3237"/>
    <n v="64584"/>
    <n v="34640"/>
    <m/>
    <m/>
    <m/>
    <m/>
    <m/>
    <m/>
    <m/>
    <m/>
    <n v="0"/>
    <n v="0"/>
    <n v="0"/>
    <n v="0"/>
    <m/>
    <m/>
    <n v="0"/>
    <n v="0"/>
  </r>
  <r>
    <x v="10"/>
    <s v="Canadian Valley Technology Center                 "/>
    <m/>
    <n v="365374"/>
    <x v="9"/>
    <m/>
    <m/>
    <m/>
    <m/>
    <m/>
    <m/>
    <m/>
    <m/>
    <m/>
    <m/>
    <n v="0"/>
    <n v="0"/>
    <n v="0"/>
    <n v="0"/>
    <m/>
    <m/>
    <n v="0"/>
    <n v="0"/>
    <m/>
    <m/>
    <m/>
    <m/>
    <m/>
    <m/>
    <n v="1005412"/>
    <n v="1079552.3799999999"/>
    <n v="1005412"/>
    <n v="1117.1244444444444"/>
    <n v="1079552.3799999999"/>
    <n v="1199.5026444444443"/>
    <m/>
    <m/>
    <n v="0"/>
    <n v="0"/>
  </r>
  <r>
    <x v="10"/>
    <s v="Francis Tuttle Technology Center                  "/>
    <m/>
    <n v="245999"/>
    <x v="9"/>
    <m/>
    <m/>
    <m/>
    <m/>
    <m/>
    <m/>
    <m/>
    <m/>
    <m/>
    <m/>
    <n v="0"/>
    <n v="0"/>
    <n v="0"/>
    <n v="0"/>
    <m/>
    <m/>
    <n v="0"/>
    <n v="0"/>
    <m/>
    <m/>
    <m/>
    <m/>
    <m/>
    <m/>
    <n v="1452946"/>
    <n v="1421155.25"/>
    <n v="1452946"/>
    <n v="1614.3844444444444"/>
    <n v="1421155.25"/>
    <n v="1579.0613888888888"/>
    <m/>
    <m/>
    <n v="0"/>
    <n v="0"/>
  </r>
  <r>
    <x v="10"/>
    <s v="Metro Technology Centers                          "/>
    <m/>
    <n v="363165"/>
    <x v="9"/>
    <m/>
    <m/>
    <m/>
    <m/>
    <m/>
    <m/>
    <m/>
    <m/>
    <m/>
    <m/>
    <n v="0"/>
    <n v="0"/>
    <n v="0"/>
    <n v="0"/>
    <m/>
    <m/>
    <n v="0"/>
    <n v="0"/>
    <m/>
    <m/>
    <m/>
    <m/>
    <m/>
    <m/>
    <n v="1183530"/>
    <n v="977438.41"/>
    <n v="1183530"/>
    <n v="1315.0333333333333"/>
    <n v="977438.41"/>
    <n v="1086.0426777777777"/>
    <m/>
    <m/>
    <n v="0"/>
    <n v="0"/>
  </r>
  <r>
    <x v="10"/>
    <s v="Autry Technology Center                           "/>
    <m/>
    <n v="365213"/>
    <x v="10"/>
    <m/>
    <m/>
    <m/>
    <m/>
    <m/>
    <m/>
    <m/>
    <m/>
    <m/>
    <m/>
    <n v="0"/>
    <n v="0"/>
    <n v="0"/>
    <n v="0"/>
    <m/>
    <m/>
    <n v="0"/>
    <n v="0"/>
    <m/>
    <m/>
    <m/>
    <m/>
    <m/>
    <m/>
    <n v="487914"/>
    <n v="497102.38"/>
    <n v="487914"/>
    <n v="542.12666666666667"/>
    <n v="497102.38"/>
    <n v="552.33597777777777"/>
    <m/>
    <m/>
    <n v="0"/>
    <n v="0"/>
  </r>
  <r>
    <x v="10"/>
    <s v="Caddo Kiowa Technology Center                     "/>
    <m/>
    <n v="364946"/>
    <x v="10"/>
    <m/>
    <m/>
    <m/>
    <m/>
    <m/>
    <m/>
    <m/>
    <m/>
    <m/>
    <m/>
    <n v="0"/>
    <n v="0"/>
    <n v="0"/>
    <n v="0"/>
    <m/>
    <m/>
    <n v="0"/>
    <n v="0"/>
    <m/>
    <m/>
    <m/>
    <m/>
    <m/>
    <m/>
    <n v="324735"/>
    <n v="280227"/>
    <n v="324735"/>
    <n v="360.81666666666666"/>
    <n v="280227"/>
    <n v="311.36333333333334"/>
    <m/>
    <m/>
    <n v="0"/>
    <n v="0"/>
  </r>
  <r>
    <x v="10"/>
    <s v="Central Technology Center                         "/>
    <m/>
    <n v="246017"/>
    <x v="10"/>
    <m/>
    <m/>
    <m/>
    <m/>
    <m/>
    <m/>
    <m/>
    <m/>
    <m/>
    <m/>
    <n v="0"/>
    <n v="0"/>
    <n v="0"/>
    <n v="0"/>
    <m/>
    <m/>
    <n v="0"/>
    <n v="0"/>
    <m/>
    <m/>
    <m/>
    <m/>
    <m/>
    <m/>
    <n v="786172"/>
    <n v="717669.75"/>
    <n v="786172"/>
    <n v="873.5244444444445"/>
    <n v="717669.75"/>
    <n v="797.41083333333336"/>
    <m/>
    <m/>
    <n v="0"/>
    <n v="0"/>
  </r>
  <r>
    <x v="10"/>
    <s v="Chisholm Trail Technology Center                  "/>
    <m/>
    <n v="375656"/>
    <x v="10"/>
    <m/>
    <m/>
    <m/>
    <m/>
    <m/>
    <m/>
    <m/>
    <m/>
    <m/>
    <m/>
    <n v="0"/>
    <n v="0"/>
    <n v="0"/>
    <n v="0"/>
    <m/>
    <m/>
    <n v="0"/>
    <n v="0"/>
    <m/>
    <m/>
    <m/>
    <m/>
    <m/>
    <m/>
    <n v="92664"/>
    <n v="84706.74"/>
    <n v="92664"/>
    <n v="102.96"/>
    <n v="84706.74"/>
    <n v="94.118600000000001"/>
    <m/>
    <m/>
    <n v="0"/>
    <n v="0"/>
  </r>
  <r>
    <x v="10"/>
    <s v="Eastern Oklahoma County Technology Center         "/>
    <m/>
    <n v="418348"/>
    <x v="10"/>
    <m/>
    <m/>
    <m/>
    <m/>
    <m/>
    <m/>
    <m/>
    <m/>
    <m/>
    <m/>
    <n v="0"/>
    <n v="0"/>
    <n v="0"/>
    <n v="0"/>
    <m/>
    <m/>
    <n v="0"/>
    <n v="0"/>
    <m/>
    <m/>
    <m/>
    <m/>
    <m/>
    <m/>
    <n v="326980"/>
    <n v="310003.78999999998"/>
    <n v="326980"/>
    <n v="363.31111111111113"/>
    <n v="310003.78999999998"/>
    <n v="344.44865555555555"/>
    <m/>
    <m/>
    <n v="0"/>
    <n v="0"/>
  </r>
  <r>
    <x v="10"/>
    <s v="Gordon Cooper Technology Center                   "/>
    <m/>
    <n v="375683"/>
    <x v="10"/>
    <m/>
    <m/>
    <m/>
    <m/>
    <m/>
    <m/>
    <m/>
    <m/>
    <m/>
    <m/>
    <n v="0"/>
    <n v="0"/>
    <n v="0"/>
    <n v="0"/>
    <m/>
    <m/>
    <n v="0"/>
    <n v="0"/>
    <m/>
    <m/>
    <m/>
    <m/>
    <m/>
    <m/>
    <n v="680194"/>
    <n v="641685"/>
    <n v="680194"/>
    <n v="755.77111111111117"/>
    <n v="641685"/>
    <n v="712.98333333333335"/>
    <m/>
    <m/>
    <n v="0"/>
    <n v="0"/>
  </r>
  <r>
    <x v="10"/>
    <s v="Great Plains Technology Center                    "/>
    <m/>
    <n v="364548"/>
    <x v="10"/>
    <m/>
    <m/>
    <m/>
    <m/>
    <m/>
    <m/>
    <m/>
    <m/>
    <m/>
    <m/>
    <n v="0"/>
    <n v="0"/>
    <n v="0"/>
    <n v="0"/>
    <m/>
    <m/>
    <n v="0"/>
    <n v="0"/>
    <m/>
    <m/>
    <m/>
    <m/>
    <m/>
    <m/>
    <n v="827147"/>
    <n v="776050.25"/>
    <n v="827147"/>
    <n v="919.05222222222221"/>
    <n v="776050.25"/>
    <n v="862.27805555555551"/>
    <m/>
    <m/>
    <n v="0"/>
    <n v="0"/>
  </r>
  <r>
    <x v="10"/>
    <s v="Green Country Technology Center                   "/>
    <m/>
    <n v="428019"/>
    <x v="10"/>
    <m/>
    <m/>
    <m/>
    <m/>
    <m/>
    <m/>
    <m/>
    <m/>
    <m/>
    <m/>
    <n v="0"/>
    <n v="0"/>
    <n v="0"/>
    <n v="0"/>
    <m/>
    <m/>
    <n v="0"/>
    <n v="0"/>
    <m/>
    <m/>
    <m/>
    <m/>
    <m/>
    <m/>
    <n v="207618"/>
    <n v="191823"/>
    <n v="207618"/>
    <n v="230.68666666666667"/>
    <n v="191823"/>
    <n v="213.13666666666666"/>
    <m/>
    <m/>
    <n v="0"/>
    <n v="0"/>
  </r>
  <r>
    <x v="10"/>
    <s v="High Plains Technology Center                     "/>
    <m/>
    <n v="208053"/>
    <x v="10"/>
    <m/>
    <m/>
    <m/>
    <m/>
    <m/>
    <m/>
    <m/>
    <m/>
    <m/>
    <m/>
    <n v="0"/>
    <n v="0"/>
    <n v="0"/>
    <n v="0"/>
    <m/>
    <m/>
    <n v="0"/>
    <n v="0"/>
    <m/>
    <m/>
    <m/>
    <m/>
    <m/>
    <m/>
    <n v="189990"/>
    <n v="182392.25"/>
    <n v="189990"/>
    <n v="211.1"/>
    <n v="182392.25"/>
    <n v="202.65805555555556"/>
    <m/>
    <m/>
    <n v="0"/>
    <n v="0"/>
  </r>
  <r>
    <x v="10"/>
    <s v="Indian Capital Technology Center-Muskogee         "/>
    <m/>
    <n v="418296"/>
    <x v="10"/>
    <m/>
    <m/>
    <m/>
    <m/>
    <m/>
    <m/>
    <m/>
    <m/>
    <m/>
    <m/>
    <n v="0"/>
    <n v="0"/>
    <n v="0"/>
    <n v="0"/>
    <m/>
    <m/>
    <n v="0"/>
    <n v="0"/>
    <m/>
    <m/>
    <m/>
    <m/>
    <m/>
    <m/>
    <n v="488612"/>
    <n v="477487.3"/>
    <n v="488612"/>
    <n v="542.90222222222224"/>
    <n v="477487.3"/>
    <n v="530.54144444444444"/>
    <m/>
    <m/>
    <n v="0"/>
    <n v="0"/>
  </r>
  <r>
    <x v="10"/>
    <s v="Indian Capital Technology Center-Sallisaw         "/>
    <m/>
    <n v="421540"/>
    <x v="10"/>
    <m/>
    <m/>
    <m/>
    <m/>
    <m/>
    <m/>
    <m/>
    <m/>
    <m/>
    <m/>
    <n v="0"/>
    <n v="0"/>
    <n v="0"/>
    <n v="0"/>
    <m/>
    <m/>
    <n v="0"/>
    <n v="0"/>
    <m/>
    <m/>
    <m/>
    <m/>
    <m/>
    <m/>
    <n v="158466"/>
    <n v="148841"/>
    <n v="158466"/>
    <n v="176.07333333333332"/>
    <n v="148841"/>
    <n v="165.37888888888889"/>
    <m/>
    <m/>
    <n v="0"/>
    <n v="0"/>
  </r>
  <r>
    <x v="10"/>
    <s v="Indian Capital Technology Center-Stilwell         "/>
    <m/>
    <n v="421559"/>
    <x v="10"/>
    <m/>
    <m/>
    <m/>
    <m/>
    <m/>
    <m/>
    <m/>
    <m/>
    <m/>
    <m/>
    <n v="0"/>
    <n v="0"/>
    <n v="0"/>
    <n v="0"/>
    <m/>
    <m/>
    <n v="0"/>
    <n v="0"/>
    <m/>
    <m/>
    <m/>
    <m/>
    <m/>
    <m/>
    <n v="117530"/>
    <n v="112729"/>
    <n v="117530"/>
    <n v="130.5888888888889"/>
    <n v="112729"/>
    <n v="125.25444444444445"/>
    <m/>
    <m/>
    <n v="0"/>
    <n v="0"/>
  </r>
  <r>
    <x v="10"/>
    <s v="Indian Capital Technology Center-Tahlequah        "/>
    <m/>
    <n v="208026"/>
    <x v="10"/>
    <m/>
    <m/>
    <m/>
    <m/>
    <m/>
    <m/>
    <m/>
    <m/>
    <m/>
    <m/>
    <n v="0"/>
    <n v="0"/>
    <n v="0"/>
    <n v="0"/>
    <m/>
    <m/>
    <n v="0"/>
    <n v="0"/>
    <m/>
    <m/>
    <m/>
    <m/>
    <m/>
    <m/>
    <n v="195943"/>
    <n v="188224"/>
    <n v="195943"/>
    <n v="217.71444444444444"/>
    <n v="188224"/>
    <n v="209.13777777777779"/>
    <m/>
    <m/>
    <n v="0"/>
    <n v="0"/>
  </r>
  <r>
    <x v="10"/>
    <s v="Kiamichi Technology Center-Atoka                  "/>
    <m/>
    <n v="375692"/>
    <x v="10"/>
    <m/>
    <m/>
    <m/>
    <m/>
    <m/>
    <m/>
    <m/>
    <m/>
    <m/>
    <m/>
    <n v="0"/>
    <n v="0"/>
    <n v="0"/>
    <n v="0"/>
    <m/>
    <m/>
    <n v="0"/>
    <n v="0"/>
    <m/>
    <m/>
    <m/>
    <m/>
    <m/>
    <m/>
    <n v="106717"/>
    <n v="109479.5"/>
    <n v="106717"/>
    <n v="118.57444444444444"/>
    <n v="109479.5"/>
    <n v="121.6438888888889"/>
    <m/>
    <m/>
    <n v="0"/>
    <n v="0"/>
  </r>
  <r>
    <x v="10"/>
    <s v="Kiamichi Technology Center-Durant                 "/>
    <m/>
    <n v="375708"/>
    <x v="10"/>
    <m/>
    <m/>
    <m/>
    <m/>
    <m/>
    <m/>
    <m/>
    <m/>
    <m/>
    <m/>
    <n v="0"/>
    <n v="0"/>
    <n v="0"/>
    <n v="0"/>
    <m/>
    <m/>
    <n v="0"/>
    <n v="0"/>
    <m/>
    <m/>
    <m/>
    <m/>
    <m/>
    <m/>
    <n v="169385"/>
    <n v="171229.5"/>
    <n v="169385"/>
    <n v="188.20555555555555"/>
    <n v="171229.5"/>
    <n v="190.255"/>
    <m/>
    <m/>
    <n v="0"/>
    <n v="0"/>
  </r>
  <r>
    <x v="10"/>
    <s v="Kiamichi Technology Center-Hugo                   "/>
    <m/>
    <n v="375717"/>
    <x v="10"/>
    <m/>
    <m/>
    <m/>
    <m/>
    <m/>
    <m/>
    <m/>
    <m/>
    <m/>
    <m/>
    <n v="0"/>
    <n v="0"/>
    <n v="0"/>
    <n v="0"/>
    <m/>
    <m/>
    <n v="0"/>
    <n v="0"/>
    <m/>
    <m/>
    <m/>
    <m/>
    <m/>
    <m/>
    <n v="139724"/>
    <n v="147243"/>
    <n v="139724"/>
    <n v="155.2488888888889"/>
    <n v="147243"/>
    <n v="163.60333333333332"/>
    <m/>
    <m/>
    <n v="0"/>
    <n v="0"/>
  </r>
  <r>
    <x v="10"/>
    <s v="Kiamichi Technology Center-Idabel                 "/>
    <m/>
    <n v="375735"/>
    <x v="10"/>
    <m/>
    <m/>
    <m/>
    <m/>
    <m/>
    <m/>
    <m/>
    <m/>
    <m/>
    <m/>
    <n v="0"/>
    <n v="0"/>
    <n v="0"/>
    <n v="0"/>
    <m/>
    <m/>
    <n v="0"/>
    <n v="0"/>
    <m/>
    <m/>
    <m/>
    <m/>
    <m/>
    <m/>
    <n v="188055"/>
    <n v="195062"/>
    <n v="188055"/>
    <n v="208.95"/>
    <n v="195062"/>
    <n v="216.73555555555555"/>
    <m/>
    <m/>
    <n v="0"/>
    <n v="0"/>
  </r>
  <r>
    <x v="10"/>
    <s v="Kiamichi Technology Center-McAlester              "/>
    <m/>
    <n v="375726"/>
    <x v="10"/>
    <m/>
    <m/>
    <m/>
    <m/>
    <m/>
    <m/>
    <m/>
    <m/>
    <m/>
    <m/>
    <n v="0"/>
    <n v="0"/>
    <n v="0"/>
    <n v="0"/>
    <m/>
    <m/>
    <n v="0"/>
    <n v="0"/>
    <m/>
    <m/>
    <m/>
    <m/>
    <m/>
    <m/>
    <n v="335342"/>
    <n v="261368"/>
    <n v="335342"/>
    <n v="372.60222222222222"/>
    <n v="261368"/>
    <n v="290.4088888888889"/>
    <m/>
    <m/>
    <n v="0"/>
    <n v="0"/>
  </r>
  <r>
    <x v="10"/>
    <s v="Kiamichi Technology Center-Poteau                 "/>
    <m/>
    <n v="375744"/>
    <x v="10"/>
    <m/>
    <m/>
    <m/>
    <m/>
    <m/>
    <m/>
    <m/>
    <m/>
    <m/>
    <m/>
    <n v="0"/>
    <n v="0"/>
    <n v="0"/>
    <n v="0"/>
    <m/>
    <m/>
    <n v="0"/>
    <n v="0"/>
    <m/>
    <m/>
    <m/>
    <m/>
    <m/>
    <m/>
    <n v="346977"/>
    <n v="253503.35"/>
    <n v="346977"/>
    <n v="385.53"/>
    <n v="253503.35"/>
    <n v="281.67038888888891"/>
    <m/>
    <m/>
    <n v="0"/>
    <n v="0"/>
  </r>
  <r>
    <x v="10"/>
    <s v="Kiamichi Technology Center-Spiro                  "/>
    <m/>
    <n v="375753"/>
    <x v="10"/>
    <m/>
    <m/>
    <m/>
    <m/>
    <m/>
    <m/>
    <m/>
    <m/>
    <m/>
    <m/>
    <n v="0"/>
    <n v="0"/>
    <n v="0"/>
    <n v="0"/>
    <m/>
    <m/>
    <n v="0"/>
    <n v="0"/>
    <m/>
    <m/>
    <m/>
    <m/>
    <m/>
    <m/>
    <n v="30277"/>
    <n v="47156"/>
    <n v="30277"/>
    <n v="33.641111111111108"/>
    <n v="47156"/>
    <n v="52.395555555555553"/>
    <m/>
    <m/>
    <n v="0"/>
    <n v="0"/>
  </r>
  <r>
    <x v="10"/>
    <s v="Kiamichi Technology Center-Stigler                "/>
    <m/>
    <n v="405748"/>
    <x v="10"/>
    <m/>
    <m/>
    <m/>
    <m/>
    <m/>
    <m/>
    <m/>
    <m/>
    <m/>
    <m/>
    <n v="0"/>
    <n v="0"/>
    <n v="0"/>
    <n v="0"/>
    <m/>
    <m/>
    <n v="0"/>
    <n v="0"/>
    <m/>
    <m/>
    <m/>
    <m/>
    <m/>
    <m/>
    <n v="87753"/>
    <n v="85002"/>
    <n v="87753"/>
    <n v="97.50333333333333"/>
    <n v="85002"/>
    <n v="94.446666666666673"/>
    <m/>
    <m/>
    <n v="0"/>
    <n v="0"/>
  </r>
  <r>
    <x v="10"/>
    <s v="Kiamichi Technology Center-Talihina               "/>
    <m/>
    <n v="375762"/>
    <x v="10"/>
    <m/>
    <m/>
    <m/>
    <m/>
    <m/>
    <m/>
    <m/>
    <m/>
    <m/>
    <m/>
    <n v="0"/>
    <n v="0"/>
    <n v="0"/>
    <n v="0"/>
    <m/>
    <m/>
    <n v="0"/>
    <n v="0"/>
    <m/>
    <m/>
    <m/>
    <m/>
    <m/>
    <m/>
    <n v="94476"/>
    <n v="69833"/>
    <n v="94476"/>
    <n v="104.97333333333333"/>
    <n v="69833"/>
    <n v="77.592222222222219"/>
    <m/>
    <m/>
    <n v="0"/>
    <n v="0"/>
  </r>
  <r>
    <x v="10"/>
    <s v="Meridian Technology Center                        "/>
    <m/>
    <n v="365480"/>
    <x v="10"/>
    <m/>
    <m/>
    <m/>
    <m/>
    <m/>
    <m/>
    <m/>
    <m/>
    <m/>
    <m/>
    <n v="0"/>
    <n v="0"/>
    <n v="0"/>
    <n v="0"/>
    <m/>
    <m/>
    <n v="0"/>
    <n v="0"/>
    <m/>
    <m/>
    <m/>
    <m/>
    <m/>
    <m/>
    <n v="508491"/>
    <n v="532826.69999999995"/>
    <n v="508491"/>
    <n v="564.99"/>
    <n v="532826.69999999995"/>
    <n v="592.02966666666657"/>
    <m/>
    <m/>
    <n v="0"/>
    <n v="0"/>
  </r>
  <r>
    <x v="10"/>
    <s v="Mid-America Technology Center                     "/>
    <m/>
    <n v="418320"/>
    <x v="10"/>
    <m/>
    <m/>
    <m/>
    <m/>
    <m/>
    <m/>
    <m/>
    <m/>
    <m/>
    <m/>
    <n v="0"/>
    <n v="0"/>
    <n v="0"/>
    <n v="0"/>
    <m/>
    <m/>
    <n v="0"/>
    <n v="0"/>
    <m/>
    <m/>
    <m/>
    <m/>
    <m/>
    <m/>
    <n v="534435"/>
    <n v="518911"/>
    <n v="534435"/>
    <n v="593.81666666666672"/>
    <n v="518911"/>
    <n v="576.56777777777779"/>
    <m/>
    <m/>
    <n v="0"/>
    <n v="0"/>
  </r>
  <r>
    <x v="10"/>
    <s v="Mid-Del Technology Center                         "/>
    <m/>
    <n v="431017"/>
    <x v="10"/>
    <m/>
    <m/>
    <m/>
    <m/>
    <m/>
    <m/>
    <m/>
    <m/>
    <m/>
    <m/>
    <n v="0"/>
    <n v="0"/>
    <n v="0"/>
    <n v="0"/>
    <m/>
    <m/>
    <n v="0"/>
    <n v="0"/>
    <m/>
    <m/>
    <m/>
    <m/>
    <m/>
    <m/>
    <n v="414983"/>
    <n v="368528"/>
    <n v="414983"/>
    <n v="461.09222222222223"/>
    <n v="368528"/>
    <n v="409.47555555555556"/>
    <m/>
    <m/>
    <n v="0"/>
    <n v="0"/>
  </r>
  <r>
    <x v="10"/>
    <s v="Moore Norman Technology Center                    "/>
    <m/>
    <n v="248606"/>
    <x v="10"/>
    <m/>
    <m/>
    <m/>
    <m/>
    <m/>
    <m/>
    <m/>
    <m/>
    <m/>
    <m/>
    <n v="0"/>
    <n v="0"/>
    <n v="0"/>
    <n v="0"/>
    <m/>
    <m/>
    <n v="0"/>
    <n v="0"/>
    <m/>
    <m/>
    <m/>
    <m/>
    <m/>
    <m/>
    <n v="806348"/>
    <n v="785855.6"/>
    <n v="806348"/>
    <n v="895.9422222222222"/>
    <n v="785855.6"/>
    <n v="873.17288888888891"/>
    <m/>
    <m/>
    <n v="0"/>
    <n v="0"/>
  </r>
  <r>
    <x v="10"/>
    <s v="Northeast Technology Center-Afton                 "/>
    <m/>
    <n v="420459"/>
    <x v="10"/>
    <m/>
    <m/>
    <m/>
    <m/>
    <m/>
    <m/>
    <m/>
    <m/>
    <m/>
    <m/>
    <n v="0"/>
    <n v="0"/>
    <n v="0"/>
    <n v="0"/>
    <m/>
    <m/>
    <n v="0"/>
    <n v="0"/>
    <m/>
    <m/>
    <m/>
    <m/>
    <m/>
    <m/>
    <n v="290355"/>
    <n v="265995.5"/>
    <n v="290355"/>
    <n v="322.61666666666667"/>
    <n v="265995.5"/>
    <n v="295.55055555555555"/>
    <m/>
    <m/>
    <n v="0"/>
    <n v="0"/>
  </r>
  <r>
    <x v="10"/>
    <s v="Northeast Technology Center-Claremore"/>
    <m/>
    <n v="456560"/>
    <x v="10"/>
    <m/>
    <m/>
    <m/>
    <m/>
    <m/>
    <m/>
    <m/>
    <m/>
    <m/>
    <m/>
    <n v="0"/>
    <n v="0"/>
    <n v="0"/>
    <n v="0"/>
    <m/>
    <m/>
    <n v="0"/>
    <n v="0"/>
    <m/>
    <m/>
    <m/>
    <m/>
    <m/>
    <m/>
    <n v="105286"/>
    <n v="117443.75"/>
    <n v="105286"/>
    <n v="116.98444444444445"/>
    <n v="117443.75"/>
    <n v="130.49305555555554"/>
    <m/>
    <m/>
    <n v="0"/>
    <n v="0"/>
  </r>
  <r>
    <x v="10"/>
    <s v="Northeast Technology Center-Kansas                "/>
    <m/>
    <n v="432074"/>
    <x v="10"/>
    <m/>
    <m/>
    <m/>
    <m/>
    <m/>
    <m/>
    <m/>
    <m/>
    <m/>
    <m/>
    <n v="0"/>
    <n v="0"/>
    <n v="0"/>
    <n v="0"/>
    <m/>
    <m/>
    <n v="0"/>
    <n v="0"/>
    <m/>
    <m/>
    <m/>
    <m/>
    <m/>
    <m/>
    <n v="163349"/>
    <n v="152511"/>
    <n v="163349"/>
    <n v="181.4988888888889"/>
    <n v="152511"/>
    <n v="169.45666666666668"/>
    <m/>
    <m/>
    <n v="0"/>
    <n v="0"/>
  </r>
  <r>
    <x v="10"/>
    <s v="Northeast Technology Center-Pryor                 "/>
    <m/>
    <n v="418339"/>
    <x v="10"/>
    <m/>
    <m/>
    <m/>
    <m/>
    <m/>
    <m/>
    <m/>
    <m/>
    <m/>
    <m/>
    <n v="0"/>
    <n v="0"/>
    <n v="0"/>
    <n v="0"/>
    <m/>
    <m/>
    <n v="0"/>
    <n v="0"/>
    <m/>
    <m/>
    <m/>
    <m/>
    <m/>
    <m/>
    <n v="265031"/>
    <n v="260728.75"/>
    <n v="265031"/>
    <n v="294.47888888888889"/>
    <n v="260728.75"/>
    <n v="289.69861111111112"/>
    <m/>
    <m/>
    <n v="0"/>
    <n v="0"/>
  </r>
  <r>
    <x v="10"/>
    <s v="Northwest Technology Center-Alva                  "/>
    <m/>
    <n v="366623"/>
    <x v="10"/>
    <m/>
    <m/>
    <m/>
    <m/>
    <m/>
    <m/>
    <m/>
    <m/>
    <m/>
    <m/>
    <n v="0"/>
    <n v="0"/>
    <n v="0"/>
    <n v="0"/>
    <m/>
    <m/>
    <n v="0"/>
    <n v="0"/>
    <m/>
    <m/>
    <m/>
    <m/>
    <m/>
    <m/>
    <n v="99218"/>
    <n v="86764.9"/>
    <n v="99218"/>
    <n v="110.24222222222222"/>
    <n v="86764.9"/>
    <n v="96.405444444444441"/>
    <m/>
    <m/>
    <n v="0"/>
    <n v="0"/>
  </r>
  <r>
    <x v="10"/>
    <s v="Northwest Technology Center-Fairview              "/>
    <m/>
    <n v="407601"/>
    <x v="10"/>
    <m/>
    <m/>
    <m/>
    <m/>
    <m/>
    <m/>
    <m/>
    <m/>
    <m/>
    <m/>
    <n v="0"/>
    <n v="0"/>
    <n v="0"/>
    <n v="0"/>
    <m/>
    <m/>
    <n v="0"/>
    <n v="0"/>
    <m/>
    <m/>
    <m/>
    <m/>
    <m/>
    <m/>
    <n v="76702"/>
    <n v="81926"/>
    <n v="76702"/>
    <n v="85.224444444444444"/>
    <n v="81926"/>
    <n v="91.028888888888886"/>
    <m/>
    <m/>
    <n v="0"/>
    <n v="0"/>
  </r>
  <r>
    <x v="10"/>
    <s v="Pioneer Technology Center                         "/>
    <m/>
    <n v="364627"/>
    <x v="10"/>
    <m/>
    <m/>
    <m/>
    <m/>
    <m/>
    <m/>
    <m/>
    <m/>
    <m/>
    <m/>
    <n v="0"/>
    <n v="0"/>
    <n v="0"/>
    <n v="0"/>
    <m/>
    <m/>
    <n v="0"/>
    <n v="0"/>
    <m/>
    <m/>
    <m/>
    <m/>
    <m/>
    <m/>
    <n v="323062"/>
    <n v="291396"/>
    <n v="323062"/>
    <n v="358.95777777777778"/>
    <n v="291396"/>
    <n v="323.77333333333331"/>
    <m/>
    <m/>
    <n v="0"/>
    <n v="0"/>
  </r>
  <r>
    <x v="10"/>
    <s v="Pontotoc Technology Center                        "/>
    <m/>
    <n v="206905"/>
    <x v="10"/>
    <m/>
    <m/>
    <m/>
    <m/>
    <m/>
    <m/>
    <m/>
    <m/>
    <m/>
    <m/>
    <n v="0"/>
    <n v="0"/>
    <n v="0"/>
    <n v="0"/>
    <m/>
    <m/>
    <n v="0"/>
    <n v="0"/>
    <m/>
    <m/>
    <m/>
    <m/>
    <m/>
    <m/>
    <n v="252360"/>
    <n v="202056.5"/>
    <n v="252360"/>
    <n v="280.39999999999998"/>
    <n v="202056.5"/>
    <n v="224.50722222222223"/>
    <m/>
    <m/>
    <n v="0"/>
    <n v="0"/>
  </r>
  <r>
    <x v="10"/>
    <s v="Red River Technology Center                       "/>
    <m/>
    <n v="250993"/>
    <x v="10"/>
    <m/>
    <m/>
    <m/>
    <m/>
    <m/>
    <m/>
    <m/>
    <m/>
    <m/>
    <m/>
    <n v="0"/>
    <n v="0"/>
    <n v="0"/>
    <n v="0"/>
    <m/>
    <m/>
    <n v="0"/>
    <n v="0"/>
    <m/>
    <m/>
    <m/>
    <m/>
    <m/>
    <m/>
    <n v="300008"/>
    <n v="313042.75"/>
    <n v="300008"/>
    <n v="333.34222222222223"/>
    <n v="313042.75"/>
    <n v="347.82527777777779"/>
    <m/>
    <m/>
    <n v="0"/>
    <n v="0"/>
  </r>
  <r>
    <x v="10"/>
    <s v="Southern Oklahoma Technology Center               "/>
    <m/>
    <n v="365198"/>
    <x v="10"/>
    <m/>
    <m/>
    <m/>
    <m/>
    <m/>
    <m/>
    <m/>
    <m/>
    <m/>
    <m/>
    <n v="0"/>
    <n v="0"/>
    <n v="0"/>
    <n v="0"/>
    <m/>
    <m/>
    <n v="0"/>
    <n v="0"/>
    <m/>
    <m/>
    <m/>
    <m/>
    <m/>
    <m/>
    <n v="365802"/>
    <n v="384988.75"/>
    <n v="365802"/>
    <n v="406.44666666666666"/>
    <n v="384988.75"/>
    <n v="427.76527777777778"/>
    <m/>
    <m/>
    <n v="0"/>
    <n v="0"/>
  </r>
  <r>
    <x v="10"/>
    <s v="Southwest Technology Center                       "/>
    <m/>
    <n v="368364"/>
    <x v="10"/>
    <m/>
    <m/>
    <m/>
    <m/>
    <m/>
    <m/>
    <m/>
    <m/>
    <m/>
    <m/>
    <n v="0"/>
    <n v="0"/>
    <n v="0"/>
    <n v="0"/>
    <m/>
    <m/>
    <n v="0"/>
    <n v="0"/>
    <m/>
    <m/>
    <m/>
    <m/>
    <m/>
    <m/>
    <n v="216488"/>
    <n v="201072.75"/>
    <n v="216488"/>
    <n v="240.54222222222222"/>
    <n v="201072.75"/>
    <n v="223.41416666666666"/>
    <m/>
    <m/>
    <n v="0"/>
    <n v="0"/>
  </r>
  <r>
    <x v="10"/>
    <s v="Tri County Technology Center                      "/>
    <m/>
    <n v="418287"/>
    <x v="10"/>
    <m/>
    <m/>
    <m/>
    <m/>
    <m/>
    <m/>
    <m/>
    <m/>
    <m/>
    <m/>
    <n v="0"/>
    <n v="0"/>
    <n v="0"/>
    <n v="0"/>
    <m/>
    <m/>
    <n v="0"/>
    <n v="0"/>
    <m/>
    <m/>
    <m/>
    <m/>
    <m/>
    <m/>
    <n v="400941"/>
    <n v="398413"/>
    <n v="400941"/>
    <n v="445.49"/>
    <n v="398413"/>
    <n v="442.68111111111114"/>
    <m/>
    <m/>
    <n v="0"/>
    <n v="0"/>
  </r>
  <r>
    <x v="10"/>
    <s v="Tulsa County Area Voc Tech School Dist 18-Peoria  "/>
    <m/>
    <n v="207607"/>
    <x v="10"/>
    <m/>
    <m/>
    <m/>
    <m/>
    <m/>
    <m/>
    <m/>
    <m/>
    <m/>
    <m/>
    <n v="0"/>
    <n v="0"/>
    <n v="0"/>
    <n v="0"/>
    <m/>
    <m/>
    <n v="0"/>
    <n v="0"/>
    <m/>
    <m/>
    <m/>
    <m/>
    <m/>
    <m/>
    <n v="338177"/>
    <n v="444360.5"/>
    <n v="338177"/>
    <n v="375.7522222222222"/>
    <n v="444360.5"/>
    <n v="493.73388888888888"/>
    <m/>
    <m/>
    <n v="0"/>
    <n v="0"/>
  </r>
  <r>
    <x v="10"/>
    <s v="Tulsa Technology Center-Broken Arrow Campus       "/>
    <s v="Met the criteria for Technical Institute or College 1 in 2013-14."/>
    <n v="261393"/>
    <x v="10"/>
    <m/>
    <m/>
    <m/>
    <m/>
    <m/>
    <m/>
    <m/>
    <m/>
    <m/>
    <m/>
    <n v="0"/>
    <n v="0"/>
    <n v="0"/>
    <n v="0"/>
    <m/>
    <m/>
    <n v="0"/>
    <n v="0"/>
    <m/>
    <m/>
    <m/>
    <m/>
    <m/>
    <m/>
    <n v="765586"/>
    <n v="1032741.1"/>
    <n v="765586"/>
    <n v="850.65111111111116"/>
    <n v="1032741.1"/>
    <n v="1147.490111111111"/>
    <m/>
    <m/>
    <n v="0"/>
    <n v="0"/>
  </r>
  <r>
    <x v="10"/>
    <s v="Tulsa Technology Center-Lemley Campus             "/>
    <s v="Met the criteria for Technical Institute or College 1 in 2013-14."/>
    <n v="261375"/>
    <x v="10"/>
    <m/>
    <m/>
    <m/>
    <m/>
    <m/>
    <m/>
    <m/>
    <m/>
    <m/>
    <m/>
    <n v="0"/>
    <n v="0"/>
    <n v="0"/>
    <n v="0"/>
    <m/>
    <m/>
    <n v="0"/>
    <n v="0"/>
    <m/>
    <m/>
    <m/>
    <m/>
    <m/>
    <m/>
    <n v="747476"/>
    <n v="994081.38"/>
    <n v="747476"/>
    <n v="830.5288888888889"/>
    <n v="994081.38"/>
    <n v="1104.5348666666666"/>
    <m/>
    <m/>
    <n v="0"/>
    <n v="0"/>
  </r>
  <r>
    <x v="10"/>
    <s v="Tulsa Technology Center-Riverside Campus          "/>
    <m/>
    <n v="261384"/>
    <x v="10"/>
    <m/>
    <m/>
    <m/>
    <m/>
    <m/>
    <m/>
    <m/>
    <m/>
    <m/>
    <m/>
    <n v="0"/>
    <n v="0"/>
    <n v="0"/>
    <n v="0"/>
    <m/>
    <m/>
    <n v="0"/>
    <n v="0"/>
    <m/>
    <m/>
    <m/>
    <m/>
    <m/>
    <m/>
    <n v="409746"/>
    <n v="556305"/>
    <n v="409746"/>
    <n v="455.27333333333331"/>
    <n v="556305"/>
    <n v="618.11666666666667"/>
    <m/>
    <m/>
    <n v="0"/>
    <n v="0"/>
  </r>
  <r>
    <x v="10"/>
    <s v="Wes Watkins Technology Center                     "/>
    <m/>
    <n v="418357"/>
    <x v="10"/>
    <m/>
    <m/>
    <m/>
    <m/>
    <m/>
    <m/>
    <m/>
    <m/>
    <m/>
    <m/>
    <n v="0"/>
    <n v="0"/>
    <n v="0"/>
    <n v="0"/>
    <m/>
    <m/>
    <n v="0"/>
    <n v="0"/>
    <m/>
    <m/>
    <m/>
    <m/>
    <m/>
    <m/>
    <n v="189543"/>
    <n v="158878.5"/>
    <n v="189543"/>
    <n v="210.60333333333332"/>
    <n v="158878.5"/>
    <n v="176.53166666666667"/>
    <m/>
    <m/>
    <n v="0"/>
    <n v="0"/>
  </r>
  <r>
    <x v="10"/>
    <s v="Western Technology Center                         "/>
    <m/>
    <n v="418302"/>
    <x v="10"/>
    <m/>
    <m/>
    <m/>
    <m/>
    <m/>
    <m/>
    <m/>
    <m/>
    <m/>
    <m/>
    <n v="0"/>
    <n v="0"/>
    <n v="0"/>
    <n v="0"/>
    <m/>
    <m/>
    <n v="0"/>
    <n v="0"/>
    <m/>
    <m/>
    <m/>
    <m/>
    <m/>
    <m/>
    <n v="381800"/>
    <n v="351024.5"/>
    <n v="381800"/>
    <n v="424.22222222222223"/>
    <n v="351024.5"/>
    <n v="390.02722222222224"/>
    <m/>
    <m/>
    <n v="0"/>
    <n v="0"/>
  </r>
  <r>
    <x v="11"/>
    <s v="Clemson University"/>
    <m/>
    <n v="217882"/>
    <x v="0"/>
    <s v="sem"/>
    <m/>
    <m/>
    <m/>
    <n v="218776"/>
    <n v="229989"/>
    <n v="26274"/>
    <n v="25249"/>
    <n v="247981"/>
    <n v="254669"/>
    <n v="493031"/>
    <n v="16434.366666666665"/>
    <n v="509907"/>
    <n v="16996.900000000001"/>
    <m/>
    <n v="126"/>
    <n v="0"/>
    <n v="509907"/>
    <m/>
    <m/>
    <m/>
    <m/>
    <m/>
    <m/>
    <m/>
    <m/>
    <n v="0"/>
    <n v="0"/>
    <n v="0"/>
    <n v="0"/>
    <m/>
    <m/>
    <n v="0"/>
    <n v="0"/>
  </r>
  <r>
    <x v="11"/>
    <s v="University of South Carolina-Columbia"/>
    <m/>
    <n v="218663"/>
    <x v="0"/>
    <s v="sem"/>
    <m/>
    <m/>
    <m/>
    <n v="313618"/>
    <n v="318944"/>
    <n v="32571"/>
    <n v="31870"/>
    <n v="343359"/>
    <n v="356847"/>
    <n v="689548"/>
    <n v="22984.933333333334"/>
    <n v="707661"/>
    <n v="23588.7"/>
    <n v="135"/>
    <n v="62"/>
    <n v="689548"/>
    <n v="707661"/>
    <m/>
    <m/>
    <m/>
    <m/>
    <m/>
    <m/>
    <m/>
    <m/>
    <n v="0"/>
    <n v="0"/>
    <n v="0"/>
    <n v="0"/>
    <m/>
    <m/>
    <n v="0"/>
    <n v="0"/>
  </r>
  <r>
    <x v="11"/>
    <s v="College of Charleston"/>
    <m/>
    <n v="217819"/>
    <x v="2"/>
    <s v="sem"/>
    <m/>
    <m/>
    <m/>
    <n v="141679"/>
    <n v="141726"/>
    <n v="14705"/>
    <n v="15596"/>
    <n v="150561"/>
    <n v="150654"/>
    <n v="306945"/>
    <n v="10231.5"/>
    <n v="307976"/>
    <n v="10265.866666666667"/>
    <n v="293"/>
    <n v="693"/>
    <n v="306945"/>
    <n v="307976"/>
    <m/>
    <m/>
    <m/>
    <m/>
    <m/>
    <m/>
    <m/>
    <m/>
    <n v="0"/>
    <n v="0"/>
    <n v="0"/>
    <n v="0"/>
    <m/>
    <m/>
    <n v="0"/>
    <n v="0"/>
  </r>
  <r>
    <x v="11"/>
    <s v="Winthrop University "/>
    <m/>
    <n v="218964"/>
    <x v="2"/>
    <s v="sem"/>
    <m/>
    <m/>
    <m/>
    <n v="65305.5"/>
    <n v="65636.5"/>
    <n v="7630"/>
    <n v="6947"/>
    <n v="70915"/>
    <n v="70540.5"/>
    <n v="143850.5"/>
    <n v="4795.0166666666664"/>
    <n v="143124"/>
    <n v="4770.8"/>
    <n v="1002"/>
    <n v="2232"/>
    <n v="143850.5"/>
    <n v="143124"/>
    <m/>
    <m/>
    <m/>
    <m/>
    <m/>
    <m/>
    <m/>
    <m/>
    <n v="0"/>
    <n v="0"/>
    <n v="0"/>
    <n v="0"/>
    <m/>
    <m/>
    <n v="0"/>
    <n v="0"/>
  </r>
  <r>
    <x v="11"/>
    <s v="The Citadel, the Military College of South Carolina "/>
    <s v="Reclassified: met the criteria for Four-Year 3 in 2011-12, 2012-13, and 2013-14."/>
    <n v="217864"/>
    <x v="2"/>
    <s v="sem"/>
    <m/>
    <m/>
    <m/>
    <n v="39901"/>
    <n v="42324"/>
    <n v="6026"/>
    <n v="5740"/>
    <n v="44793"/>
    <n v="46491"/>
    <n v="90720"/>
    <n v="3024"/>
    <n v="94555"/>
    <n v="3151.8333333333335"/>
    <n v="213"/>
    <n v="342"/>
    <n v="90720"/>
    <n v="94555"/>
    <m/>
    <m/>
    <m/>
    <m/>
    <m/>
    <m/>
    <m/>
    <m/>
    <n v="0"/>
    <n v="0"/>
    <n v="0"/>
    <n v="0"/>
    <m/>
    <m/>
    <n v="0"/>
    <n v="0"/>
  </r>
  <r>
    <x v="11"/>
    <s v="Coastal Carolina University"/>
    <s v="Met the criteria for Four-Year 4 in 2013-14."/>
    <n v="218724"/>
    <x v="4"/>
    <s v="sem"/>
    <m/>
    <m/>
    <m/>
    <n v="114906"/>
    <n v="113926"/>
    <n v="10682"/>
    <n v="10606"/>
    <n v="128522"/>
    <n v="128459"/>
    <n v="254110"/>
    <n v="8470.3333333333339"/>
    <n v="252991"/>
    <n v="8433.0333333333328"/>
    <m/>
    <m/>
    <n v="0"/>
    <n v="0"/>
    <m/>
    <m/>
    <m/>
    <m/>
    <m/>
    <m/>
    <m/>
    <m/>
    <n v="0"/>
    <n v="0"/>
    <n v="0"/>
    <n v="0"/>
    <m/>
    <m/>
    <n v="0"/>
    <n v="0"/>
  </r>
  <r>
    <x v="11"/>
    <s v="Francis Marion University "/>
    <m/>
    <n v="218061"/>
    <x v="4"/>
    <s v="sem"/>
    <m/>
    <m/>
    <m/>
    <n v="46930"/>
    <n v="47202"/>
    <n v="3724"/>
    <n v="3112"/>
    <n v="51424"/>
    <n v="50494"/>
    <n v="102078"/>
    <n v="3402.6"/>
    <n v="100808"/>
    <n v="3360.2666666666669"/>
    <n v="695"/>
    <n v="1414"/>
    <n v="102078"/>
    <n v="100808"/>
    <m/>
    <m/>
    <m/>
    <m/>
    <m/>
    <m/>
    <m/>
    <m/>
    <n v="0"/>
    <n v="0"/>
    <n v="0"/>
    <n v="0"/>
    <m/>
    <m/>
    <n v="0"/>
    <n v="0"/>
  </r>
  <r>
    <x v="11"/>
    <s v="South Carolina State University "/>
    <m/>
    <n v="218733"/>
    <x v="4"/>
    <s v="sem"/>
    <m/>
    <m/>
    <m/>
    <n v="48329"/>
    <n v="41923"/>
    <n v="6259"/>
    <n v="3630"/>
    <n v="46979"/>
    <n v="42577"/>
    <n v="101567"/>
    <n v="3385.5666666666666"/>
    <n v="88130"/>
    <n v="2937.6666666666665"/>
    <m/>
    <m/>
    <n v="0"/>
    <n v="0"/>
    <m/>
    <m/>
    <m/>
    <m/>
    <m/>
    <m/>
    <m/>
    <m/>
    <n v="0"/>
    <n v="0"/>
    <n v="0"/>
    <n v="0"/>
    <m/>
    <m/>
    <n v="0"/>
    <n v="0"/>
  </r>
  <r>
    <x v="11"/>
    <s v="Lander University"/>
    <m/>
    <n v="218229"/>
    <x v="5"/>
    <s v="sem"/>
    <m/>
    <m/>
    <m/>
    <n v="39529.01"/>
    <n v="38313.5"/>
    <n v="4321"/>
    <n v="3840"/>
    <n v="41793"/>
    <n v="39744.5"/>
    <n v="85643.010000000009"/>
    <n v="2854.7670000000003"/>
    <n v="81898"/>
    <n v="2729.9333333333334"/>
    <n v="163"/>
    <n v="174"/>
    <n v="85643.010000000009"/>
    <n v="81898"/>
    <m/>
    <m/>
    <m/>
    <m/>
    <m/>
    <m/>
    <m/>
    <m/>
    <n v="0"/>
    <n v="0"/>
    <n v="0"/>
    <n v="0"/>
    <m/>
    <m/>
    <n v="0"/>
    <n v="0"/>
  </r>
  <r>
    <x v="11"/>
    <s v="University of South Carolina-Aiken"/>
    <m/>
    <n v="218645"/>
    <x v="5"/>
    <s v="sem"/>
    <m/>
    <m/>
    <m/>
    <n v="37614"/>
    <n v="37154"/>
    <n v="4938"/>
    <n v="4420"/>
    <n v="40607"/>
    <n v="41412"/>
    <n v="83159"/>
    <n v="2771.9666666666667"/>
    <n v="82986"/>
    <n v="2766.2"/>
    <n v="742"/>
    <n v="207"/>
    <n v="83159"/>
    <n v="82986"/>
    <m/>
    <m/>
    <m/>
    <m/>
    <m/>
    <m/>
    <m/>
    <m/>
    <n v="0"/>
    <n v="0"/>
    <n v="0"/>
    <n v="0"/>
    <m/>
    <m/>
    <n v="0"/>
    <n v="0"/>
  </r>
  <r>
    <x v="11"/>
    <s v="University of South Carolina-Beaufort"/>
    <m/>
    <n v="218654"/>
    <x v="5"/>
    <s v="sem"/>
    <m/>
    <m/>
    <m/>
    <n v="21874"/>
    <n v="21926"/>
    <n v="2224"/>
    <n v="1983"/>
    <n v="23210"/>
    <n v="22645"/>
    <n v="47308"/>
    <n v="1576.9333333333334"/>
    <n v="46554"/>
    <n v="1551.8"/>
    <n v="87"/>
    <n v="43"/>
    <n v="47308"/>
    <n v="46554"/>
    <m/>
    <m/>
    <m/>
    <m/>
    <m/>
    <m/>
    <m/>
    <m/>
    <n v="0"/>
    <n v="0"/>
    <n v="0"/>
    <n v="0"/>
    <m/>
    <m/>
    <n v="0"/>
    <n v="0"/>
  </r>
  <r>
    <x v="11"/>
    <s v="University of South Carolina-Upstate"/>
    <m/>
    <n v="218742"/>
    <x v="5"/>
    <s v="sem"/>
    <m/>
    <m/>
    <m/>
    <n v="67295"/>
    <n v="67093"/>
    <n v="7526"/>
    <n v="8562"/>
    <n v="72603"/>
    <n v="73422"/>
    <n v="147424"/>
    <n v="4914.1333333333332"/>
    <n v="149077"/>
    <n v="4969.2333333333336"/>
    <n v="2008"/>
    <n v="1140"/>
    <n v="147424"/>
    <n v="149077"/>
    <m/>
    <m/>
    <m/>
    <m/>
    <m/>
    <m/>
    <m/>
    <m/>
    <n v="0"/>
    <n v="0"/>
    <n v="0"/>
    <n v="0"/>
    <m/>
    <m/>
    <n v="0"/>
    <n v="0"/>
  </r>
  <r>
    <x v="11"/>
    <s v="Florence-Darlington Technical College "/>
    <s v="Met the criteria for Two-Year 2 in 2013-14."/>
    <n v="218025"/>
    <x v="6"/>
    <s v="sem"/>
    <m/>
    <m/>
    <m/>
    <n v="62876.43"/>
    <n v="58005"/>
    <n v="23888.17"/>
    <n v="21326"/>
    <n v="64363.42"/>
    <n v="63979"/>
    <n v="151128.02000000002"/>
    <n v="5037.6006666666672"/>
    <n v="143310"/>
    <n v="4777"/>
    <n v="363"/>
    <m/>
    <n v="151128.02000000002"/>
    <n v="0"/>
    <m/>
    <m/>
    <m/>
    <m/>
    <m/>
    <m/>
    <m/>
    <m/>
    <n v="0"/>
    <n v="0"/>
    <n v="0"/>
    <n v="0"/>
    <m/>
    <m/>
    <n v="0"/>
    <n v="0"/>
  </r>
  <r>
    <x v="11"/>
    <s v="Greenville Technical College "/>
    <m/>
    <n v="218113"/>
    <x v="6"/>
    <s v="sem"/>
    <m/>
    <m/>
    <m/>
    <n v="144236.34999999998"/>
    <n v="129145"/>
    <n v="52851.560000000005"/>
    <n v="47832"/>
    <n v="146968.21"/>
    <n v="135518"/>
    <n v="344056.12"/>
    <n v="11468.537333333334"/>
    <n v="312495"/>
    <n v="10416.5"/>
    <n v="10298"/>
    <n v="15968"/>
    <n v="344056.12"/>
    <n v="312495"/>
    <m/>
    <m/>
    <m/>
    <m/>
    <m/>
    <m/>
    <m/>
    <m/>
    <n v="0"/>
    <n v="0"/>
    <n v="0"/>
    <n v="0"/>
    <m/>
    <m/>
    <n v="0"/>
    <n v="0"/>
  </r>
  <r>
    <x v="11"/>
    <s v="Horry-Georgetown Technical College "/>
    <m/>
    <n v="218140"/>
    <x v="6"/>
    <s v="sem"/>
    <m/>
    <m/>
    <m/>
    <n v="75945.030000000013"/>
    <n v="75123"/>
    <n v="27424.530000000002"/>
    <n v="26987"/>
    <n v="75778.459999999992"/>
    <n v="73933"/>
    <n v="179148.02000000002"/>
    <n v="5971.6006666666672"/>
    <n v="176043"/>
    <n v="5868.1"/>
    <n v="2444"/>
    <n v="8512"/>
    <n v="179148.02000000002"/>
    <n v="176043"/>
    <m/>
    <m/>
    <m/>
    <m/>
    <m/>
    <m/>
    <m/>
    <m/>
    <n v="0"/>
    <n v="0"/>
    <n v="0"/>
    <n v="0"/>
    <m/>
    <m/>
    <n v="0"/>
    <n v="0"/>
  </r>
  <r>
    <x v="11"/>
    <s v="Midlands Technical College "/>
    <m/>
    <n v="218353"/>
    <x v="6"/>
    <s v="sem"/>
    <m/>
    <m/>
    <m/>
    <n v="120662.01"/>
    <n v="112617"/>
    <n v="50709.53"/>
    <n v="49959"/>
    <n v="129034.36"/>
    <n v="124749"/>
    <n v="300405.89999999997"/>
    <n v="10013.529999999999"/>
    <n v="287325"/>
    <n v="9577.5"/>
    <n v="1573"/>
    <n v="2188"/>
    <n v="300405.89999999997"/>
    <n v="287325"/>
    <m/>
    <m/>
    <m/>
    <m/>
    <m/>
    <m/>
    <m/>
    <m/>
    <n v="0"/>
    <n v="0"/>
    <n v="0"/>
    <n v="0"/>
    <m/>
    <m/>
    <n v="0"/>
    <n v="0"/>
  </r>
  <r>
    <x v="11"/>
    <s v="Piedmont Technical College "/>
    <m/>
    <n v="218520"/>
    <x v="6"/>
    <s v="sem"/>
    <m/>
    <m/>
    <m/>
    <n v="58859.969999999994"/>
    <n v="61726"/>
    <n v="26989.039999999997"/>
    <n v="27134"/>
    <n v="68727.859999999986"/>
    <n v="64764"/>
    <n v="154576.87"/>
    <n v="5152.5623333333333"/>
    <n v="153624"/>
    <n v="5120.8"/>
    <n v="11680"/>
    <n v="15684"/>
    <n v="154576.87"/>
    <n v="153624"/>
    <m/>
    <m/>
    <m/>
    <m/>
    <m/>
    <m/>
    <m/>
    <m/>
    <n v="0"/>
    <n v="0"/>
    <n v="0"/>
    <n v="0"/>
    <m/>
    <m/>
    <n v="0"/>
    <n v="0"/>
  </r>
  <r>
    <x v="11"/>
    <s v="Tri-County Technical College "/>
    <m/>
    <n v="218885"/>
    <x v="6"/>
    <s v="sem"/>
    <m/>
    <m/>
    <m/>
    <n v="69376.17"/>
    <n v="66403"/>
    <n v="25132.77"/>
    <n v="22264"/>
    <n v="77607.34"/>
    <n v="74819"/>
    <n v="172116.28"/>
    <n v="5737.2093333333332"/>
    <n v="163486"/>
    <n v="5449.5333333333338"/>
    <n v="6144"/>
    <n v="9661"/>
    <n v="172116.28"/>
    <n v="163486"/>
    <m/>
    <m/>
    <m/>
    <m/>
    <m/>
    <m/>
    <m/>
    <m/>
    <n v="0"/>
    <n v="0"/>
    <n v="0"/>
    <n v="0"/>
    <m/>
    <m/>
    <n v="0"/>
    <n v="0"/>
  </r>
  <r>
    <x v="11"/>
    <s v="Trident Technical College "/>
    <m/>
    <n v="218894"/>
    <x v="6"/>
    <s v="sem"/>
    <m/>
    <m/>
    <m/>
    <n v="161776.26999999999"/>
    <n v="160191"/>
    <n v="77027.94"/>
    <n v="77146"/>
    <n v="169822.25999999998"/>
    <n v="171708"/>
    <n v="408626.47"/>
    <n v="13620.882333333333"/>
    <n v="409045"/>
    <n v="13634.833333333334"/>
    <n v="8798"/>
    <n v="18179"/>
    <n v="408626.47"/>
    <n v="409045"/>
    <m/>
    <m/>
    <m/>
    <m/>
    <m/>
    <m/>
    <m/>
    <m/>
    <n v="0"/>
    <n v="0"/>
    <n v="0"/>
    <n v="0"/>
    <m/>
    <m/>
    <n v="0"/>
    <n v="0"/>
  </r>
  <r>
    <x v="11"/>
    <s v="Aiken Technical College "/>
    <m/>
    <n v="217615"/>
    <x v="7"/>
    <s v="sem"/>
    <m/>
    <m/>
    <m/>
    <n v="31132.39"/>
    <n v="27494"/>
    <n v="12097.03"/>
    <n v="11637"/>
    <n v="32738.67"/>
    <n v="30029"/>
    <n v="75968.09"/>
    <n v="2532.2696666666666"/>
    <n v="69160"/>
    <n v="2305.3333333333335"/>
    <n v="676"/>
    <n v="953"/>
    <n v="75968.09"/>
    <n v="69160"/>
    <m/>
    <m/>
    <m/>
    <m/>
    <m/>
    <m/>
    <m/>
    <m/>
    <n v="0"/>
    <n v="0"/>
    <n v="0"/>
    <n v="0"/>
    <m/>
    <m/>
    <n v="0"/>
    <n v="0"/>
  </r>
  <r>
    <x v="11"/>
    <s v="Central Carolina Technical College "/>
    <m/>
    <n v="218858"/>
    <x v="7"/>
    <s v="sem"/>
    <m/>
    <m/>
    <m/>
    <n v="38308.81"/>
    <n v="37532"/>
    <n v="17067.2"/>
    <n v="16859"/>
    <n v="41472.21"/>
    <n v="38699"/>
    <n v="96848.22"/>
    <n v="3228.2739999999999"/>
    <n v="93090"/>
    <n v="3103"/>
    <n v="3928"/>
    <n v="6764"/>
    <n v="96848.22"/>
    <n v="93090"/>
    <m/>
    <m/>
    <m/>
    <m/>
    <m/>
    <m/>
    <m/>
    <m/>
    <n v="0"/>
    <n v="0"/>
    <n v="0"/>
    <n v="0"/>
    <m/>
    <m/>
    <n v="0"/>
    <n v="0"/>
  </r>
  <r>
    <x v="11"/>
    <s v="Orangeburg-Calhoun Technical College "/>
    <m/>
    <n v="218487"/>
    <x v="7"/>
    <s v="sem"/>
    <m/>
    <m/>
    <m/>
    <n v="26386.019999999997"/>
    <n v="25456"/>
    <n v="10104.019999999999"/>
    <n v="10067"/>
    <n v="29832.820000000003"/>
    <n v="27639"/>
    <n v="66322.86"/>
    <n v="2210.7620000000002"/>
    <n v="63162"/>
    <n v="2105.4"/>
    <n v="5247"/>
    <n v="6326"/>
    <n v="66322.86"/>
    <n v="63162"/>
    <m/>
    <m/>
    <m/>
    <m/>
    <m/>
    <m/>
    <m/>
    <m/>
    <n v="0"/>
    <n v="0"/>
    <n v="0"/>
    <n v="0"/>
    <m/>
    <m/>
    <n v="0"/>
    <n v="0"/>
  </r>
  <r>
    <x v="11"/>
    <s v="Spartanburg Community College "/>
    <m/>
    <n v="218830"/>
    <x v="7"/>
    <s v="sem"/>
    <m/>
    <m/>
    <m/>
    <n v="57432.23"/>
    <n v="54463"/>
    <n v="22098.95"/>
    <n v="19015"/>
    <n v="60606.94"/>
    <n v="58949"/>
    <n v="140138.12"/>
    <n v="4671.2706666666663"/>
    <n v="132427"/>
    <n v="4414.2333333333336"/>
    <n v="5705"/>
    <n v="9557"/>
    <n v="140138.12"/>
    <n v="132427"/>
    <m/>
    <m/>
    <m/>
    <m/>
    <m/>
    <m/>
    <m/>
    <m/>
    <n v="0"/>
    <n v="0"/>
    <n v="0"/>
    <n v="0"/>
    <m/>
    <m/>
    <n v="0"/>
    <n v="0"/>
  </r>
  <r>
    <x v="11"/>
    <s v="York Technical College "/>
    <m/>
    <n v="218991"/>
    <x v="7"/>
    <s v="sem"/>
    <m/>
    <m/>
    <m/>
    <n v="52722.35"/>
    <n v="46495"/>
    <n v="22400.54"/>
    <n v="19397"/>
    <n v="51165.85"/>
    <n v="53564"/>
    <n v="126288.73999999999"/>
    <n v="4209.6246666666666"/>
    <n v="119456"/>
    <n v="3981.8666666666668"/>
    <n v="3136"/>
    <n v="2163"/>
    <n v="126288.73999999999"/>
    <n v="119456"/>
    <m/>
    <m/>
    <m/>
    <m/>
    <m/>
    <m/>
    <m/>
    <m/>
    <n v="0"/>
    <n v="0"/>
    <n v="0"/>
    <n v="0"/>
    <m/>
    <m/>
    <n v="0"/>
    <n v="0"/>
  </r>
  <r>
    <x v="11"/>
    <s v="Denmark Technical College "/>
    <m/>
    <n v="217989"/>
    <x v="8"/>
    <s v="sem"/>
    <m/>
    <m/>
    <m/>
    <n v="24677"/>
    <n v="24095"/>
    <n v="11890.42"/>
    <n v="10276"/>
    <n v="28216.91"/>
    <n v="22770"/>
    <n v="64784.33"/>
    <n v="2159.4776666666667"/>
    <n v="57141"/>
    <n v="1904.7"/>
    <m/>
    <m/>
    <n v="0"/>
    <n v="0"/>
    <m/>
    <m/>
    <m/>
    <m/>
    <m/>
    <m/>
    <m/>
    <m/>
    <n v="0"/>
    <n v="0"/>
    <n v="0"/>
    <n v="0"/>
    <m/>
    <m/>
    <n v="0"/>
    <n v="0"/>
  </r>
  <r>
    <x v="11"/>
    <s v="Northeastern Technical College "/>
    <m/>
    <n v="217837"/>
    <x v="8"/>
    <s v="sem"/>
    <m/>
    <m/>
    <m/>
    <n v="12521.18"/>
    <n v="12903"/>
    <n v="4788.71"/>
    <n v="5121"/>
    <n v="13964.9"/>
    <n v="13295"/>
    <n v="31274.79"/>
    <n v="1042.4929999999999"/>
    <n v="31319"/>
    <n v="1043.9666666666667"/>
    <n v="1302"/>
    <n v="2230"/>
    <n v="31274.79"/>
    <n v="31319"/>
    <m/>
    <m/>
    <m/>
    <m/>
    <m/>
    <m/>
    <m/>
    <m/>
    <n v="0"/>
    <n v="0"/>
    <n v="0"/>
    <n v="0"/>
    <m/>
    <m/>
    <n v="0"/>
    <n v="0"/>
  </r>
  <r>
    <x v="11"/>
    <s v="Technical College of the Lowcountry"/>
    <m/>
    <n v="217712"/>
    <x v="8"/>
    <s v="sem"/>
    <m/>
    <m/>
    <m/>
    <n v="25522.49"/>
    <n v="21369"/>
    <n v="9167.68"/>
    <n v="9212"/>
    <n v="22459.799999999996"/>
    <n v="22598"/>
    <n v="57149.969999999994"/>
    <n v="1904.9989999999998"/>
    <n v="53179"/>
    <n v="1772.6333333333334"/>
    <n v="3119"/>
    <n v="3512"/>
    <n v="57149.969999999994"/>
    <n v="53179"/>
    <m/>
    <m/>
    <m/>
    <m/>
    <m/>
    <m/>
    <m/>
    <m/>
    <n v="0"/>
    <n v="0"/>
    <n v="0"/>
    <n v="0"/>
    <m/>
    <m/>
    <n v="0"/>
    <n v="0"/>
  </r>
  <r>
    <x v="11"/>
    <s v="University of South Carolina-Lancaster"/>
    <m/>
    <n v="218672"/>
    <x v="8"/>
    <s v="sem"/>
    <m/>
    <m/>
    <m/>
    <n v="16275"/>
    <n v="15597"/>
    <n v="1958"/>
    <n v="1605"/>
    <n v="19475"/>
    <n v="18729"/>
    <n v="37708"/>
    <n v="1256.9333333333334"/>
    <n v="35931"/>
    <n v="1197.7"/>
    <n v="4133"/>
    <n v="1191"/>
    <n v="37708"/>
    <n v="35931"/>
    <m/>
    <m/>
    <m/>
    <m/>
    <m/>
    <m/>
    <m/>
    <m/>
    <n v="0"/>
    <n v="0"/>
    <n v="0"/>
    <n v="0"/>
    <m/>
    <m/>
    <n v="0"/>
    <n v="0"/>
  </r>
  <r>
    <x v="11"/>
    <s v="University of South Carolina-Salkehatchie"/>
    <m/>
    <n v="218681"/>
    <x v="8"/>
    <s v="sem"/>
    <m/>
    <m/>
    <m/>
    <n v="11145"/>
    <n v="10548"/>
    <n v="779"/>
    <n v="603"/>
    <n v="11935"/>
    <n v="10973"/>
    <n v="23859"/>
    <n v="795.3"/>
    <n v="22124"/>
    <n v="737.4666666666667"/>
    <n v="1881"/>
    <n v="407"/>
    <n v="23859"/>
    <n v="22124"/>
    <m/>
    <m/>
    <m/>
    <m/>
    <m/>
    <m/>
    <m/>
    <m/>
    <n v="0"/>
    <n v="0"/>
    <n v="0"/>
    <n v="0"/>
    <m/>
    <m/>
    <n v="0"/>
    <n v="0"/>
  </r>
  <r>
    <x v="11"/>
    <s v="University of South Carolina-Sumter"/>
    <m/>
    <n v="218690"/>
    <x v="8"/>
    <s v="sem"/>
    <m/>
    <m/>
    <m/>
    <n v="9870"/>
    <n v="9375"/>
    <n v="1003"/>
    <n v="1092"/>
    <n v="10504"/>
    <n v="10834"/>
    <n v="21377"/>
    <n v="712.56666666666672"/>
    <n v="21301"/>
    <n v="710.0333333333333"/>
    <n v="2589"/>
    <n v="774"/>
    <n v="21377"/>
    <n v="21301"/>
    <m/>
    <m/>
    <m/>
    <m/>
    <m/>
    <m/>
    <m/>
    <m/>
    <n v="0"/>
    <n v="0"/>
    <n v="0"/>
    <n v="0"/>
    <m/>
    <m/>
    <n v="0"/>
    <n v="0"/>
  </r>
  <r>
    <x v="11"/>
    <s v="University of South Carolina-Union"/>
    <m/>
    <n v="218706"/>
    <x v="8"/>
    <s v="sem"/>
    <m/>
    <m/>
    <m/>
    <n v="5684"/>
    <n v="4987"/>
    <n v="314"/>
    <n v="327"/>
    <n v="5162"/>
    <n v="5249"/>
    <n v="11160"/>
    <n v="372"/>
    <n v="10563"/>
    <n v="352.1"/>
    <n v="3265"/>
    <n v="1476"/>
    <n v="11160"/>
    <n v="10563"/>
    <m/>
    <m/>
    <m/>
    <m/>
    <m/>
    <m/>
    <m/>
    <m/>
    <n v="0"/>
    <n v="0"/>
    <n v="0"/>
    <n v="0"/>
    <m/>
    <m/>
    <n v="0"/>
    <n v="0"/>
  </r>
  <r>
    <x v="11"/>
    <s v="Willamsburg Technical College "/>
    <m/>
    <n v="218955"/>
    <x v="8"/>
    <s v="sem"/>
    <m/>
    <m/>
    <m/>
    <n v="5710.01"/>
    <n v="6109"/>
    <n v="2703.52"/>
    <n v="2984"/>
    <n v="6031.96"/>
    <n v="6599"/>
    <n v="14445.490000000002"/>
    <n v="481.51633333333336"/>
    <n v="15692"/>
    <n v="523.06666666666672"/>
    <n v="201"/>
    <n v="143"/>
    <n v="14445.490000000002"/>
    <n v="15692"/>
    <m/>
    <m/>
    <m/>
    <m/>
    <m/>
    <m/>
    <m/>
    <m/>
    <n v="0"/>
    <n v="0"/>
    <n v="0"/>
    <n v="0"/>
    <m/>
    <m/>
    <n v="0"/>
    <n v="0"/>
  </r>
  <r>
    <x v="12"/>
    <s v="University of Memphis"/>
    <m/>
    <n v="220862"/>
    <x v="0"/>
    <s v="sem"/>
    <m/>
    <m/>
    <m/>
    <n v="205095"/>
    <n v="198010"/>
    <n v="29622"/>
    <n v="26167"/>
    <n v="215044"/>
    <n v="208255"/>
    <n v="449761"/>
    <n v="14992.033333333333"/>
    <n v="432432"/>
    <n v="14414.4"/>
    <m/>
    <m/>
    <n v="0"/>
    <n v="0"/>
    <m/>
    <m/>
    <m/>
    <m/>
    <m/>
    <m/>
    <m/>
    <m/>
    <n v="0"/>
    <n v="0"/>
    <n v="0"/>
    <n v="0"/>
    <m/>
    <m/>
    <n v="0"/>
    <n v="0"/>
  </r>
  <r>
    <x v="12"/>
    <s v="University of Tennessee, Knoxville"/>
    <m/>
    <n v="221759"/>
    <x v="0"/>
    <s v="sem"/>
    <m/>
    <m/>
    <m/>
    <n v="267133"/>
    <n v="263656"/>
    <n v="35001"/>
    <n v="32451"/>
    <n v="282072"/>
    <n v="286017"/>
    <n v="584206"/>
    <n v="19473.533333333333"/>
    <n v="582124"/>
    <n v="19404.133333333335"/>
    <m/>
    <m/>
    <n v="0"/>
    <n v="0"/>
    <m/>
    <m/>
    <m/>
    <m/>
    <m/>
    <m/>
    <m/>
    <m/>
    <n v="0"/>
    <n v="0"/>
    <n v="0"/>
    <n v="0"/>
    <m/>
    <m/>
    <n v="0"/>
    <n v="0"/>
  </r>
  <r>
    <x v="12"/>
    <s v="Tennessee State University "/>
    <m/>
    <n v="221838"/>
    <x v="1"/>
    <s v="sem"/>
    <m/>
    <m/>
    <m/>
    <n v="83514"/>
    <n v="79659"/>
    <n v="12181"/>
    <n v="12313"/>
    <n v="85330"/>
    <n v="87070"/>
    <n v="181025"/>
    <n v="6034.166666666667"/>
    <n v="179042"/>
    <n v="5968.0666666666666"/>
    <m/>
    <m/>
    <n v="0"/>
    <n v="0"/>
    <m/>
    <m/>
    <m/>
    <m/>
    <m/>
    <m/>
    <m/>
    <m/>
    <n v="0"/>
    <n v="0"/>
    <n v="0"/>
    <n v="0"/>
    <m/>
    <m/>
    <n v="0"/>
    <n v="0"/>
  </r>
  <r>
    <x v="12"/>
    <s v="Austin Peay State University "/>
    <m/>
    <n v="219602"/>
    <x v="2"/>
    <s v="sem"/>
    <m/>
    <m/>
    <m/>
    <n v="110890"/>
    <n v="111013"/>
    <n v="22384"/>
    <n v="19564"/>
    <n v="119482"/>
    <n v="118295"/>
    <n v="252756"/>
    <n v="8425.2000000000007"/>
    <n v="248872"/>
    <n v="8295.7333333333336"/>
    <n v="1845"/>
    <n v="1910"/>
    <n v="252756"/>
    <n v="248872"/>
    <m/>
    <m/>
    <m/>
    <m/>
    <m/>
    <m/>
    <m/>
    <m/>
    <n v="0"/>
    <n v="0"/>
    <n v="0"/>
    <n v="0"/>
    <m/>
    <m/>
    <n v="0"/>
    <n v="0"/>
  </r>
  <r>
    <x v="12"/>
    <s v="East Tennessee State University "/>
    <s v="Met the criteria for Four-Year 2 in 2013-14."/>
    <n v="220075"/>
    <x v="2"/>
    <s v="sem"/>
    <m/>
    <m/>
    <m/>
    <n v="151184"/>
    <n v="146941"/>
    <n v="23270"/>
    <n v="22343"/>
    <n v="159588"/>
    <n v="152538"/>
    <n v="334042"/>
    <n v="11134.733333333334"/>
    <n v="321822"/>
    <n v="10727.4"/>
    <n v="1783"/>
    <n v="1895"/>
    <n v="334042"/>
    <n v="321822"/>
    <m/>
    <m/>
    <m/>
    <m/>
    <m/>
    <m/>
    <m/>
    <m/>
    <n v="0"/>
    <n v="0"/>
    <n v="0"/>
    <n v="0"/>
    <m/>
    <m/>
    <n v="0"/>
    <n v="0"/>
  </r>
  <r>
    <x v="12"/>
    <s v="Middle Tennessee State University "/>
    <m/>
    <n v="220978"/>
    <x v="2"/>
    <s v="sem"/>
    <m/>
    <m/>
    <m/>
    <n v="272267"/>
    <n v="255496"/>
    <n v="46567"/>
    <n v="42269"/>
    <n v="286959"/>
    <n v="271345"/>
    <n v="605793"/>
    <n v="20193.099999999999"/>
    <n v="569110"/>
    <n v="18970.333333333332"/>
    <n v="1023"/>
    <n v="1083"/>
    <n v="605793"/>
    <n v="569110"/>
    <m/>
    <m/>
    <m/>
    <m/>
    <m/>
    <m/>
    <m/>
    <m/>
    <n v="0"/>
    <n v="0"/>
    <n v="0"/>
    <n v="0"/>
    <m/>
    <m/>
    <n v="0"/>
    <n v="0"/>
  </r>
  <r>
    <x v="12"/>
    <s v="Tennessee Technological University "/>
    <m/>
    <n v="221847"/>
    <x v="2"/>
    <s v="sem"/>
    <m/>
    <m/>
    <m/>
    <n v="121717"/>
    <n v="122495"/>
    <n v="14024"/>
    <n v="13249"/>
    <n v="134982"/>
    <n v="137824"/>
    <n v="270723"/>
    <n v="9024.1"/>
    <n v="273568"/>
    <n v="9118.9333333333325"/>
    <n v="714"/>
    <n v="447"/>
    <n v="270723"/>
    <n v="273568"/>
    <m/>
    <m/>
    <m/>
    <m/>
    <m/>
    <m/>
    <m/>
    <m/>
    <n v="0"/>
    <n v="0"/>
    <n v="0"/>
    <n v="0"/>
    <m/>
    <m/>
    <n v="0"/>
    <n v="0"/>
  </r>
  <r>
    <x v="12"/>
    <s v="University of Tennessee at Chattanooga"/>
    <m/>
    <n v="221740"/>
    <x v="2"/>
    <s v="sem"/>
    <m/>
    <m/>
    <m/>
    <n v="121325"/>
    <n v="121894"/>
    <n v="17136"/>
    <n v="18222"/>
    <n v="134842"/>
    <n v="139703"/>
    <n v="273303"/>
    <n v="9110.1"/>
    <n v="279819"/>
    <n v="9327.2999999999993"/>
    <n v="264"/>
    <n v="171"/>
    <n v="273303"/>
    <n v="279819"/>
    <m/>
    <m/>
    <m/>
    <m/>
    <m/>
    <m/>
    <m/>
    <m/>
    <n v="0"/>
    <n v="0"/>
    <n v="0"/>
    <n v="0"/>
    <m/>
    <m/>
    <n v="0"/>
    <n v="0"/>
  </r>
  <r>
    <x v="12"/>
    <s v="University of Tennessee at Martin"/>
    <m/>
    <n v="221768"/>
    <x v="4"/>
    <s v="sem"/>
    <m/>
    <m/>
    <m/>
    <n v="91482"/>
    <n v="90776"/>
    <n v="12872"/>
    <n v="11770"/>
    <n v="98320"/>
    <n v="95352"/>
    <n v="202674"/>
    <n v="6755.8"/>
    <n v="197898"/>
    <n v="6596.6"/>
    <n v="4402"/>
    <n v="3525"/>
    <n v="202674"/>
    <n v="197898"/>
    <m/>
    <m/>
    <m/>
    <m/>
    <m/>
    <m/>
    <m/>
    <m/>
    <n v="0"/>
    <n v="0"/>
    <n v="0"/>
    <n v="0"/>
    <m/>
    <m/>
    <n v="0"/>
    <n v="0"/>
  </r>
  <r>
    <x v="12"/>
    <s v="Chattanooga State Technical Community College "/>
    <m/>
    <n v="219824"/>
    <x v="6"/>
    <s v="sem"/>
    <m/>
    <m/>
    <m/>
    <n v="90205"/>
    <n v="88614"/>
    <n v="19778"/>
    <n v="16010"/>
    <n v="98768"/>
    <n v="95817"/>
    <n v="208751"/>
    <n v="6958.3666666666668"/>
    <n v="200441"/>
    <n v="6681.3666666666668"/>
    <n v="11548"/>
    <n v="12819"/>
    <n v="208751"/>
    <n v="200441"/>
    <m/>
    <m/>
    <m/>
    <m/>
    <m/>
    <m/>
    <m/>
    <m/>
    <n v="0"/>
    <n v="0"/>
    <n v="0"/>
    <n v="0"/>
    <m/>
    <m/>
    <n v="0"/>
    <n v="0"/>
  </r>
  <r>
    <x v="12"/>
    <s v="Nashville State Technical Community College"/>
    <m/>
    <n v="221184"/>
    <x v="6"/>
    <s v="sem"/>
    <m/>
    <m/>
    <m/>
    <n v="84144"/>
    <n v="86171"/>
    <n v="22096"/>
    <n v="21381"/>
    <n v="85216"/>
    <n v="86943"/>
    <n v="191456"/>
    <n v="6381.8666666666668"/>
    <n v="194495"/>
    <n v="6483.166666666667"/>
    <n v="6760"/>
    <n v="7625"/>
    <n v="191456"/>
    <n v="194495"/>
    <m/>
    <m/>
    <m/>
    <m/>
    <m/>
    <m/>
    <m/>
    <m/>
    <n v="0"/>
    <n v="0"/>
    <n v="0"/>
    <n v="0"/>
    <m/>
    <m/>
    <n v="0"/>
    <n v="0"/>
  </r>
  <r>
    <x v="12"/>
    <s v="Pellissippi State Technical Community College"/>
    <m/>
    <n v="221643"/>
    <x v="6"/>
    <s v="sem"/>
    <m/>
    <m/>
    <m/>
    <n v="98536"/>
    <n v="97294"/>
    <n v="20180"/>
    <n v="20643"/>
    <n v="105861"/>
    <n v="104677"/>
    <n v="224577"/>
    <n v="7485.9"/>
    <n v="222614"/>
    <n v="7420.4666666666662"/>
    <n v="6888"/>
    <n v="7784"/>
    <n v="224577"/>
    <n v="222614"/>
    <m/>
    <m/>
    <m/>
    <m/>
    <m/>
    <m/>
    <m/>
    <m/>
    <n v="0"/>
    <n v="0"/>
    <n v="0"/>
    <n v="0"/>
    <m/>
    <m/>
    <n v="0"/>
    <n v="0"/>
  </r>
  <r>
    <x v="12"/>
    <s v="Southwest Tennessee Community College"/>
    <m/>
    <n v="221485"/>
    <x v="6"/>
    <s v="sem"/>
    <m/>
    <m/>
    <m/>
    <n v="115229"/>
    <n v="97122"/>
    <n v="31469"/>
    <n v="25741"/>
    <n v="113328"/>
    <n v="102019"/>
    <n v="260026"/>
    <n v="8667.5333333333328"/>
    <n v="224882"/>
    <n v="7496.0666666666666"/>
    <n v="1851"/>
    <n v="2118"/>
    <n v="260026"/>
    <n v="224882"/>
    <m/>
    <m/>
    <m/>
    <m/>
    <m/>
    <m/>
    <m/>
    <m/>
    <n v="0"/>
    <n v="0"/>
    <n v="0"/>
    <n v="0"/>
    <m/>
    <m/>
    <n v="0"/>
    <n v="0"/>
  </r>
  <r>
    <x v="12"/>
    <s v="Volunteer State Community College "/>
    <m/>
    <n v="222053"/>
    <x v="6"/>
    <s v="sem"/>
    <m/>
    <m/>
    <m/>
    <n v="72241"/>
    <n v="68743"/>
    <n v="16149"/>
    <n v="17065"/>
    <n v="76369"/>
    <n v="74776"/>
    <n v="164759"/>
    <n v="5491.9666666666662"/>
    <n v="160584"/>
    <n v="5352.8"/>
    <n v="11351"/>
    <n v="13372"/>
    <n v="164759"/>
    <n v="160584"/>
    <m/>
    <m/>
    <m/>
    <m/>
    <m/>
    <m/>
    <m/>
    <m/>
    <n v="0"/>
    <n v="0"/>
    <n v="0"/>
    <n v="0"/>
    <m/>
    <m/>
    <n v="0"/>
    <n v="0"/>
  </r>
  <r>
    <x v="12"/>
    <s v="Cleveland State Community College "/>
    <m/>
    <n v="219879"/>
    <x v="7"/>
    <s v="sem"/>
    <m/>
    <m/>
    <m/>
    <n v="33841"/>
    <n v="32737"/>
    <n v="5742"/>
    <n v="4943"/>
    <n v="37234"/>
    <n v="37307"/>
    <n v="76817"/>
    <n v="2560.5666666666666"/>
    <n v="74987"/>
    <n v="2499.5666666666666"/>
    <n v="3886"/>
    <n v="4864"/>
    <n v="76817"/>
    <n v="74987"/>
    <m/>
    <m/>
    <m/>
    <m/>
    <m/>
    <m/>
    <m/>
    <m/>
    <n v="0"/>
    <n v="0"/>
    <n v="0"/>
    <n v="0"/>
    <m/>
    <m/>
    <n v="0"/>
    <n v="0"/>
  </r>
  <r>
    <x v="12"/>
    <s v="Columbia State Community College "/>
    <m/>
    <n v="219888"/>
    <x v="7"/>
    <s v="sem"/>
    <m/>
    <m/>
    <m/>
    <n v="46049"/>
    <n v="44667"/>
    <n v="9491"/>
    <n v="9019"/>
    <n v="50221"/>
    <n v="50281"/>
    <n v="105761"/>
    <n v="3525.3666666666668"/>
    <n v="103967"/>
    <n v="3465.5666666666666"/>
    <n v="4890"/>
    <n v="5833"/>
    <n v="105761"/>
    <n v="103967"/>
    <m/>
    <m/>
    <m/>
    <m/>
    <m/>
    <m/>
    <m/>
    <m/>
    <n v="0"/>
    <n v="0"/>
    <n v="0"/>
    <n v="0"/>
    <m/>
    <m/>
    <n v="0"/>
    <n v="0"/>
  </r>
  <r>
    <x v="12"/>
    <s v="Dyersburg State Community College "/>
    <m/>
    <n v="220057"/>
    <x v="7"/>
    <s v="sem"/>
    <m/>
    <m/>
    <m/>
    <n v="30823"/>
    <n v="29026"/>
    <n v="4226"/>
    <n v="3383"/>
    <n v="33257"/>
    <n v="28775"/>
    <n v="68306"/>
    <n v="2276.8666666666668"/>
    <n v="61184"/>
    <n v="2039.4666666666667"/>
    <n v="6665"/>
    <n v="6721"/>
    <n v="68306"/>
    <n v="61184"/>
    <m/>
    <m/>
    <m/>
    <m/>
    <m/>
    <m/>
    <m/>
    <m/>
    <n v="0"/>
    <n v="0"/>
    <n v="0"/>
    <n v="0"/>
    <m/>
    <m/>
    <n v="0"/>
    <n v="0"/>
  </r>
  <r>
    <x v="12"/>
    <s v="Jackson State Community College "/>
    <m/>
    <n v="220400"/>
    <x v="7"/>
    <s v="sem"/>
    <m/>
    <m/>
    <m/>
    <n v="42087"/>
    <n v="38211"/>
    <n v="8448"/>
    <n v="7246"/>
    <n v="42708"/>
    <n v="40832"/>
    <n v="93243"/>
    <n v="3108.1"/>
    <n v="86289"/>
    <n v="2876.3"/>
    <n v="4424"/>
    <n v="6735"/>
    <n v="93243"/>
    <n v="86289"/>
    <m/>
    <m/>
    <m/>
    <m/>
    <m/>
    <m/>
    <m/>
    <m/>
    <n v="0"/>
    <n v="0"/>
    <n v="0"/>
    <n v="0"/>
    <m/>
    <m/>
    <n v="0"/>
    <n v="0"/>
  </r>
  <r>
    <x v="12"/>
    <s v="Motlow State Community College "/>
    <m/>
    <n v="221096"/>
    <x v="7"/>
    <s v="sem"/>
    <m/>
    <m/>
    <m/>
    <n v="42418"/>
    <n v="39296"/>
    <n v="8091"/>
    <n v="7820"/>
    <n v="43877"/>
    <n v="44753"/>
    <n v="94386"/>
    <n v="3146.2"/>
    <n v="91869"/>
    <n v="3062.3"/>
    <n v="5608"/>
    <n v="7172"/>
    <n v="94386"/>
    <n v="91869"/>
    <m/>
    <m/>
    <m/>
    <m/>
    <m/>
    <m/>
    <m/>
    <m/>
    <n v="0"/>
    <n v="0"/>
    <n v="0"/>
    <n v="0"/>
    <m/>
    <m/>
    <n v="0"/>
    <n v="0"/>
  </r>
  <r>
    <x v="12"/>
    <s v="Northeast State Technical Community College"/>
    <m/>
    <n v="221908"/>
    <x v="7"/>
    <s v="sem"/>
    <m/>
    <m/>
    <m/>
    <n v="60770"/>
    <n v="58655"/>
    <n v="11624"/>
    <n v="10389"/>
    <n v="64335"/>
    <n v="58678"/>
    <n v="136729"/>
    <n v="4557.6333333333332"/>
    <n v="127722"/>
    <n v="4257.3999999999996"/>
    <n v="5712"/>
    <n v="6361"/>
    <n v="136729"/>
    <n v="127722"/>
    <m/>
    <m/>
    <m/>
    <m/>
    <m/>
    <m/>
    <m/>
    <m/>
    <n v="0"/>
    <n v="0"/>
    <n v="0"/>
    <n v="0"/>
    <m/>
    <m/>
    <n v="0"/>
    <n v="0"/>
  </r>
  <r>
    <x v="12"/>
    <s v="Roane State Community College "/>
    <m/>
    <n v="221397"/>
    <x v="7"/>
    <s v="sem"/>
    <m/>
    <m/>
    <m/>
    <n v="59056"/>
    <n v="56609"/>
    <n v="9156"/>
    <n v="8738"/>
    <n v="62292"/>
    <n v="59465"/>
    <n v="130504"/>
    <n v="4350.1333333333332"/>
    <n v="124812"/>
    <n v="4160.3999999999996"/>
    <n v="8830"/>
    <n v="9785"/>
    <n v="130504"/>
    <n v="124812"/>
    <m/>
    <m/>
    <m/>
    <m/>
    <m/>
    <m/>
    <m/>
    <m/>
    <n v="0"/>
    <n v="0"/>
    <n v="0"/>
    <n v="0"/>
    <m/>
    <m/>
    <n v="0"/>
    <n v="0"/>
  </r>
  <r>
    <x v="12"/>
    <s v="Walters State Community College "/>
    <m/>
    <n v="222062"/>
    <x v="7"/>
    <s v="sem"/>
    <m/>
    <m/>
    <m/>
    <n v="60228"/>
    <n v="57762"/>
    <n v="7839"/>
    <n v="7919"/>
    <n v="66380"/>
    <n v="61549"/>
    <n v="134447"/>
    <n v="4481.5666666666666"/>
    <n v="127230"/>
    <n v="4241"/>
    <n v="9115"/>
    <n v="10939"/>
    <n v="134447"/>
    <n v="127230"/>
    <m/>
    <m/>
    <m/>
    <m/>
    <m/>
    <m/>
    <m/>
    <m/>
    <n v="0"/>
    <n v="0"/>
    <n v="0"/>
    <n v="0"/>
    <m/>
    <m/>
    <n v="0"/>
    <n v="0"/>
  </r>
  <r>
    <x v="12"/>
    <s v="Tennessee College of Applied Technology at Chattanooga"/>
    <m/>
    <s v="219824B"/>
    <x v="9"/>
    <s v="sem"/>
    <m/>
    <m/>
    <m/>
    <m/>
    <m/>
    <m/>
    <m/>
    <m/>
    <m/>
    <n v="0"/>
    <n v="0"/>
    <n v="0"/>
    <n v="0"/>
    <m/>
    <m/>
    <n v="0"/>
    <n v="0"/>
    <m/>
    <m/>
    <n v="364757"/>
    <n v="367836"/>
    <n v="219520"/>
    <n v="244108"/>
    <n v="353100"/>
    <n v="365935"/>
    <n v="937377"/>
    <n v="1041.53"/>
    <n v="977879"/>
    <n v="1086.5322222222221"/>
    <m/>
    <m/>
    <n v="0"/>
    <n v="0"/>
  </r>
  <r>
    <x v="12"/>
    <s v="Tennessee College of Applied Technology at Athens"/>
    <m/>
    <n v="219596"/>
    <x v="10"/>
    <s v="sem"/>
    <m/>
    <m/>
    <m/>
    <m/>
    <m/>
    <m/>
    <m/>
    <m/>
    <m/>
    <n v="0"/>
    <n v="0"/>
    <n v="0"/>
    <n v="0"/>
    <m/>
    <m/>
    <n v="0"/>
    <n v="0"/>
    <m/>
    <m/>
    <n v="72045"/>
    <n v="70012"/>
    <n v="73033"/>
    <n v="66624"/>
    <n v="66625"/>
    <n v="80929"/>
    <n v="211703"/>
    <n v="235.22555555555556"/>
    <n v="217565"/>
    <n v="241.73888888888888"/>
    <m/>
    <m/>
    <n v="0"/>
    <n v="0"/>
  </r>
  <r>
    <x v="12"/>
    <s v="Tennessee College of Applied Technology at Covington"/>
    <m/>
    <n v="219921"/>
    <x v="10"/>
    <s v="sem"/>
    <m/>
    <m/>
    <m/>
    <m/>
    <m/>
    <m/>
    <m/>
    <m/>
    <m/>
    <n v="0"/>
    <n v="0"/>
    <n v="0"/>
    <n v="0"/>
    <m/>
    <m/>
    <n v="0"/>
    <n v="0"/>
    <m/>
    <m/>
    <n v="59532"/>
    <n v="58842"/>
    <n v="45039"/>
    <n v="50022"/>
    <n v="60013"/>
    <n v="55909"/>
    <n v="164584"/>
    <n v="182.87111111111111"/>
    <n v="164773"/>
    <n v="183.08111111111111"/>
    <m/>
    <m/>
    <n v="0"/>
    <n v="0"/>
  </r>
  <r>
    <x v="12"/>
    <s v="Tennessee College of Applied Technology at Crossville"/>
    <m/>
    <n v="221591"/>
    <x v="10"/>
    <s v="sem"/>
    <m/>
    <m/>
    <m/>
    <m/>
    <m/>
    <m/>
    <m/>
    <m/>
    <m/>
    <n v="0"/>
    <n v="0"/>
    <n v="0"/>
    <n v="0"/>
    <m/>
    <m/>
    <n v="0"/>
    <n v="0"/>
    <m/>
    <m/>
    <n v="102602"/>
    <n v="90989"/>
    <n v="89133"/>
    <n v="88709"/>
    <n v="104786"/>
    <n v="112166"/>
    <n v="296521"/>
    <n v="329.46777777777777"/>
    <n v="291864"/>
    <n v="324.29333333333335"/>
    <m/>
    <m/>
    <n v="0"/>
    <n v="0"/>
  </r>
  <r>
    <x v="12"/>
    <s v="Tennessee College of Applied Technology at Crump"/>
    <m/>
    <n v="221430"/>
    <x v="10"/>
    <s v="sem"/>
    <m/>
    <m/>
    <m/>
    <m/>
    <m/>
    <m/>
    <m/>
    <m/>
    <m/>
    <n v="0"/>
    <n v="0"/>
    <n v="0"/>
    <n v="0"/>
    <m/>
    <m/>
    <n v="0"/>
    <n v="0"/>
    <m/>
    <m/>
    <n v="72478"/>
    <n v="74657"/>
    <n v="66877"/>
    <n v="62371"/>
    <n v="74884"/>
    <n v="81801"/>
    <n v="214239"/>
    <n v="238.04333333333332"/>
    <n v="218829"/>
    <n v="243.14333333333335"/>
    <m/>
    <m/>
    <n v="0"/>
    <n v="0"/>
  </r>
  <r>
    <x v="12"/>
    <s v="Tennessee College of Applied Technology at Dickson"/>
    <m/>
    <n v="219994"/>
    <x v="10"/>
    <s v="sem"/>
    <m/>
    <m/>
    <m/>
    <m/>
    <m/>
    <m/>
    <m/>
    <m/>
    <m/>
    <n v="0"/>
    <n v="0"/>
    <n v="0"/>
    <n v="0"/>
    <m/>
    <m/>
    <n v="0"/>
    <n v="0"/>
    <m/>
    <m/>
    <n v="159343"/>
    <n v="162782"/>
    <n v="150435"/>
    <n v="161084"/>
    <n v="166077"/>
    <n v="178454"/>
    <n v="475855"/>
    <n v="528.72777777777776"/>
    <n v="502320"/>
    <n v="558.13333333333333"/>
    <m/>
    <m/>
    <n v="0"/>
    <n v="0"/>
  </r>
  <r>
    <x v="12"/>
    <s v="Tennessee College of Applied Technology at Elizabethton"/>
    <m/>
    <n v="220127"/>
    <x v="10"/>
    <s v="sem"/>
    <m/>
    <m/>
    <m/>
    <m/>
    <m/>
    <m/>
    <m/>
    <m/>
    <m/>
    <n v="0"/>
    <n v="0"/>
    <n v="0"/>
    <n v="0"/>
    <m/>
    <m/>
    <n v="0"/>
    <n v="0"/>
    <m/>
    <m/>
    <n v="164284"/>
    <n v="166660"/>
    <n v="162034"/>
    <n v="164157"/>
    <n v="175859"/>
    <n v="175414"/>
    <n v="502177"/>
    <n v="557.97444444444443"/>
    <n v="506231"/>
    <n v="562.47888888888883"/>
    <m/>
    <m/>
    <n v="0"/>
    <n v="0"/>
  </r>
  <r>
    <x v="12"/>
    <s v="Tennessee College of Applied Technology at Harriman"/>
    <m/>
    <n v="220251"/>
    <x v="10"/>
    <s v="sem"/>
    <m/>
    <m/>
    <m/>
    <m/>
    <m/>
    <m/>
    <m/>
    <m/>
    <m/>
    <n v="0"/>
    <n v="0"/>
    <n v="0"/>
    <n v="0"/>
    <m/>
    <m/>
    <n v="0"/>
    <n v="0"/>
    <m/>
    <m/>
    <n v="75914"/>
    <n v="83032"/>
    <n v="73031"/>
    <n v="90900"/>
    <n v="86975"/>
    <n v="79465"/>
    <n v="235920"/>
    <n v="262.13333333333333"/>
    <n v="253397"/>
    <n v="281.55222222222221"/>
    <m/>
    <m/>
    <n v="0"/>
    <n v="0"/>
  </r>
  <r>
    <x v="12"/>
    <s v="Tennessee College of Applied Technology at Hartsville"/>
    <m/>
    <n v="220279"/>
    <x v="10"/>
    <s v="sem"/>
    <m/>
    <m/>
    <m/>
    <m/>
    <m/>
    <m/>
    <m/>
    <m/>
    <m/>
    <n v="0"/>
    <n v="0"/>
    <n v="0"/>
    <n v="0"/>
    <m/>
    <m/>
    <n v="0"/>
    <n v="0"/>
    <m/>
    <m/>
    <n v="129652"/>
    <n v="127626"/>
    <n v="96744"/>
    <n v="89524"/>
    <n v="136225"/>
    <n v="130471"/>
    <n v="362621"/>
    <n v="402.91222222222223"/>
    <n v="347621"/>
    <n v="386.24555555555554"/>
    <m/>
    <m/>
    <n v="0"/>
    <n v="0"/>
  </r>
  <r>
    <x v="12"/>
    <s v="Tennessee College of Applied Technology at Hohenwald"/>
    <m/>
    <n v="220321"/>
    <x v="10"/>
    <s v="sem"/>
    <m/>
    <m/>
    <m/>
    <m/>
    <m/>
    <m/>
    <m/>
    <m/>
    <m/>
    <n v="0"/>
    <n v="0"/>
    <n v="0"/>
    <n v="0"/>
    <m/>
    <m/>
    <n v="0"/>
    <n v="0"/>
    <m/>
    <m/>
    <n v="129225"/>
    <n v="118711"/>
    <n v="107374"/>
    <n v="96602"/>
    <n v="120338"/>
    <n v="117273"/>
    <n v="356937"/>
    <n v="396.59666666666669"/>
    <n v="332586"/>
    <n v="369.54"/>
    <m/>
    <m/>
    <n v="0"/>
    <n v="0"/>
  </r>
  <r>
    <x v="12"/>
    <s v="Tennessee College of Applied Technology at Jacksboro"/>
    <m/>
    <n v="220394"/>
    <x v="10"/>
    <s v="sem"/>
    <m/>
    <m/>
    <m/>
    <m/>
    <m/>
    <m/>
    <m/>
    <m/>
    <m/>
    <n v="0"/>
    <n v="0"/>
    <n v="0"/>
    <n v="0"/>
    <m/>
    <m/>
    <n v="0"/>
    <n v="0"/>
    <m/>
    <m/>
    <n v="62072"/>
    <n v="61475"/>
    <n v="56566"/>
    <n v="58522"/>
    <n v="66056"/>
    <n v="66877"/>
    <n v="184694"/>
    <n v="205.21555555555557"/>
    <n v="186874"/>
    <n v="207.63777777777779"/>
    <m/>
    <m/>
    <n v="0"/>
    <n v="0"/>
  </r>
  <r>
    <x v="12"/>
    <s v="Tennessee College of Applied Technology at Jackson"/>
    <m/>
    <n v="221616"/>
    <x v="10"/>
    <s v="sem"/>
    <m/>
    <m/>
    <m/>
    <m/>
    <m/>
    <m/>
    <m/>
    <m/>
    <m/>
    <n v="0"/>
    <n v="0"/>
    <n v="0"/>
    <n v="0"/>
    <m/>
    <m/>
    <n v="0"/>
    <n v="0"/>
    <m/>
    <m/>
    <n v="148611"/>
    <n v="160452"/>
    <n v="143264"/>
    <n v="144187"/>
    <n v="167214"/>
    <n v="170852"/>
    <n v="459089"/>
    <n v="510.09888888888889"/>
    <n v="475491"/>
    <n v="528.32333333333338"/>
    <m/>
    <m/>
    <n v="0"/>
    <n v="0"/>
  </r>
  <r>
    <x v="12"/>
    <s v="Tennessee College of Applied Technology at Knoxville"/>
    <m/>
    <n v="221625"/>
    <x v="10"/>
    <s v="sem"/>
    <m/>
    <m/>
    <m/>
    <m/>
    <m/>
    <m/>
    <m/>
    <m/>
    <m/>
    <n v="0"/>
    <n v="0"/>
    <n v="0"/>
    <n v="0"/>
    <m/>
    <m/>
    <n v="0"/>
    <n v="0"/>
    <m/>
    <m/>
    <n v="182313"/>
    <n v="196290"/>
    <n v="185487"/>
    <n v="197454"/>
    <n v="194748"/>
    <n v="206963"/>
    <n v="562548"/>
    <n v="625.05333333333328"/>
    <n v="600707"/>
    <n v="667.45222222222219"/>
    <m/>
    <m/>
    <n v="0"/>
    <n v="0"/>
  </r>
  <r>
    <x v="12"/>
    <s v="Tennessee College of Applied Technology at Livingston"/>
    <m/>
    <n v="220640"/>
    <x v="10"/>
    <s v="sem"/>
    <m/>
    <m/>
    <m/>
    <m/>
    <m/>
    <m/>
    <m/>
    <m/>
    <m/>
    <n v="0"/>
    <n v="0"/>
    <n v="0"/>
    <n v="0"/>
    <m/>
    <m/>
    <n v="0"/>
    <n v="0"/>
    <m/>
    <m/>
    <n v="119619"/>
    <n v="131340"/>
    <n v="93735"/>
    <n v="97090"/>
    <n v="141385"/>
    <n v="115054"/>
    <n v="354739"/>
    <n v="394.15444444444444"/>
    <n v="343484"/>
    <n v="381.64888888888891"/>
    <m/>
    <m/>
    <n v="0"/>
    <n v="0"/>
  </r>
  <r>
    <x v="12"/>
    <s v="Tennessee College of Applied Technology at McKenzie"/>
    <m/>
    <n v="220756"/>
    <x v="10"/>
    <s v="sem"/>
    <m/>
    <m/>
    <m/>
    <m/>
    <m/>
    <m/>
    <m/>
    <m/>
    <m/>
    <n v="0"/>
    <n v="0"/>
    <n v="0"/>
    <n v="0"/>
    <m/>
    <m/>
    <n v="0"/>
    <n v="0"/>
    <m/>
    <m/>
    <n v="84891"/>
    <n v="79450"/>
    <n v="71589"/>
    <n v="71688"/>
    <n v="85717"/>
    <n v="60905"/>
    <n v="242197"/>
    <n v="269.10777777777776"/>
    <n v="212043"/>
    <n v="235.60333333333332"/>
    <m/>
    <m/>
    <n v="0"/>
    <n v="0"/>
  </r>
  <r>
    <x v="12"/>
    <s v="Tennessee College of Applied Technology at McMinnville"/>
    <m/>
    <n v="221607"/>
    <x v="10"/>
    <s v="sem"/>
    <m/>
    <m/>
    <m/>
    <m/>
    <m/>
    <m/>
    <m/>
    <m/>
    <m/>
    <n v="0"/>
    <n v="0"/>
    <n v="0"/>
    <n v="0"/>
    <m/>
    <m/>
    <n v="0"/>
    <n v="0"/>
    <m/>
    <m/>
    <n v="69968"/>
    <n v="69163"/>
    <n v="65409"/>
    <n v="63367"/>
    <n v="73565"/>
    <n v="69418"/>
    <n v="208942"/>
    <n v="232.15777777777777"/>
    <n v="201948"/>
    <n v="224.38666666666666"/>
    <m/>
    <m/>
    <n v="0"/>
    <n v="0"/>
  </r>
  <r>
    <x v="12"/>
    <s v="Tennessee College of Applied Technology at Memphis"/>
    <m/>
    <n v="220853"/>
    <x v="10"/>
    <s v="sem"/>
    <m/>
    <m/>
    <m/>
    <m/>
    <m/>
    <m/>
    <m/>
    <m/>
    <m/>
    <n v="0"/>
    <n v="0"/>
    <n v="0"/>
    <n v="0"/>
    <m/>
    <m/>
    <n v="0"/>
    <n v="0"/>
    <m/>
    <m/>
    <n v="259997"/>
    <n v="260620"/>
    <n v="243393"/>
    <n v="258647"/>
    <n v="276408"/>
    <n v="277381"/>
    <n v="779798"/>
    <n v="866.4422222222222"/>
    <n v="796648"/>
    <n v="885.16444444444448"/>
    <m/>
    <m/>
    <n v="0"/>
    <n v="0"/>
  </r>
  <r>
    <x v="12"/>
    <s v="Tennessee College of Applied Technology at Morristown"/>
    <m/>
    <n v="221050"/>
    <x v="10"/>
    <s v="sem"/>
    <m/>
    <m/>
    <m/>
    <m/>
    <m/>
    <m/>
    <m/>
    <m/>
    <m/>
    <n v="0"/>
    <n v="0"/>
    <n v="0"/>
    <n v="0"/>
    <m/>
    <m/>
    <n v="0"/>
    <n v="0"/>
    <m/>
    <m/>
    <n v="179417"/>
    <n v="157845"/>
    <n v="164143"/>
    <n v="149695"/>
    <n v="171154"/>
    <n v="169555"/>
    <n v="514714"/>
    <n v="571.90444444444449"/>
    <n v="477095"/>
    <n v="530.10555555555561"/>
    <m/>
    <m/>
    <n v="0"/>
    <n v="0"/>
  </r>
  <r>
    <x v="12"/>
    <s v="Tennessee College of Applied Technology at Murfreesboro"/>
    <m/>
    <n v="221102"/>
    <x v="10"/>
    <s v="sem"/>
    <m/>
    <m/>
    <m/>
    <m/>
    <m/>
    <m/>
    <m/>
    <m/>
    <m/>
    <n v="0"/>
    <n v="0"/>
    <n v="0"/>
    <n v="0"/>
    <m/>
    <m/>
    <n v="0"/>
    <n v="0"/>
    <m/>
    <m/>
    <n v="141188"/>
    <n v="168286"/>
    <n v="148748"/>
    <n v="147180"/>
    <n v="139536"/>
    <n v="160973"/>
    <n v="429472"/>
    <n v="477.19111111111113"/>
    <n v="476439"/>
    <n v="529.37666666666667"/>
    <m/>
    <m/>
    <n v="0"/>
    <n v="0"/>
  </r>
  <r>
    <x v="12"/>
    <s v="Tennessee College of Applied Technology at Nashville"/>
    <m/>
    <n v="248925"/>
    <x v="10"/>
    <s v="sem"/>
    <m/>
    <m/>
    <m/>
    <m/>
    <m/>
    <m/>
    <m/>
    <m/>
    <m/>
    <n v="0"/>
    <n v="0"/>
    <n v="0"/>
    <n v="0"/>
    <m/>
    <m/>
    <n v="0"/>
    <n v="0"/>
    <m/>
    <m/>
    <n v="278262"/>
    <n v="253103"/>
    <n v="219552"/>
    <n v="221573"/>
    <n v="242102"/>
    <n v="301534"/>
    <n v="739916"/>
    <n v="822.12888888888892"/>
    <n v="776210"/>
    <n v="862.45555555555552"/>
    <m/>
    <m/>
    <n v="0"/>
    <n v="0"/>
  </r>
  <r>
    <x v="12"/>
    <s v="Tennessee College of Applied Technology at Newbern"/>
    <m/>
    <n v="221236"/>
    <x v="10"/>
    <s v="sem"/>
    <m/>
    <m/>
    <m/>
    <m/>
    <m/>
    <m/>
    <m/>
    <m/>
    <m/>
    <n v="0"/>
    <n v="0"/>
    <n v="0"/>
    <n v="0"/>
    <m/>
    <m/>
    <n v="0"/>
    <n v="0"/>
    <m/>
    <m/>
    <n v="128808"/>
    <n v="92663"/>
    <n v="110683"/>
    <n v="77150"/>
    <n v="117982"/>
    <n v="91063"/>
    <n v="357473"/>
    <n v="397.1922222222222"/>
    <n v="260876"/>
    <n v="289.86222222222221"/>
    <m/>
    <m/>
    <n v="0"/>
    <n v="0"/>
  </r>
  <r>
    <x v="12"/>
    <s v="Tennessee College of Applied Technology at Oneida"/>
    <m/>
    <n v="221582"/>
    <x v="10"/>
    <s v="sem"/>
    <m/>
    <m/>
    <m/>
    <m/>
    <m/>
    <m/>
    <m/>
    <m/>
    <m/>
    <n v="0"/>
    <n v="0"/>
    <n v="0"/>
    <n v="0"/>
    <m/>
    <m/>
    <n v="0"/>
    <n v="0"/>
    <m/>
    <m/>
    <n v="74206"/>
    <n v="69280"/>
    <n v="54433"/>
    <n v="54092"/>
    <n v="73250"/>
    <n v="71848"/>
    <n v="201889"/>
    <n v="224.32111111111112"/>
    <n v="195220"/>
    <n v="216.9111111111111"/>
    <m/>
    <m/>
    <n v="0"/>
    <n v="0"/>
  </r>
  <r>
    <x v="12"/>
    <s v="Tennessee College of Applied Technology at Paris"/>
    <m/>
    <n v="221281"/>
    <x v="10"/>
    <s v="sem"/>
    <m/>
    <m/>
    <m/>
    <m/>
    <m/>
    <m/>
    <m/>
    <m/>
    <m/>
    <n v="0"/>
    <n v="0"/>
    <n v="0"/>
    <n v="0"/>
    <m/>
    <m/>
    <n v="0"/>
    <n v="0"/>
    <m/>
    <m/>
    <n v="111690"/>
    <n v="105149"/>
    <n v="105413"/>
    <n v="96058"/>
    <n v="106651"/>
    <n v="92437"/>
    <n v="323754"/>
    <n v="359.72666666666669"/>
    <n v="293644"/>
    <n v="326.27111111111111"/>
    <m/>
    <m/>
    <n v="0"/>
    <n v="0"/>
  </r>
  <r>
    <x v="12"/>
    <s v="Tennessee College of Applied Technology at Pulaski"/>
    <m/>
    <n v="221333"/>
    <x v="10"/>
    <s v="sem"/>
    <m/>
    <m/>
    <m/>
    <m/>
    <m/>
    <m/>
    <m/>
    <m/>
    <m/>
    <n v="0"/>
    <n v="0"/>
    <n v="0"/>
    <n v="0"/>
    <m/>
    <m/>
    <n v="0"/>
    <n v="0"/>
    <m/>
    <m/>
    <n v="127721"/>
    <n v="122165"/>
    <n v="63907"/>
    <n v="67750"/>
    <n v="117700"/>
    <n v="145954"/>
    <n v="309328"/>
    <n v="343.69777777777779"/>
    <n v="335869"/>
    <n v="373.1877777777778"/>
    <m/>
    <m/>
    <n v="0"/>
    <n v="0"/>
  </r>
  <r>
    <x v="12"/>
    <s v="Tennessee College of Applied Technology at Ripley"/>
    <m/>
    <n v="221388"/>
    <x v="10"/>
    <s v="sem"/>
    <m/>
    <m/>
    <m/>
    <m/>
    <m/>
    <m/>
    <m/>
    <m/>
    <m/>
    <n v="0"/>
    <n v="0"/>
    <n v="0"/>
    <n v="0"/>
    <m/>
    <m/>
    <n v="0"/>
    <n v="0"/>
    <m/>
    <m/>
    <n v="56880"/>
    <n v="48113"/>
    <n v="49724"/>
    <n v="40085"/>
    <n v="51382"/>
    <n v="52577"/>
    <n v="157986"/>
    <n v="175.54"/>
    <n v="140775"/>
    <n v="156.41666666666666"/>
    <m/>
    <m/>
    <n v="0"/>
    <n v="0"/>
  </r>
  <r>
    <x v="12"/>
    <s v="Tennessee College of Applied Technology at Shelbyville"/>
    <m/>
    <n v="221494"/>
    <x v="10"/>
    <s v="sem"/>
    <m/>
    <m/>
    <m/>
    <m/>
    <m/>
    <m/>
    <m/>
    <m/>
    <m/>
    <n v="0"/>
    <n v="0"/>
    <n v="0"/>
    <n v="0"/>
    <m/>
    <m/>
    <n v="0"/>
    <n v="0"/>
    <m/>
    <m/>
    <n v="157881"/>
    <n v="147038"/>
    <n v="151235"/>
    <n v="139579"/>
    <n v="161268"/>
    <n v="156299"/>
    <n v="470384"/>
    <n v="522.64888888888891"/>
    <n v="442916"/>
    <n v="492.12888888888887"/>
    <m/>
    <m/>
    <n v="0"/>
    <n v="0"/>
  </r>
  <r>
    <x v="12"/>
    <s v="Tennessee College of Applied Technology at Whiteville"/>
    <m/>
    <n v="221634"/>
    <x v="10"/>
    <s v="sem"/>
    <m/>
    <m/>
    <m/>
    <m/>
    <m/>
    <m/>
    <m/>
    <m/>
    <m/>
    <n v="0"/>
    <n v="0"/>
    <n v="0"/>
    <n v="0"/>
    <m/>
    <m/>
    <n v="0"/>
    <n v="0"/>
    <m/>
    <m/>
    <n v="52309"/>
    <n v="49432"/>
    <n v="42222"/>
    <n v="51914"/>
    <n v="51522"/>
    <n v="61486"/>
    <n v="146053"/>
    <n v="162.2811111111111"/>
    <n v="162832"/>
    <n v="180.92444444444445"/>
    <m/>
    <m/>
    <n v="0"/>
    <n v="0"/>
  </r>
  <r>
    <x v="13"/>
    <s v="Texas A&amp;M University "/>
    <m/>
    <n v="228723"/>
    <x v="0"/>
    <s v="sem"/>
    <m/>
    <m/>
    <m/>
    <n v="487578"/>
    <n v="489907"/>
    <n v="67755"/>
    <n v="67424"/>
    <n v="527575"/>
    <n v="550743"/>
    <n v="1082908"/>
    <n v="36096.933333333334"/>
    <n v="1108074"/>
    <n v="36935.800000000003"/>
    <n v="0"/>
    <n v="0"/>
    <n v="1082908"/>
    <n v="1108074"/>
    <m/>
    <m/>
    <m/>
    <m/>
    <m/>
    <m/>
    <m/>
    <m/>
    <n v="0"/>
    <n v="0"/>
    <n v="0"/>
    <n v="0"/>
    <m/>
    <m/>
    <n v="0"/>
    <n v="0"/>
  </r>
  <r>
    <x v="13"/>
    <s v="Texas Tech University "/>
    <m/>
    <n v="229115"/>
    <x v="0"/>
    <s v="sem"/>
    <m/>
    <m/>
    <m/>
    <n v="312080"/>
    <n v="313998"/>
    <n v="60841"/>
    <n v="55254"/>
    <n v="342993"/>
    <n v="347083"/>
    <n v="715914"/>
    <n v="23863.8"/>
    <n v="716335"/>
    <n v="23877.833333333332"/>
    <n v="0"/>
    <n v="0"/>
    <n v="715914"/>
    <n v="716335"/>
    <m/>
    <m/>
    <m/>
    <m/>
    <m/>
    <m/>
    <m/>
    <m/>
    <n v="0"/>
    <n v="0"/>
    <n v="0"/>
    <n v="0"/>
    <m/>
    <m/>
    <n v="0"/>
    <n v="0"/>
  </r>
  <r>
    <x v="13"/>
    <s v="University of Houston"/>
    <m/>
    <n v="225511"/>
    <x v="0"/>
    <s v="sem"/>
    <m/>
    <m/>
    <m/>
    <n v="351355"/>
    <n v="356013"/>
    <n v="59472"/>
    <n v="56996"/>
    <n v="381811"/>
    <n v="370353"/>
    <n v="792638"/>
    <n v="26421.266666666666"/>
    <n v="783362"/>
    <n v="26112.066666666666"/>
    <n v="9"/>
    <n v="35"/>
    <n v="792638"/>
    <n v="783362"/>
    <m/>
    <m/>
    <m/>
    <m/>
    <m/>
    <m/>
    <m/>
    <m/>
    <n v="0"/>
    <n v="0"/>
    <n v="0"/>
    <n v="0"/>
    <m/>
    <m/>
    <n v="0"/>
    <n v="0"/>
  </r>
  <r>
    <x v="13"/>
    <s v="University of North Texas"/>
    <m/>
    <n v="227216"/>
    <x v="0"/>
    <s v="sem"/>
    <m/>
    <m/>
    <m/>
    <n v="320167"/>
    <n v="326644"/>
    <n v="71578"/>
    <n v="64168"/>
    <n v="359234"/>
    <n v="364893"/>
    <n v="750979"/>
    <n v="25032.633333333335"/>
    <n v="755705"/>
    <n v="25190.166666666668"/>
    <n v="0"/>
    <n v="0"/>
    <n v="750979"/>
    <n v="755705"/>
    <m/>
    <m/>
    <m/>
    <m/>
    <m/>
    <m/>
    <m/>
    <m/>
    <n v="0"/>
    <n v="0"/>
    <n v="0"/>
    <n v="0"/>
    <m/>
    <m/>
    <n v="0"/>
    <n v="0"/>
  </r>
  <r>
    <x v="13"/>
    <s v="University of Texas at Arlington"/>
    <m/>
    <n v="228769"/>
    <x v="0"/>
    <s v="sem"/>
    <m/>
    <m/>
    <m/>
    <n v="275569"/>
    <n v="278334"/>
    <n v="86203"/>
    <n v="84389"/>
    <n v="269106"/>
    <n v="265830"/>
    <n v="630878"/>
    <n v="21029.266666666666"/>
    <n v="628553"/>
    <n v="20951.766666666666"/>
    <n v="1789"/>
    <n v="1882"/>
    <n v="630878"/>
    <n v="628553"/>
    <m/>
    <m/>
    <m/>
    <m/>
    <m/>
    <m/>
    <m/>
    <m/>
    <n v="0"/>
    <n v="0"/>
    <n v="0"/>
    <n v="0"/>
    <m/>
    <m/>
    <n v="0"/>
    <n v="0"/>
  </r>
  <r>
    <x v="13"/>
    <s v="University of Texas at Austin"/>
    <m/>
    <n v="228778"/>
    <x v="0"/>
    <s v="sem"/>
    <m/>
    <m/>
    <m/>
    <n v="479745"/>
    <n v="497917"/>
    <n v="62147"/>
    <n v="63763"/>
    <n v="531841"/>
    <n v="531022"/>
    <n v="1073733"/>
    <n v="35791.1"/>
    <n v="1092702"/>
    <n v="36423.4"/>
    <n v="0"/>
    <n v="0"/>
    <n v="1073733"/>
    <n v="1092702"/>
    <m/>
    <m/>
    <m/>
    <m/>
    <m/>
    <m/>
    <m/>
    <m/>
    <n v="0"/>
    <n v="0"/>
    <n v="0"/>
    <n v="0"/>
    <m/>
    <m/>
    <n v="0"/>
    <n v="0"/>
  </r>
  <r>
    <x v="13"/>
    <s v="University of Texas at Dallas"/>
    <m/>
    <n v="228787"/>
    <x v="0"/>
    <s v="sem"/>
    <m/>
    <m/>
    <m/>
    <n v="139810"/>
    <n v="144224"/>
    <n v="22247"/>
    <n v="21274"/>
    <n v="153081"/>
    <n v="167877"/>
    <n v="315138"/>
    <n v="10504.6"/>
    <n v="333375"/>
    <n v="11112.5"/>
    <n v="0"/>
    <n v="0"/>
    <n v="315138"/>
    <n v="333375"/>
    <m/>
    <m/>
    <m/>
    <m/>
    <m/>
    <m/>
    <m/>
    <m/>
    <n v="0"/>
    <n v="0"/>
    <n v="0"/>
    <n v="0"/>
    <m/>
    <m/>
    <n v="0"/>
    <n v="0"/>
  </r>
  <r>
    <x v="13"/>
    <s v="Texas Woman's University"/>
    <m/>
    <n v="229179"/>
    <x v="1"/>
    <s v="sem"/>
    <m/>
    <m/>
    <m/>
    <n v="97792"/>
    <n v="101664"/>
    <n v="22120"/>
    <n v="22820"/>
    <n v="109096"/>
    <n v="110630"/>
    <n v="229008"/>
    <n v="7633.6"/>
    <n v="235114"/>
    <n v="7837.1333333333332"/>
    <n v="1872"/>
    <n v="2191"/>
    <n v="229008"/>
    <n v="235114"/>
    <m/>
    <m/>
    <m/>
    <m/>
    <m/>
    <m/>
    <m/>
    <m/>
    <n v="0"/>
    <n v="0"/>
    <n v="0"/>
    <n v="0"/>
    <m/>
    <m/>
    <n v="0"/>
    <n v="0"/>
  </r>
  <r>
    <x v="13"/>
    <s v="University of Texas at El Paso"/>
    <s v="Met the criteria for Four-Year 1 in 2013-14."/>
    <n v="228796"/>
    <x v="1"/>
    <s v="sem"/>
    <m/>
    <m/>
    <m/>
    <n v="197653"/>
    <n v="197352"/>
    <n v="50496"/>
    <n v="49568"/>
    <n v="210047"/>
    <n v="216227"/>
    <n v="458196"/>
    <n v="15273.2"/>
    <n v="463147"/>
    <n v="15438.233333333334"/>
    <n v="0"/>
    <n v="0"/>
    <n v="458196"/>
    <n v="463147"/>
    <m/>
    <m/>
    <m/>
    <m/>
    <m/>
    <m/>
    <m/>
    <m/>
    <n v="0"/>
    <n v="0"/>
    <n v="0"/>
    <n v="0"/>
    <m/>
    <m/>
    <n v="0"/>
    <n v="0"/>
  </r>
  <r>
    <x v="13"/>
    <s v="University of Texas at San Antonio"/>
    <m/>
    <n v="229027"/>
    <x v="1"/>
    <s v="sem"/>
    <m/>
    <m/>
    <m/>
    <n v="285614"/>
    <n v="276627"/>
    <n v="52071"/>
    <n v="53163"/>
    <n v="305203"/>
    <n v="288639"/>
    <n v="642888"/>
    <n v="21429.599999999999"/>
    <n v="618429"/>
    <n v="20614.3"/>
    <n v="333"/>
    <n v="367"/>
    <n v="642888"/>
    <n v="618429"/>
    <m/>
    <m/>
    <m/>
    <m/>
    <m/>
    <m/>
    <m/>
    <m/>
    <n v="0"/>
    <n v="0"/>
    <n v="0"/>
    <n v="0"/>
    <m/>
    <m/>
    <n v="0"/>
    <n v="0"/>
  </r>
  <r>
    <x v="13"/>
    <s v="Angelo State University"/>
    <m/>
    <n v="222831"/>
    <x v="2"/>
    <s v="sem"/>
    <m/>
    <m/>
    <m/>
    <n v="63537"/>
    <n v="66576"/>
    <n v="12199"/>
    <n v="12190"/>
    <n v="74515"/>
    <n v="69590"/>
    <n v="150251"/>
    <n v="5008.3666666666668"/>
    <n v="148356"/>
    <n v="4945.2"/>
    <n v="436"/>
    <n v="528"/>
    <n v="150251"/>
    <n v="148356"/>
    <m/>
    <m/>
    <m/>
    <m/>
    <m/>
    <m/>
    <m/>
    <m/>
    <n v="0"/>
    <n v="0"/>
    <n v="0"/>
    <n v="0"/>
    <m/>
    <m/>
    <n v="0"/>
    <n v="0"/>
  </r>
  <r>
    <x v="13"/>
    <s v="Lamar University"/>
    <m/>
    <n v="226091"/>
    <x v="2"/>
    <s v="sem"/>
    <m/>
    <m/>
    <m/>
    <n v="100939"/>
    <n v="100752"/>
    <n v="25948"/>
    <n v="27575"/>
    <n v="108011"/>
    <n v="102639"/>
    <n v="234898"/>
    <n v="7829.9333333333334"/>
    <n v="230966"/>
    <n v="7698.8666666666668"/>
    <n v="4551"/>
    <n v="3851"/>
    <n v="234898"/>
    <n v="230966"/>
    <m/>
    <m/>
    <m/>
    <m/>
    <m/>
    <m/>
    <m/>
    <m/>
    <n v="0"/>
    <n v="0"/>
    <n v="0"/>
    <n v="0"/>
    <m/>
    <m/>
    <n v="0"/>
    <n v="0"/>
  </r>
  <r>
    <x v="13"/>
    <s v="Midwestern State University"/>
    <m/>
    <n v="226833"/>
    <x v="2"/>
    <s v="sem"/>
    <m/>
    <m/>
    <m/>
    <n v="57294"/>
    <n v="53807"/>
    <n v="13394"/>
    <n v="11855"/>
    <n v="59232"/>
    <n v="59631"/>
    <n v="129920"/>
    <n v="4330.666666666667"/>
    <n v="125293"/>
    <n v="4176.4333333333334"/>
    <n v="229"/>
    <n v="150"/>
    <n v="129920"/>
    <n v="125293"/>
    <m/>
    <m/>
    <m/>
    <m/>
    <m/>
    <m/>
    <m/>
    <m/>
    <n v="0"/>
    <n v="0"/>
    <n v="0"/>
    <n v="0"/>
    <m/>
    <m/>
    <n v="0"/>
    <n v="0"/>
  </r>
  <r>
    <x v="13"/>
    <s v="Prairie View A&amp;M University"/>
    <m/>
    <n v="227526"/>
    <x v="2"/>
    <s v="sem"/>
    <m/>
    <m/>
    <m/>
    <n v="80259"/>
    <n v="82733"/>
    <n v="14211"/>
    <n v="13550"/>
    <n v="89083"/>
    <n v="89027"/>
    <n v="183553"/>
    <n v="6118.4333333333334"/>
    <n v="185310"/>
    <n v="6177"/>
    <n v="0"/>
    <n v="0"/>
    <n v="183553"/>
    <n v="185310"/>
    <m/>
    <m/>
    <m/>
    <m/>
    <m/>
    <m/>
    <m/>
    <m/>
    <n v="0"/>
    <n v="0"/>
    <n v="0"/>
    <n v="0"/>
    <m/>
    <m/>
    <n v="0"/>
    <n v="0"/>
  </r>
  <r>
    <x v="13"/>
    <s v="Sam Houston State University "/>
    <m/>
    <n v="227881"/>
    <x v="2"/>
    <s v="sem"/>
    <m/>
    <m/>
    <m/>
    <n v="176959"/>
    <n v="182813"/>
    <n v="34348"/>
    <n v="35265"/>
    <n v="197545"/>
    <n v="203570"/>
    <n v="408852"/>
    <n v="13628.4"/>
    <n v="421648"/>
    <n v="14054.933333333332"/>
    <n v="0"/>
    <n v="7"/>
    <n v="408852"/>
    <n v="421648"/>
    <m/>
    <m/>
    <m/>
    <m/>
    <m/>
    <m/>
    <m/>
    <m/>
    <n v="0"/>
    <n v="0"/>
    <n v="0"/>
    <n v="0"/>
    <m/>
    <m/>
    <n v="0"/>
    <n v="0"/>
  </r>
  <r>
    <x v="13"/>
    <s v="Stephen F. Austin State University"/>
    <m/>
    <n v="228431"/>
    <x v="2"/>
    <s v="sem"/>
    <m/>
    <m/>
    <m/>
    <n v="131478"/>
    <n v="129115"/>
    <n v="29548"/>
    <n v="26647"/>
    <n v="141922"/>
    <n v="136024"/>
    <n v="302948"/>
    <n v="10098.266666666666"/>
    <n v="291786"/>
    <n v="9726.2000000000007"/>
    <n v="1892"/>
    <n v="2425"/>
    <n v="302948"/>
    <n v="291786"/>
    <m/>
    <m/>
    <m/>
    <m/>
    <m/>
    <m/>
    <m/>
    <m/>
    <n v="0"/>
    <n v="0"/>
    <n v="0"/>
    <n v="0"/>
    <m/>
    <m/>
    <n v="0"/>
    <n v="0"/>
  </r>
  <r>
    <x v="13"/>
    <s v="Sul Ross State University "/>
    <m/>
    <n v="228501"/>
    <x v="2"/>
    <s v="sem"/>
    <m/>
    <m/>
    <m/>
    <n v="15958"/>
    <n v="14162"/>
    <n v="2831"/>
    <n v="2699"/>
    <n v="15518"/>
    <n v="15877"/>
    <n v="34307"/>
    <n v="1143.5666666666666"/>
    <n v="32738"/>
    <n v="1091.2666666666667"/>
    <n v="604"/>
    <n v="807"/>
    <n v="34307"/>
    <n v="32738"/>
    <m/>
    <m/>
    <m/>
    <m/>
    <m/>
    <m/>
    <m/>
    <m/>
    <n v="0"/>
    <n v="0"/>
    <n v="0"/>
    <n v="0"/>
    <m/>
    <m/>
    <n v="0"/>
    <n v="0"/>
  </r>
  <r>
    <x v="13"/>
    <s v="Tarleton State University"/>
    <m/>
    <n v="228529"/>
    <x v="2"/>
    <s v="sem"/>
    <m/>
    <m/>
    <m/>
    <n v="95400"/>
    <n v="102680"/>
    <n v="24025"/>
    <n v="24669"/>
    <n v="108102"/>
    <n v="114938"/>
    <n v="227527"/>
    <n v="7584.2333333333336"/>
    <n v="242287"/>
    <n v="8076.2333333333336"/>
    <n v="0"/>
    <n v="0"/>
    <n v="227527"/>
    <n v="242287"/>
    <m/>
    <m/>
    <m/>
    <m/>
    <m/>
    <m/>
    <m/>
    <m/>
    <n v="0"/>
    <n v="0"/>
    <n v="0"/>
    <n v="0"/>
    <m/>
    <m/>
    <n v="0"/>
    <n v="0"/>
  </r>
  <r>
    <x v="13"/>
    <s v="Texas A&amp;M International University"/>
    <m/>
    <n v="226152"/>
    <x v="2"/>
    <s v="sem"/>
    <m/>
    <m/>
    <m/>
    <n v="60213"/>
    <n v="61336"/>
    <n v="13241"/>
    <n v="12278"/>
    <n v="65955"/>
    <n v="68009"/>
    <n v="139409"/>
    <n v="4646.9666666666662"/>
    <n v="141623"/>
    <n v="4720.7666666666664"/>
    <n v="9092"/>
    <n v="8543"/>
    <n v="139409"/>
    <n v="141623"/>
    <m/>
    <m/>
    <m/>
    <m/>
    <m/>
    <m/>
    <m/>
    <m/>
    <n v="0"/>
    <n v="0"/>
    <n v="0"/>
    <n v="0"/>
    <m/>
    <m/>
    <n v="0"/>
    <n v="0"/>
  </r>
  <r>
    <x v="13"/>
    <s v="Texas A&amp;M University-Commerce"/>
    <m/>
    <n v="224554"/>
    <x v="2"/>
    <s v="sem"/>
    <m/>
    <m/>
    <m/>
    <n v="69494"/>
    <n v="72497"/>
    <n v="16728"/>
    <n v="13384"/>
    <n v="78226"/>
    <n v="79788"/>
    <n v="164448"/>
    <n v="5481.6"/>
    <n v="165669"/>
    <n v="5522.3"/>
    <n v="1509"/>
    <n v="2020"/>
    <n v="164448"/>
    <n v="165669"/>
    <m/>
    <m/>
    <m/>
    <m/>
    <m/>
    <m/>
    <m/>
    <m/>
    <n v="0"/>
    <n v="0"/>
    <n v="0"/>
    <n v="0"/>
    <m/>
    <m/>
    <n v="0"/>
    <n v="0"/>
  </r>
  <r>
    <x v="13"/>
    <s v="Texas A&amp;M University-Corpus Christi "/>
    <m/>
    <n v="224147"/>
    <x v="2"/>
    <s v="sem"/>
    <m/>
    <m/>
    <m/>
    <n v="94638"/>
    <n v="99252"/>
    <n v="26068"/>
    <n v="24582"/>
    <n v="106847"/>
    <n v="109897"/>
    <n v="227553"/>
    <n v="7585.1"/>
    <n v="233731"/>
    <n v="7791.0333333333338"/>
    <n v="951"/>
    <n v="0"/>
    <n v="227553"/>
    <n v="233731"/>
    <m/>
    <m/>
    <m/>
    <m/>
    <m/>
    <m/>
    <m/>
    <m/>
    <n v="0"/>
    <n v="0"/>
    <n v="0"/>
    <n v="0"/>
    <m/>
    <m/>
    <n v="0"/>
    <n v="0"/>
  </r>
  <r>
    <x v="13"/>
    <s v="Texas A&amp;M University-Kingsville"/>
    <m/>
    <n v="228705"/>
    <x v="2"/>
    <s v="sem"/>
    <m/>
    <m/>
    <m/>
    <n v="63861"/>
    <n v="67470"/>
    <n v="11924"/>
    <n v="6807"/>
    <n v="74102"/>
    <n v="80012"/>
    <n v="149887"/>
    <n v="4996.2333333333336"/>
    <n v="154289"/>
    <n v="5142.9666666666662"/>
    <n v="3179"/>
    <n v="4285"/>
    <n v="149887"/>
    <n v="154289"/>
    <m/>
    <m/>
    <m/>
    <m/>
    <m/>
    <m/>
    <m/>
    <m/>
    <n v="0"/>
    <n v="0"/>
    <n v="0"/>
    <n v="0"/>
    <m/>
    <m/>
    <n v="0"/>
    <n v="0"/>
  </r>
  <r>
    <x v="13"/>
    <s v="Texas Southern University "/>
    <m/>
    <n v="229063"/>
    <x v="2"/>
    <s v="sem"/>
    <m/>
    <m/>
    <m/>
    <n v="79510"/>
    <n v="76061"/>
    <n v="10554"/>
    <n v="8650"/>
    <n v="90474"/>
    <n v="82587"/>
    <n v="180538"/>
    <n v="6017.9333333333334"/>
    <n v="167298"/>
    <n v="5576.6"/>
    <n v="0"/>
    <n v="0"/>
    <n v="180538"/>
    <n v="167298"/>
    <m/>
    <m/>
    <m/>
    <m/>
    <m/>
    <m/>
    <m/>
    <m/>
    <n v="0"/>
    <n v="0"/>
    <n v="0"/>
    <n v="0"/>
    <m/>
    <m/>
    <n v="0"/>
    <n v="0"/>
  </r>
  <r>
    <x v="13"/>
    <s v="Texas State University-San Marcos"/>
    <m/>
    <n v="228459"/>
    <x v="2"/>
    <s v="sem"/>
    <m/>
    <m/>
    <m/>
    <n v="337603"/>
    <n v="341423"/>
    <n v="61868"/>
    <n v="61042"/>
    <n v="370796"/>
    <n v="389625"/>
    <n v="770267"/>
    <n v="25675.566666666666"/>
    <n v="792090"/>
    <n v="26403"/>
    <n v="0"/>
    <n v="0"/>
    <n v="770267"/>
    <n v="792090"/>
    <m/>
    <m/>
    <m/>
    <m/>
    <m/>
    <m/>
    <m/>
    <m/>
    <n v="0"/>
    <n v="0"/>
    <n v="0"/>
    <n v="0"/>
    <m/>
    <m/>
    <n v="0"/>
    <n v="0"/>
  </r>
  <r>
    <x v="13"/>
    <s v="University of Houston-Clear Lake "/>
    <m/>
    <n v="225414"/>
    <x v="2"/>
    <s v="sem"/>
    <m/>
    <m/>
    <m/>
    <n v="45631"/>
    <n v="44868"/>
    <n v="13246"/>
    <n v="12976"/>
    <n v="45352"/>
    <n v="45752"/>
    <n v="104229"/>
    <n v="3474.3"/>
    <n v="103596"/>
    <n v="3453.2"/>
    <n v="0"/>
    <n v="0"/>
    <n v="104229"/>
    <n v="103596"/>
    <m/>
    <m/>
    <m/>
    <m/>
    <m/>
    <m/>
    <m/>
    <m/>
    <n v="0"/>
    <n v="0"/>
    <n v="0"/>
    <n v="0"/>
    <m/>
    <m/>
    <n v="0"/>
    <n v="0"/>
  </r>
  <r>
    <x v="13"/>
    <s v="University of Texas at Brownsville"/>
    <m/>
    <n v="227377"/>
    <x v="2"/>
    <s v="sem"/>
    <m/>
    <m/>
    <m/>
    <n v="34052"/>
    <n v="76841"/>
    <n v="16988"/>
    <n v="15680"/>
    <n v="74854"/>
    <n v="80700"/>
    <n v="125894"/>
    <n v="4196.4666666666662"/>
    <n v="173221"/>
    <n v="5774.0333333333338"/>
    <n v="2638"/>
    <n v="4199"/>
    <n v="125894"/>
    <n v="173221"/>
    <m/>
    <m/>
    <m/>
    <m/>
    <m/>
    <m/>
    <m/>
    <m/>
    <n v="0"/>
    <n v="0"/>
    <n v="0"/>
    <n v="0"/>
    <m/>
    <m/>
    <n v="0"/>
    <n v="0"/>
  </r>
  <r>
    <x v="13"/>
    <s v="University of Texas at Tyler"/>
    <m/>
    <n v="228802"/>
    <x v="2"/>
    <s v="sem"/>
    <m/>
    <m/>
    <m/>
    <n v="57825"/>
    <n v="59884"/>
    <n v="10180"/>
    <n v="10867"/>
    <n v="63891"/>
    <n v="64575"/>
    <n v="131896"/>
    <n v="4396.5333333333338"/>
    <n v="135326"/>
    <n v="4510.8666666666668"/>
    <n v="0"/>
    <n v="1065"/>
    <n v="131896"/>
    <n v="135326"/>
    <m/>
    <m/>
    <m/>
    <m/>
    <m/>
    <m/>
    <m/>
    <m/>
    <n v="0"/>
    <n v="0"/>
    <n v="0"/>
    <n v="0"/>
    <m/>
    <m/>
    <n v="0"/>
    <n v="0"/>
  </r>
  <r>
    <x v="13"/>
    <s v="University of Texas of the Permian Basin"/>
    <m/>
    <n v="229018"/>
    <x v="2"/>
    <s v="sem"/>
    <m/>
    <m/>
    <m/>
    <n v="32385"/>
    <n v="34742"/>
    <n v="6714"/>
    <n v="9232"/>
    <n v="36364"/>
    <n v="42010"/>
    <n v="75463"/>
    <n v="2515.4333333333334"/>
    <n v="85984"/>
    <n v="2866.1333333333332"/>
    <n v="3777"/>
    <n v="7420"/>
    <n v="75463"/>
    <n v="85984"/>
    <m/>
    <m/>
    <m/>
    <m/>
    <m/>
    <m/>
    <m/>
    <m/>
    <n v="0"/>
    <n v="0"/>
    <n v="0"/>
    <n v="0"/>
    <m/>
    <m/>
    <n v="0"/>
    <n v="0"/>
  </r>
  <r>
    <x v="13"/>
    <s v="University of Texas-Pan American"/>
    <m/>
    <n v="227368"/>
    <x v="2"/>
    <s v="sem"/>
    <m/>
    <m/>
    <m/>
    <n v="176048"/>
    <n v="180503"/>
    <n v="60103"/>
    <n v="56282"/>
    <n v="195825"/>
    <n v="205768"/>
    <n v="431976"/>
    <n v="14399.2"/>
    <n v="442553"/>
    <n v="14751.766666666666"/>
    <n v="5042"/>
    <n v="4320"/>
    <n v="431976"/>
    <n v="442553"/>
    <m/>
    <m/>
    <m/>
    <m/>
    <m/>
    <m/>
    <m/>
    <m/>
    <n v="0"/>
    <n v="0"/>
    <n v="0"/>
    <n v="0"/>
    <m/>
    <m/>
    <n v="0"/>
    <n v="0"/>
  </r>
  <r>
    <x v="13"/>
    <s v="West Texas A&amp;M University"/>
    <m/>
    <n v="229814"/>
    <x v="2"/>
    <s v="sem"/>
    <m/>
    <m/>
    <m/>
    <n v="76311"/>
    <n v="78021"/>
    <n v="13194"/>
    <n v="13929"/>
    <n v="83753"/>
    <n v="88111"/>
    <n v="173258"/>
    <n v="5775.2666666666664"/>
    <n v="180061"/>
    <n v="6002.0333333333338"/>
    <n v="0"/>
    <n v="0"/>
    <n v="173258"/>
    <n v="180061"/>
    <m/>
    <m/>
    <m/>
    <m/>
    <m/>
    <m/>
    <m/>
    <m/>
    <n v="0"/>
    <n v="0"/>
    <n v="0"/>
    <n v="0"/>
    <m/>
    <m/>
    <n v="0"/>
    <n v="0"/>
  </r>
  <r>
    <x v="13"/>
    <s v="Texas A &amp; M University - Central Texas"/>
    <m/>
    <n v="483036"/>
    <x v="3"/>
    <s v="sem"/>
    <m/>
    <m/>
    <m/>
    <n v="13599"/>
    <n v="14791"/>
    <n v="8595"/>
    <n v="8871"/>
    <n v="11549"/>
    <n v="13002"/>
    <n v="33743"/>
    <n v="1124.7666666666667"/>
    <n v="36664"/>
    <n v="1222.1333333333334"/>
    <n v="0"/>
    <n v="0"/>
    <n v="33743"/>
    <n v="36664"/>
    <m/>
    <m/>
    <m/>
    <m/>
    <m/>
    <m/>
    <m/>
    <m/>
    <n v="0"/>
    <n v="0"/>
    <n v="0"/>
    <n v="0"/>
    <m/>
    <m/>
    <n v="0"/>
    <n v="0"/>
  </r>
  <r>
    <x v="13"/>
    <s v="Texas A&amp;M -Texarkana"/>
    <m/>
    <n v="224545"/>
    <x v="3"/>
    <s v="sem"/>
    <m/>
    <m/>
    <m/>
    <n v="15171"/>
    <n v="14519"/>
    <n v="3470"/>
    <n v="3004"/>
    <n v="16149"/>
    <n v="14739"/>
    <n v="34790"/>
    <n v="1159.6666666666667"/>
    <n v="32262"/>
    <n v="1075.4000000000001"/>
    <n v="0"/>
    <n v="0"/>
    <n v="34790"/>
    <n v="32262"/>
    <m/>
    <m/>
    <m/>
    <m/>
    <m/>
    <m/>
    <m/>
    <m/>
    <n v="0"/>
    <n v="0"/>
    <n v="0"/>
    <n v="0"/>
    <m/>
    <m/>
    <n v="0"/>
    <n v="0"/>
  </r>
  <r>
    <x v="13"/>
    <s v="University of Houston-Victoria"/>
    <m/>
    <n v="225502"/>
    <x v="3"/>
    <s v="sem"/>
    <m/>
    <m/>
    <m/>
    <n v="24503"/>
    <n v="25627"/>
    <n v="9014"/>
    <n v="8721"/>
    <n v="26009"/>
    <n v="28724"/>
    <n v="59526"/>
    <n v="1984.2"/>
    <n v="63072"/>
    <n v="2102.4"/>
    <n v="0"/>
    <n v="0"/>
    <n v="59526"/>
    <n v="63072"/>
    <m/>
    <m/>
    <m/>
    <m/>
    <m/>
    <m/>
    <m/>
    <m/>
    <n v="0"/>
    <n v="0"/>
    <n v="0"/>
    <n v="0"/>
    <m/>
    <m/>
    <n v="0"/>
    <n v="0"/>
  </r>
  <r>
    <x v="13"/>
    <s v="Sul Ross State University-Rio Grande College"/>
    <m/>
    <s v="228501B"/>
    <x v="4"/>
    <s v="sem"/>
    <m/>
    <m/>
    <m/>
    <n v="6237"/>
    <n v="5651"/>
    <n v="3018"/>
    <n v="2795"/>
    <n v="6061"/>
    <n v="5244"/>
    <n v="15316"/>
    <n v="510.53333333333336"/>
    <n v="13690"/>
    <n v="456.33333333333331"/>
    <n v="0"/>
    <n v="0"/>
    <n v="15316"/>
    <n v="13690"/>
    <m/>
    <m/>
    <m/>
    <m/>
    <m/>
    <m/>
    <m/>
    <m/>
    <n v="0"/>
    <n v="0"/>
    <n v="0"/>
    <n v="0"/>
    <m/>
    <m/>
    <n v="0"/>
    <n v="0"/>
  </r>
  <r>
    <x v="13"/>
    <s v="Texas A &amp; M University - San Antonio"/>
    <m/>
    <n v="870501"/>
    <x v="4"/>
    <s v="sem"/>
    <m/>
    <m/>
    <m/>
    <n v="25392"/>
    <n v="27067"/>
    <n v="6638"/>
    <n v="7892"/>
    <n v="28926"/>
    <n v="31585"/>
    <n v="60956"/>
    <n v="2031.8666666666666"/>
    <n v="66544"/>
    <n v="2218.1333333333332"/>
    <n v="0"/>
    <n v="0"/>
    <n v="60956"/>
    <n v="66544"/>
    <m/>
    <m/>
    <m/>
    <m/>
    <m/>
    <m/>
    <m/>
    <m/>
    <n v="0"/>
    <n v="0"/>
    <n v="0"/>
    <n v="0"/>
    <m/>
    <m/>
    <n v="0"/>
    <n v="0"/>
  </r>
  <r>
    <x v="13"/>
    <s v="University of Houston-Downtown"/>
    <m/>
    <n v="225432"/>
    <x v="4"/>
    <s v="sem"/>
    <m/>
    <m/>
    <m/>
    <n v="116385"/>
    <n v="117465"/>
    <n v="31298"/>
    <n v="28724"/>
    <n v="129224"/>
    <n v="126080"/>
    <n v="276907"/>
    <n v="9230.2333333333336"/>
    <n v="272269"/>
    <n v="9075.6333333333332"/>
    <n v="677"/>
    <n v="809"/>
    <n v="276907"/>
    <n v="272269"/>
    <m/>
    <m/>
    <m/>
    <m/>
    <m/>
    <m/>
    <m/>
    <m/>
    <n v="0"/>
    <n v="0"/>
    <n v="0"/>
    <n v="0"/>
    <m/>
    <m/>
    <n v="0"/>
    <n v="0"/>
  </r>
  <r>
    <x v="13"/>
    <s v="Texas A&amp;M University at Galveston"/>
    <m/>
    <n v="228714"/>
    <x v="5"/>
    <s v="sem"/>
    <m/>
    <m/>
    <m/>
    <n v="24269"/>
    <n v="23862"/>
    <n v="3879"/>
    <n v="4015"/>
    <n v="25867"/>
    <n v="27938"/>
    <n v="54015"/>
    <n v="1800.5"/>
    <n v="55815"/>
    <n v="1860.5"/>
    <n v="0"/>
    <n v="0"/>
    <n v="54015"/>
    <n v="55815"/>
    <m/>
    <m/>
    <m/>
    <m/>
    <m/>
    <m/>
    <m/>
    <m/>
    <n v="0"/>
    <n v="0"/>
    <n v="0"/>
    <n v="0"/>
    <m/>
    <m/>
    <n v="0"/>
    <n v="0"/>
  </r>
  <r>
    <x v="13"/>
    <s v="Brazosport College "/>
    <m/>
    <n v="223506"/>
    <x v="11"/>
    <s v="sem"/>
    <m/>
    <n v="31950"/>
    <n v="31295"/>
    <n v="10328"/>
    <n v="10050"/>
    <n v="2800"/>
    <n v="3174"/>
    <n v="31524"/>
    <n v="32125"/>
    <n v="76602"/>
    <n v="2553.4"/>
    <n v="76644"/>
    <n v="2554.8000000000002"/>
    <n v="12016"/>
    <n v="10094"/>
    <n v="76602"/>
    <n v="76644"/>
    <n v="17301"/>
    <n v="12362"/>
    <n v="14199"/>
    <n v="11097"/>
    <n v="4751"/>
    <n v="4616"/>
    <n v="12291"/>
    <n v="9350"/>
    <n v="48542"/>
    <n v="53.935555555555553"/>
    <n v="37425"/>
    <n v="41.583333333333336"/>
    <m/>
    <m/>
    <n v="0"/>
    <n v="0"/>
  </r>
  <r>
    <x v="13"/>
    <s v="Midland College "/>
    <m/>
    <n v="226806"/>
    <x v="11"/>
    <s v="sem"/>
    <m/>
    <n v="47276"/>
    <n v="44437"/>
    <n v="13690"/>
    <n v="13489"/>
    <n v="10455"/>
    <n v="10268"/>
    <n v="44378"/>
    <n v="42352"/>
    <n v="115799"/>
    <n v="3859.9666666666667"/>
    <n v="110546"/>
    <n v="3684.8666666666668"/>
    <n v="7820"/>
    <n v="8468"/>
    <n v="115799"/>
    <n v="110546"/>
    <n v="49865"/>
    <n v="67697"/>
    <n v="48781"/>
    <n v="49193"/>
    <n v="54645"/>
    <n v="68765"/>
    <n v="81586"/>
    <n v="77176"/>
    <n v="234877"/>
    <n v="260.97444444444443"/>
    <n v="262831"/>
    <n v="292.03444444444443"/>
    <m/>
    <m/>
    <n v="0"/>
    <n v="0"/>
  </r>
  <r>
    <x v="13"/>
    <s v="South Texas College"/>
    <m/>
    <n v="409315"/>
    <x v="11"/>
    <s v="sem"/>
    <m/>
    <n v="235789"/>
    <n v="244155"/>
    <n v="39471"/>
    <n v="44379"/>
    <n v="28487"/>
    <n v="30753"/>
    <n v="247460"/>
    <n v="249475"/>
    <n v="551207"/>
    <n v="18373.566666666666"/>
    <n v="568762"/>
    <n v="18958.733333333334"/>
    <n v="124002"/>
    <n v="147425"/>
    <n v="551207"/>
    <n v="568762"/>
    <n v="48147"/>
    <n v="109890"/>
    <n v="60509"/>
    <n v="61137"/>
    <n v="67819"/>
    <n v="107828"/>
    <n v="170775"/>
    <n v="369928"/>
    <n v="347250"/>
    <n v="385.83333333333331"/>
    <n v="648783"/>
    <n v="720.87"/>
    <m/>
    <m/>
    <n v="0"/>
    <n v="0"/>
  </r>
  <r>
    <x v="13"/>
    <s v="Amarillo College "/>
    <m/>
    <n v="222576"/>
    <x v="6"/>
    <s v="sem"/>
    <m/>
    <n v="87451"/>
    <n v="82833"/>
    <n v="24513"/>
    <n v="23373"/>
    <n v="0"/>
    <n v="0"/>
    <n v="86691"/>
    <n v="83186"/>
    <n v="198655"/>
    <n v="6621.833333333333"/>
    <n v="189392"/>
    <n v="6313.0666666666666"/>
    <n v="21310"/>
    <n v="22621"/>
    <n v="198655"/>
    <n v="189392"/>
    <n v="123852"/>
    <n v="111606"/>
    <n v="150274"/>
    <n v="140872"/>
    <n v="110459"/>
    <n v="106392"/>
    <n v="158658"/>
    <n v="139911"/>
    <n v="543243"/>
    <n v="603.60333333333335"/>
    <n v="498781"/>
    <n v="554.20111111111112"/>
    <m/>
    <m/>
    <n v="0"/>
    <n v="0"/>
  </r>
  <r>
    <x v="13"/>
    <s v="Austin Community College "/>
    <m/>
    <n v="222992"/>
    <x v="6"/>
    <s v="sem"/>
    <m/>
    <n v="328386"/>
    <n v="305130"/>
    <n v="172797"/>
    <n v="163880"/>
    <n v="0"/>
    <n v="0"/>
    <n v="290811"/>
    <n v="280583"/>
    <n v="791994"/>
    <n v="26399.8"/>
    <n v="749593"/>
    <n v="24986.433333333334"/>
    <n v="53331"/>
    <n v="58099"/>
    <n v="791994"/>
    <n v="749593"/>
    <n v="124524"/>
    <n v="153613"/>
    <n v="67441"/>
    <n v="83343"/>
    <n v="161638"/>
    <n v="92316"/>
    <n v="115888"/>
    <n v="103726"/>
    <n v="469491"/>
    <n v="521.65666666666664"/>
    <n v="432998"/>
    <n v="481.10888888888888"/>
    <m/>
    <m/>
    <n v="0"/>
    <n v="0"/>
  </r>
  <r>
    <x v="13"/>
    <s v="Blinn College "/>
    <m/>
    <n v="223427"/>
    <x v="6"/>
    <s v="sem"/>
    <m/>
    <n v="169126"/>
    <n v="169394"/>
    <n v="49542"/>
    <n v="30511"/>
    <n v="0"/>
    <n v="17548"/>
    <n v="180304"/>
    <n v="183504"/>
    <n v="398972"/>
    <n v="13299.066666666668"/>
    <n v="400957"/>
    <n v="13365.233333333334"/>
    <n v="15268"/>
    <n v="14059"/>
    <n v="398972"/>
    <n v="400957"/>
    <n v="34151"/>
    <n v="32632"/>
    <n v="40990"/>
    <n v="18131"/>
    <n v="33412"/>
    <n v="23345"/>
    <n v="35333"/>
    <n v="37924"/>
    <n v="143886"/>
    <n v="159.87333333333333"/>
    <n v="112032"/>
    <n v="124.48"/>
    <m/>
    <m/>
    <n v="0"/>
    <n v="0"/>
  </r>
  <r>
    <x v="13"/>
    <s v="Brookhaven College  (DCCCD)"/>
    <m/>
    <n v="223524"/>
    <x v="6"/>
    <s v="sem"/>
    <m/>
    <n v="86029"/>
    <n v="79259"/>
    <n v="46359"/>
    <n v="47034"/>
    <n v="0"/>
    <n v="0"/>
    <n v="70915"/>
    <n v="65929"/>
    <n v="203303"/>
    <n v="6776.7666666666664"/>
    <n v="192222"/>
    <n v="6407.4"/>
    <n v="8669"/>
    <n v="10400"/>
    <n v="203303"/>
    <n v="192222"/>
    <n v="65960"/>
    <n v="46338"/>
    <n v="64564"/>
    <n v="57365"/>
    <n v="57663"/>
    <n v="57154"/>
    <n v="70341"/>
    <n v="65664"/>
    <n v="258528"/>
    <n v="287.25333333333333"/>
    <n v="226521"/>
    <n v="251.69"/>
    <m/>
    <m/>
    <n v="0"/>
    <n v="0"/>
  </r>
  <r>
    <x v="13"/>
    <s v="Central Texas College "/>
    <m/>
    <n v="223816"/>
    <x v="6"/>
    <s v="sem"/>
    <m/>
    <n v="123024"/>
    <n v="126359"/>
    <n v="92510"/>
    <n v="76072"/>
    <n v="3994"/>
    <n v="11554"/>
    <n v="96353"/>
    <n v="83091"/>
    <n v="315881"/>
    <n v="10529.366666666667"/>
    <n v="297076"/>
    <n v="9902.5333333333328"/>
    <n v="16799"/>
    <n v="16731"/>
    <n v="315881"/>
    <n v="297076"/>
    <n v="90921"/>
    <n v="98203"/>
    <n v="123240"/>
    <n v="116019"/>
    <n v="116694"/>
    <n v="98322"/>
    <n v="105520"/>
    <n v="73153"/>
    <n v="436375"/>
    <n v="484.86111111111109"/>
    <n v="385697"/>
    <n v="428.55222222222221"/>
    <m/>
    <m/>
    <n v="0"/>
    <n v="0"/>
  </r>
  <r>
    <x v="13"/>
    <s v="Collin County Community College District"/>
    <m/>
    <n v="247834"/>
    <x v="6"/>
    <s v="sem"/>
    <m/>
    <n v="220007"/>
    <n v="221014"/>
    <n v="45459"/>
    <n v="48505"/>
    <n v="42198"/>
    <n v="41400"/>
    <n v="228868"/>
    <n v="229468"/>
    <n v="536532"/>
    <n v="17884.400000000001"/>
    <n v="540387"/>
    <n v="18012.900000000001"/>
    <n v="22205"/>
    <n v="24517"/>
    <n v="536532"/>
    <n v="540387"/>
    <n v="149880"/>
    <n v="167788"/>
    <n v="124339"/>
    <n v="122787"/>
    <n v="131161"/>
    <n v="142206"/>
    <n v="226703"/>
    <n v="228769"/>
    <n v="632083"/>
    <n v="702.31444444444446"/>
    <n v="661550"/>
    <n v="735.05555555555554"/>
    <m/>
    <m/>
    <n v="0"/>
    <n v="0"/>
  </r>
  <r>
    <x v="13"/>
    <s v="Del Mar College "/>
    <m/>
    <n v="224350"/>
    <x v="6"/>
    <s v="sem"/>
    <m/>
    <n v="92301"/>
    <n v="82292"/>
    <n v="22086"/>
    <n v="22111"/>
    <n v="10123"/>
    <n v="9704"/>
    <n v="89028"/>
    <n v="84783"/>
    <n v="213538"/>
    <n v="7117.9333333333334"/>
    <n v="198890"/>
    <n v="6629.666666666667"/>
    <n v="16321"/>
    <n v="16865"/>
    <n v="213538"/>
    <n v="198890"/>
    <n v="84288"/>
    <n v="75497"/>
    <n v="58476"/>
    <n v="49513"/>
    <n v="63174"/>
    <n v="50227"/>
    <n v="89576"/>
    <n v="142308"/>
    <n v="295514"/>
    <n v="328.34888888888889"/>
    <n v="317545"/>
    <n v="352.82777777777778"/>
    <m/>
    <m/>
    <n v="0"/>
    <n v="0"/>
  </r>
  <r>
    <x v="13"/>
    <s v="Eastfield College  (DCCCD)"/>
    <m/>
    <n v="224572"/>
    <x v="6"/>
    <s v="sem"/>
    <m/>
    <n v="94072"/>
    <n v="96567"/>
    <n v="49420"/>
    <n v="55933"/>
    <n v="0"/>
    <n v="0"/>
    <n v="87939"/>
    <n v="86404"/>
    <n v="231431"/>
    <n v="7714.3666666666668"/>
    <n v="238904"/>
    <n v="7963.4666666666662"/>
    <n v="17724"/>
    <n v="19782"/>
    <n v="231431"/>
    <n v="238904"/>
    <n v="89159"/>
    <n v="74212"/>
    <n v="58288"/>
    <n v="57107"/>
    <n v="53746"/>
    <n v="65592"/>
    <n v="82288"/>
    <n v="71591"/>
    <n v="283481"/>
    <n v="314.97888888888889"/>
    <n v="268502"/>
    <n v="298.33555555555557"/>
    <m/>
    <m/>
    <n v="0"/>
    <n v="0"/>
  </r>
  <r>
    <x v="13"/>
    <s v="El Centro College  (DCCCD)"/>
    <m/>
    <n v="224615"/>
    <x v="6"/>
    <s v="sem"/>
    <m/>
    <n v="77644"/>
    <n v="78404"/>
    <n v="30159"/>
    <n v="29955"/>
    <n v="0"/>
    <n v="0"/>
    <n v="70587"/>
    <n v="66275"/>
    <n v="178390"/>
    <n v="5946.333333333333"/>
    <n v="174634"/>
    <n v="5821.1333333333332"/>
    <n v="11192"/>
    <n v="13013"/>
    <n v="178390"/>
    <n v="174634"/>
    <n v="233456"/>
    <n v="305029"/>
    <n v="368027"/>
    <n v="329985"/>
    <n v="334014"/>
    <n v="312033"/>
    <n v="271796"/>
    <n v="295214"/>
    <n v="1207293"/>
    <n v="1341.4366666666667"/>
    <n v="1242261"/>
    <n v="1380.29"/>
    <m/>
    <m/>
    <n v="0"/>
    <n v="0"/>
  </r>
  <r>
    <x v="13"/>
    <s v="El Paso County Community College District"/>
    <m/>
    <n v="224642"/>
    <x v="6"/>
    <s v="sem"/>
    <m/>
    <n v="253084"/>
    <n v="243140"/>
    <n v="58283"/>
    <n v="55667"/>
    <n v="0"/>
    <n v="0"/>
    <n v="263960"/>
    <n v="253794"/>
    <n v="575327"/>
    <n v="19177.566666666666"/>
    <n v="552601"/>
    <n v="18420.033333333333"/>
    <n v="70271"/>
    <n v="61196"/>
    <n v="575327"/>
    <n v="552601"/>
    <n v="121978"/>
    <n v="119775"/>
    <n v="126534"/>
    <n v="119910"/>
    <n v="110699"/>
    <n v="99506"/>
    <n v="157377"/>
    <n v="129050"/>
    <n v="516588"/>
    <n v="573.98666666666668"/>
    <n v="468241"/>
    <n v="520.26777777777772"/>
    <m/>
    <m/>
    <n v="0"/>
    <n v="0"/>
  </r>
  <r>
    <x v="13"/>
    <s v="Houston Community College"/>
    <m/>
    <n v="225423"/>
    <x v="6"/>
    <s v="sem"/>
    <m/>
    <n v="494412"/>
    <n v="470921"/>
    <n v="269882"/>
    <n v="265340"/>
    <n v="0"/>
    <n v="0"/>
    <n v="368037"/>
    <n v="361800"/>
    <n v="1132331"/>
    <n v="37744.366666666669"/>
    <n v="1098061"/>
    <n v="36602.033333333333"/>
    <n v="73521"/>
    <n v="64049"/>
    <n v="1132331"/>
    <n v="1098061"/>
    <n v="428435"/>
    <n v="496483"/>
    <n v="473653"/>
    <n v="468618"/>
    <n v="323638"/>
    <n v="378767"/>
    <n v="589403"/>
    <n v="612662"/>
    <n v="1815129"/>
    <n v="2016.81"/>
    <n v="1956530"/>
    <n v="2173.9222222222224"/>
    <m/>
    <m/>
    <n v="0"/>
    <n v="0"/>
  </r>
  <r>
    <x v="13"/>
    <s v="Kilgore College "/>
    <s v="Met the criteria for Two-Year 2 in 2013-14."/>
    <n v="226019"/>
    <x v="6"/>
    <s v="sem"/>
    <m/>
    <n v="59183"/>
    <n v="55586"/>
    <n v="9925"/>
    <n v="9588"/>
    <n v="4662"/>
    <n v="4715"/>
    <n v="59315"/>
    <n v="56543"/>
    <n v="133085"/>
    <n v="4436.166666666667"/>
    <n v="126432"/>
    <n v="4214.3999999999996"/>
    <n v="12147"/>
    <n v="10455"/>
    <n v="133085"/>
    <n v="126432"/>
    <n v="140614"/>
    <n v="135319"/>
    <n v="142264"/>
    <n v="139854"/>
    <n v="140561"/>
    <n v="158078"/>
    <n v="123321"/>
    <n v="142899"/>
    <n v="546760"/>
    <n v="607.51111111111106"/>
    <n v="576150"/>
    <n v="640.16666666666663"/>
    <m/>
    <m/>
    <n v="0"/>
    <n v="0"/>
  </r>
  <r>
    <x v="13"/>
    <s v="Laredo Community College "/>
    <m/>
    <n v="226134"/>
    <x v="6"/>
    <s v="sem"/>
    <m/>
    <n v="78062"/>
    <n v="72757"/>
    <n v="14802"/>
    <n v="13630"/>
    <n v="5888"/>
    <n v="5087"/>
    <n v="80078"/>
    <n v="74649"/>
    <n v="178830"/>
    <n v="5961"/>
    <n v="166123"/>
    <n v="5537.4333333333334"/>
    <n v="6203"/>
    <n v="6500"/>
    <n v="178830"/>
    <n v="166123"/>
    <n v="6814"/>
    <n v="11214"/>
    <n v="20380"/>
    <n v="18398"/>
    <n v="25910"/>
    <n v="20344"/>
    <n v="14670"/>
    <n v="12760"/>
    <n v="67774"/>
    <n v="75.304444444444442"/>
    <n v="62716"/>
    <n v="69.684444444444438"/>
    <m/>
    <m/>
    <n v="0"/>
    <n v="0"/>
  </r>
  <r>
    <x v="13"/>
    <s v="Lone Star College System District"/>
    <m/>
    <n v="227182"/>
    <x v="6"/>
    <s v="sem"/>
    <m/>
    <n v="511892"/>
    <n v="517772"/>
    <n v="236690"/>
    <n v="237095"/>
    <n v="0"/>
    <n v="0"/>
    <n v="480347"/>
    <n v="479670"/>
    <n v="1228929"/>
    <n v="40964.300000000003"/>
    <n v="1234537"/>
    <n v="41151.23333333333"/>
    <n v="48881"/>
    <n v="74001"/>
    <n v="1228929"/>
    <n v="1234537"/>
    <n v="121269"/>
    <n v="113152"/>
    <n v="118951"/>
    <n v="128070"/>
    <n v="119810"/>
    <n v="116483"/>
    <n v="166108"/>
    <n v="158195"/>
    <n v="526138"/>
    <n v="584.59777777777776"/>
    <n v="515900"/>
    <n v="573.22222222222217"/>
    <m/>
    <m/>
    <n v="0"/>
    <n v="0"/>
  </r>
  <r>
    <x v="13"/>
    <s v="McLennan Community College "/>
    <m/>
    <n v="226578"/>
    <x v="6"/>
    <s v="sem"/>
    <m/>
    <n v="90152"/>
    <n v="84266"/>
    <n v="19460"/>
    <n v="17576"/>
    <n v="10768"/>
    <n v="10112"/>
    <n v="86885"/>
    <n v="80302"/>
    <n v="207265"/>
    <n v="6908.833333333333"/>
    <n v="192256"/>
    <n v="6408.5333333333338"/>
    <n v="9733"/>
    <n v="9491"/>
    <n v="207265"/>
    <n v="192256"/>
    <n v="49034"/>
    <n v="50478"/>
    <n v="51392"/>
    <n v="50081"/>
    <n v="72977"/>
    <n v="51839"/>
    <n v="44422"/>
    <n v="43791"/>
    <n v="217825"/>
    <n v="242.02777777777777"/>
    <n v="196189"/>
    <n v="217.98777777777778"/>
    <m/>
    <m/>
    <n v="0"/>
    <n v="0"/>
  </r>
  <r>
    <x v="13"/>
    <s v="Navarro College "/>
    <m/>
    <n v="227146"/>
    <x v="6"/>
    <s v="sem"/>
    <m/>
    <n v="101572"/>
    <n v="97795"/>
    <n v="23289"/>
    <n v="22002"/>
    <n v="9080"/>
    <n v="7570"/>
    <n v="99348"/>
    <n v="97965"/>
    <n v="233289"/>
    <n v="7776.3"/>
    <n v="225332"/>
    <n v="7511.0666666666666"/>
    <n v="26597"/>
    <n v="29816"/>
    <n v="233289"/>
    <n v="225332"/>
    <n v="46726"/>
    <n v="68680"/>
    <n v="72024"/>
    <n v="57129"/>
    <n v="64505"/>
    <n v="49566"/>
    <n v="79863"/>
    <n v="65147"/>
    <n v="263118"/>
    <n v="292.35333333333335"/>
    <n v="240522"/>
    <n v="267.24666666666667"/>
    <m/>
    <m/>
    <n v="0"/>
    <n v="0"/>
  </r>
  <r>
    <x v="13"/>
    <s v="North Central Texas Community College"/>
    <m/>
    <n v="224110"/>
    <x v="6"/>
    <s v="sem"/>
    <m/>
    <n v="80726"/>
    <n v="80733"/>
    <n v="24769"/>
    <n v="25368"/>
    <n v="0"/>
    <n v="0"/>
    <n v="87239"/>
    <n v="86885"/>
    <n v="192734"/>
    <n v="6424.4666666666662"/>
    <n v="192986"/>
    <n v="6432.8666666666668"/>
    <n v="12525"/>
    <n v="17014"/>
    <n v="192734"/>
    <n v="192986"/>
    <n v="17217"/>
    <n v="39314"/>
    <n v="21205"/>
    <n v="20224"/>
    <n v="20657"/>
    <n v="20710"/>
    <n v="40881"/>
    <n v="33738"/>
    <n v="99960"/>
    <n v="111.06666666666666"/>
    <n v="113986"/>
    <n v="126.65111111111111"/>
    <m/>
    <m/>
    <n v="0"/>
    <n v="0"/>
  </r>
  <r>
    <x v="13"/>
    <s v="North Lake College  (DCCCD)"/>
    <m/>
    <n v="227191"/>
    <x v="6"/>
    <s v="sem"/>
    <m/>
    <n v="72889"/>
    <n v="64983"/>
    <n v="35796"/>
    <n v="43827"/>
    <n v="0"/>
    <n v="0"/>
    <n v="71114"/>
    <n v="62733"/>
    <n v="179799"/>
    <n v="5993.3"/>
    <n v="171543"/>
    <n v="5718.1"/>
    <n v="9722"/>
    <n v="12367"/>
    <n v="179799"/>
    <n v="171543"/>
    <n v="133032"/>
    <n v="135050"/>
    <n v="65133"/>
    <n v="80813"/>
    <n v="55494"/>
    <n v="71043"/>
    <n v="151571"/>
    <n v="168914"/>
    <n v="405230"/>
    <n v="450.25555555555553"/>
    <n v="455820"/>
    <n v="506.46666666666664"/>
    <m/>
    <m/>
    <n v="0"/>
    <n v="0"/>
  </r>
  <r>
    <x v="13"/>
    <s v="Northwest Vista College (ACCD)"/>
    <m/>
    <n v="420398"/>
    <x v="6"/>
    <s v="sem"/>
    <m/>
    <n v="122533"/>
    <n v="123873"/>
    <n v="42781"/>
    <n v="40868"/>
    <n v="0"/>
    <n v="0"/>
    <n v="121878"/>
    <n v="119695"/>
    <n v="287192"/>
    <n v="9573.0666666666675"/>
    <n v="284436"/>
    <n v="9481.2000000000007"/>
    <n v="24258"/>
    <n v="25404"/>
    <n v="287192"/>
    <n v="284436"/>
    <n v="13092"/>
    <n v="15670"/>
    <n v="19632"/>
    <n v="17517"/>
    <n v="18354"/>
    <n v="16871"/>
    <n v="17577"/>
    <n v="21536"/>
    <n v="68655"/>
    <n v="76.283333333333331"/>
    <n v="71594"/>
    <n v="79.548888888888882"/>
    <m/>
    <m/>
    <n v="0"/>
    <n v="0"/>
  </r>
  <r>
    <x v="13"/>
    <s v="Palo Alto College  (ACCD)"/>
    <m/>
    <n v="246354"/>
    <x v="6"/>
    <s v="sem"/>
    <m/>
    <n v="61712"/>
    <n v="64572"/>
    <n v="29720"/>
    <n v="27573"/>
    <n v="0"/>
    <n v="0"/>
    <n v="56232"/>
    <n v="55274"/>
    <n v="147664"/>
    <n v="4922.1333333333332"/>
    <n v="147419"/>
    <n v="4913.9666666666662"/>
    <n v="17812"/>
    <n v="15090"/>
    <n v="147664"/>
    <n v="147419"/>
    <n v="29867"/>
    <n v="39539"/>
    <n v="43861"/>
    <n v="37327"/>
    <n v="38685"/>
    <n v="48149"/>
    <n v="39770"/>
    <n v="34110"/>
    <n v="152183"/>
    <n v="169.09222222222223"/>
    <n v="159125"/>
    <n v="176.80555555555554"/>
    <m/>
    <m/>
    <n v="0"/>
    <n v="0"/>
  </r>
  <r>
    <x v="13"/>
    <s v="Richland College  (DCCCD)"/>
    <m/>
    <n v="227766"/>
    <x v="6"/>
    <s v="sem"/>
    <m/>
    <n v="138926"/>
    <n v="136612"/>
    <n v="74330"/>
    <n v="75474"/>
    <n v="0"/>
    <n v="0"/>
    <n v="121579"/>
    <n v="114678"/>
    <n v="334835"/>
    <n v="11161.166666666666"/>
    <n v="326764"/>
    <n v="10892.133333333333"/>
    <n v="28511"/>
    <n v="33864"/>
    <n v="334835"/>
    <n v="326764"/>
    <n v="145147"/>
    <n v="130188"/>
    <n v="159561"/>
    <n v="148606"/>
    <n v="149706"/>
    <n v="133178"/>
    <n v="187345"/>
    <n v="196034"/>
    <n v="641759"/>
    <n v="713.06555555555553"/>
    <n v="608006"/>
    <n v="675.5622222222222"/>
    <m/>
    <m/>
    <n v="0"/>
    <n v="0"/>
  </r>
  <r>
    <x v="13"/>
    <s v="San Antonio College (ACCD)"/>
    <m/>
    <n v="227924"/>
    <x v="6"/>
    <s v="sem"/>
    <m/>
    <n v="194741"/>
    <n v="195941"/>
    <n v="80080"/>
    <n v="76263"/>
    <n v="0"/>
    <n v="0"/>
    <n v="173733"/>
    <n v="171271"/>
    <n v="448554"/>
    <n v="14951.8"/>
    <n v="443475"/>
    <n v="14782.5"/>
    <n v="24660"/>
    <n v="25330"/>
    <n v="448554"/>
    <n v="443475"/>
    <n v="60485"/>
    <n v="45880"/>
    <n v="68378"/>
    <n v="62285"/>
    <n v="61839"/>
    <n v="71183"/>
    <n v="67474"/>
    <n v="61138"/>
    <n v="258176"/>
    <n v="286.86222222222221"/>
    <n v="240486"/>
    <n v="267.20666666666665"/>
    <m/>
    <m/>
    <n v="0"/>
    <n v="0"/>
  </r>
  <r>
    <x v="13"/>
    <s v="San Jacinto College"/>
    <m/>
    <n v="227979"/>
    <x v="6"/>
    <s v="sem"/>
    <m/>
    <n v="243654"/>
    <n v="235501"/>
    <n v="97992"/>
    <n v="99158"/>
    <n v="0"/>
    <n v="0"/>
    <n v="239886"/>
    <n v="230770"/>
    <n v="581532"/>
    <n v="19384.400000000001"/>
    <n v="565429"/>
    <n v="18847.633333333335"/>
    <n v="27542"/>
    <n v="26861"/>
    <n v="581532"/>
    <n v="565429"/>
    <n v="114638"/>
    <n v="93931"/>
    <n v="87047"/>
    <n v="69792"/>
    <n v="107091"/>
    <n v="94718"/>
    <n v="125221"/>
    <n v="113029"/>
    <n v="433997"/>
    <n v="482.2188888888889"/>
    <n v="371470"/>
    <n v="412.74444444444447"/>
    <m/>
    <m/>
    <n v="0"/>
    <n v="0"/>
  </r>
  <r>
    <x v="13"/>
    <s v="South Plains College "/>
    <m/>
    <n v="228158"/>
    <x v="6"/>
    <s v="sem"/>
    <m/>
    <n v="92667"/>
    <n v="91278"/>
    <n v="13135"/>
    <n v="14270"/>
    <n v="6727"/>
    <n v="6891"/>
    <n v="93993"/>
    <n v="92205"/>
    <n v="206522"/>
    <n v="6884.0666666666666"/>
    <n v="204644"/>
    <n v="6821.4666666666662"/>
    <n v="20797"/>
    <n v="19437"/>
    <n v="206522"/>
    <n v="204644"/>
    <n v="46052"/>
    <n v="41431"/>
    <n v="41812"/>
    <n v="61601"/>
    <n v="36285"/>
    <n v="50717"/>
    <n v="47490"/>
    <n v="60595"/>
    <n v="171639"/>
    <n v="190.71"/>
    <n v="214344"/>
    <n v="238.16"/>
    <m/>
    <m/>
    <n v="0"/>
    <n v="0"/>
  </r>
  <r>
    <x v="13"/>
    <s v="St. Philip's College  (ACCD)"/>
    <m/>
    <n v="227854"/>
    <x v="6"/>
    <s v="sem"/>
    <m/>
    <n v="79277"/>
    <n v="77918"/>
    <n v="32230"/>
    <n v="30661"/>
    <n v="0"/>
    <n v="0"/>
    <n v="67797"/>
    <n v="67934"/>
    <n v="179304"/>
    <n v="5976.8"/>
    <n v="176513"/>
    <n v="5883.7666666666664"/>
    <n v="17143"/>
    <n v="18965"/>
    <n v="179304"/>
    <n v="176513"/>
    <n v="27776"/>
    <n v="28622"/>
    <n v="23397"/>
    <n v="30335"/>
    <n v="24089"/>
    <n v="23616"/>
    <n v="27828"/>
    <n v="29017"/>
    <n v="103090"/>
    <n v="114.54444444444445"/>
    <n v="111590"/>
    <n v="123.98888888888889"/>
    <m/>
    <m/>
    <n v="0"/>
    <n v="0"/>
  </r>
  <r>
    <x v="13"/>
    <s v="Tarrant County College"/>
    <m/>
    <n v="228547"/>
    <x v="6"/>
    <s v="sem"/>
    <m/>
    <n v="412815"/>
    <n v="404550"/>
    <n v="184871"/>
    <n v="210276"/>
    <n v="0"/>
    <n v="0"/>
    <n v="375569"/>
    <n v="378451"/>
    <n v="973255"/>
    <n v="32441.833333333332"/>
    <n v="993277"/>
    <n v="33109.23333333333"/>
    <n v="43245"/>
    <n v="50699"/>
    <n v="973255"/>
    <n v="993277"/>
    <n v="183936"/>
    <n v="191405"/>
    <n v="212788"/>
    <n v="191310"/>
    <n v="201120"/>
    <n v="169659"/>
    <n v="203654"/>
    <n v="202575"/>
    <n v="801498"/>
    <n v="890.55333333333328"/>
    <n v="754949"/>
    <n v="838.83222222222219"/>
    <m/>
    <m/>
    <n v="0"/>
    <n v="0"/>
  </r>
  <r>
    <x v="13"/>
    <s v="Texas Southmost College "/>
    <s v="Met the criteria for Two-Year 2 in 2012-13 and 2013-14."/>
    <n v="229072"/>
    <x v="6"/>
    <s v="sem"/>
    <m/>
    <n v="83414"/>
    <n v="32068"/>
    <n v="3474"/>
    <n v="2470"/>
    <n v="2468"/>
    <n v="1445"/>
    <n v="47676"/>
    <n v="31102"/>
    <n v="137032"/>
    <n v="4567.7333333333336"/>
    <n v="67085"/>
    <n v="2236.1666666666665"/>
    <n v="11532"/>
    <n v="7965"/>
    <n v="137032"/>
    <n v="67085"/>
    <n v="23955"/>
    <n v="30650"/>
    <n v="19478"/>
    <n v="21432"/>
    <n v="24460"/>
    <n v="28718"/>
    <n v="34328"/>
    <n v="16992"/>
    <n v="102221"/>
    <n v="113.57888888888888"/>
    <n v="97792"/>
    <n v="108.65777777777778"/>
    <m/>
    <m/>
    <n v="0"/>
    <n v="0"/>
  </r>
  <r>
    <x v="13"/>
    <s v="Texas State Technical College-Waco"/>
    <s v="Met the criteria for Two-Year 2 in 2012-13 and 2013-14."/>
    <n v="228680"/>
    <x v="6"/>
    <s v="sem"/>
    <m/>
    <n v="51230"/>
    <n v="44130"/>
    <n v="33936"/>
    <n v="30969"/>
    <m/>
    <m/>
    <n v="49739"/>
    <n v="45571"/>
    <n v="134905"/>
    <n v="4496.833333333333"/>
    <n v="120670"/>
    <n v="4022.3333333333335"/>
    <n v="4021"/>
    <n v="1856"/>
    <n v="134905"/>
    <n v="120670"/>
    <n v="868"/>
    <n v="1152"/>
    <n v="0"/>
    <n v="0"/>
    <n v="0"/>
    <n v="0"/>
    <n v="0"/>
    <n v="0"/>
    <n v="868"/>
    <n v="0.96444444444444444"/>
    <n v="1152"/>
    <n v="1.28"/>
    <m/>
    <m/>
    <n v="0"/>
    <n v="0"/>
  </r>
  <r>
    <x v="13"/>
    <s v="Trinity Valley Community College"/>
    <m/>
    <n v="225308"/>
    <x v="6"/>
    <s v="sem"/>
    <m/>
    <n v="64060"/>
    <n v="65017"/>
    <n v="13908"/>
    <n v="13135"/>
    <n v="11849"/>
    <n v="12263"/>
    <n v="66918"/>
    <n v="65453"/>
    <n v="156735"/>
    <n v="5224.5"/>
    <n v="155868"/>
    <n v="5195.6000000000004"/>
    <n v="15539"/>
    <n v="16644"/>
    <n v="156735"/>
    <n v="155868"/>
    <n v="57548"/>
    <n v="52696"/>
    <n v="62064"/>
    <n v="45763"/>
    <n v="55031"/>
    <n v="58932"/>
    <n v="73990"/>
    <n v="74418"/>
    <n v="248633"/>
    <n v="276.25888888888886"/>
    <n v="231809"/>
    <n v="257.56555555555553"/>
    <m/>
    <m/>
    <n v="0"/>
    <n v="0"/>
  </r>
  <r>
    <x v="13"/>
    <s v="Tyler Junior College "/>
    <m/>
    <n v="229355"/>
    <x v="6"/>
    <s v="sem"/>
    <m/>
    <n v="102619"/>
    <n v="103442"/>
    <n v="25907"/>
    <n v="26269"/>
    <n v="7572"/>
    <n v="7588"/>
    <n v="103382"/>
    <n v="102536"/>
    <n v="239480"/>
    <n v="7982.666666666667"/>
    <n v="239835"/>
    <n v="7994.5"/>
    <n v="8381"/>
    <n v="16164"/>
    <n v="239480"/>
    <n v="239835"/>
    <n v="57762"/>
    <n v="56760"/>
    <n v="66862"/>
    <n v="78507"/>
    <n v="69153"/>
    <n v="63166"/>
    <n v="78968"/>
    <n v="92585"/>
    <n v="272745"/>
    <n v="303.05"/>
    <n v="291018"/>
    <n v="323.35333333333335"/>
    <m/>
    <m/>
    <n v="0"/>
    <n v="0"/>
  </r>
  <r>
    <x v="13"/>
    <s v="Alvin Community College "/>
    <m/>
    <n v="222567"/>
    <x v="7"/>
    <s v="sem"/>
    <m/>
    <n v="42179"/>
    <n v="39990"/>
    <n v="16911"/>
    <n v="17076"/>
    <n v="0"/>
    <n v="0"/>
    <n v="42695"/>
    <n v="42494"/>
    <n v="101785"/>
    <n v="3392.8333333333335"/>
    <n v="99560"/>
    <n v="3318.6666666666665"/>
    <n v="11508"/>
    <n v="14847"/>
    <n v="101785"/>
    <n v="99560"/>
    <n v="19831"/>
    <n v="18446"/>
    <n v="25324"/>
    <n v="18449"/>
    <n v="26131"/>
    <n v="21847"/>
    <n v="23439"/>
    <n v="32351"/>
    <n v="94725"/>
    <n v="105.25"/>
    <n v="91093"/>
    <n v="101.21444444444444"/>
    <m/>
    <m/>
    <n v="0"/>
    <n v="0"/>
  </r>
  <r>
    <x v="13"/>
    <s v="Angelina College "/>
    <m/>
    <n v="222822"/>
    <x v="7"/>
    <s v="sem"/>
    <m/>
    <n v="45965"/>
    <n v="42876"/>
    <n v="8750"/>
    <n v="8513"/>
    <n v="4132"/>
    <n v="3831"/>
    <n v="47271"/>
    <n v="48373"/>
    <n v="106118"/>
    <n v="3537.2666666666669"/>
    <n v="103593"/>
    <n v="3453.1"/>
    <n v="12958"/>
    <n v="14416"/>
    <n v="106118"/>
    <n v="103593"/>
    <n v="70202"/>
    <n v="80926"/>
    <n v="34791"/>
    <n v="33446"/>
    <n v="75173"/>
    <n v="77163"/>
    <n v="31650"/>
    <n v="38158"/>
    <n v="211816"/>
    <n v="235.35111111111112"/>
    <n v="229693"/>
    <n v="255.21444444444444"/>
    <m/>
    <m/>
    <n v="0"/>
    <n v="0"/>
  </r>
  <r>
    <x v="13"/>
    <s v="Cedar Valley College  (DCCCD)"/>
    <m/>
    <n v="223773"/>
    <x v="7"/>
    <s v="sem"/>
    <m/>
    <n v="40766"/>
    <n v="41691"/>
    <n v="21245"/>
    <n v="23220"/>
    <n v="0"/>
    <n v="0"/>
    <n v="39274"/>
    <n v="36815"/>
    <n v="101285"/>
    <n v="3376.1666666666665"/>
    <n v="101726"/>
    <n v="3390.8666666666668"/>
    <n v="10858"/>
    <n v="11575"/>
    <n v="101285"/>
    <n v="101726"/>
    <n v="40669"/>
    <n v="40893"/>
    <n v="56103"/>
    <n v="44000"/>
    <n v="57375"/>
    <n v="29347"/>
    <n v="47897"/>
    <n v="38976"/>
    <n v="202044"/>
    <n v="224.49333333333334"/>
    <n v="153216"/>
    <n v="170.24"/>
    <m/>
    <m/>
    <n v="0"/>
    <n v="0"/>
  </r>
  <r>
    <x v="13"/>
    <s v="Cisco Junior College"/>
    <m/>
    <n v="223898"/>
    <x v="7"/>
    <s v="sem"/>
    <m/>
    <n v="38904"/>
    <n v="34024"/>
    <n v="6020"/>
    <n v="6533"/>
    <n v="2242"/>
    <n v="1923"/>
    <n v="36793"/>
    <n v="33633"/>
    <n v="83959"/>
    <n v="2798.6333333333332"/>
    <n v="76113"/>
    <n v="2537.1"/>
    <n v="6498"/>
    <n v="7313"/>
    <n v="83959"/>
    <n v="76113"/>
    <n v="1730"/>
    <n v="3388"/>
    <n v="9240"/>
    <n v="2938"/>
    <n v="3346"/>
    <n v="0"/>
    <n v="8064"/>
    <n v="252"/>
    <n v="22380"/>
    <n v="24.866666666666667"/>
    <n v="6578"/>
    <n v="7.3088888888888892"/>
    <m/>
    <m/>
    <n v="0"/>
    <n v="0"/>
  </r>
  <r>
    <x v="13"/>
    <s v="Coastal Bend College"/>
    <m/>
    <n v="223320"/>
    <x v="7"/>
    <s v="sem"/>
    <m/>
    <n v="30336"/>
    <n v="29244"/>
    <n v="7661"/>
    <n v="7407"/>
    <n v="2389"/>
    <n v="2069"/>
    <n v="30488"/>
    <n v="30202"/>
    <n v="70874"/>
    <n v="2362.4666666666667"/>
    <n v="68922"/>
    <n v="2297.4"/>
    <n v="15334"/>
    <n v="11536"/>
    <n v="70874"/>
    <n v="68922"/>
    <n v="65541"/>
    <n v="45567"/>
    <n v="91375"/>
    <n v="72208"/>
    <n v="86943"/>
    <n v="76745"/>
    <n v="52579"/>
    <n v="39723"/>
    <n v="296438"/>
    <n v="329.37555555555554"/>
    <n v="234243"/>
    <n v="260.27"/>
    <m/>
    <m/>
    <n v="0"/>
    <n v="0"/>
  </r>
  <r>
    <x v="13"/>
    <s v="College of the Mainland"/>
    <m/>
    <n v="226408"/>
    <x v="7"/>
    <s v="sem"/>
    <m/>
    <n v="34440"/>
    <n v="34589"/>
    <n v="9005"/>
    <n v="9194"/>
    <n v="6715"/>
    <n v="6548"/>
    <n v="32222"/>
    <n v="33692"/>
    <n v="82382"/>
    <n v="2746.0666666666666"/>
    <n v="84023"/>
    <n v="2800.7666666666669"/>
    <n v="9708"/>
    <n v="12272"/>
    <n v="82382"/>
    <n v="84023"/>
    <n v="46303"/>
    <n v="33857"/>
    <n v="29761"/>
    <n v="34661"/>
    <n v="42814"/>
    <n v="37751"/>
    <n v="38606"/>
    <n v="34604"/>
    <n v="157484"/>
    <n v="174.98222222222222"/>
    <n v="140873"/>
    <n v="156.52555555555554"/>
    <m/>
    <m/>
    <n v="0"/>
    <n v="0"/>
  </r>
  <r>
    <x v="13"/>
    <s v="Grayson County College "/>
    <m/>
    <n v="225070"/>
    <x v="7"/>
    <s v="sem"/>
    <m/>
    <n v="47270"/>
    <n v="45245"/>
    <n v="9020"/>
    <n v="8716"/>
    <n v="3864"/>
    <n v="3285"/>
    <n v="45327"/>
    <n v="46773"/>
    <n v="105481"/>
    <n v="3516.0333333333333"/>
    <n v="104019"/>
    <n v="3467.3"/>
    <n v="6124"/>
    <n v="6418"/>
    <n v="105481"/>
    <n v="104019"/>
    <n v="30536"/>
    <n v="16341"/>
    <n v="19752"/>
    <n v="14243"/>
    <n v="27717"/>
    <n v="17524"/>
    <n v="13882"/>
    <n v="13093"/>
    <n v="91887"/>
    <n v="102.09666666666666"/>
    <n v="61201"/>
    <n v="68.001111111111115"/>
    <m/>
    <m/>
    <n v="0"/>
    <n v="0"/>
  </r>
  <r>
    <x v="13"/>
    <s v="Hill College"/>
    <m/>
    <n v="225371"/>
    <x v="7"/>
    <s v="sem"/>
    <m/>
    <n v="40589"/>
    <n v="42117"/>
    <n v="11042"/>
    <n v="10748"/>
    <n v="2570"/>
    <n v="2481"/>
    <n v="39595"/>
    <n v="40135"/>
    <n v="93796"/>
    <n v="3126.5333333333333"/>
    <n v="95481"/>
    <n v="3182.7"/>
    <n v="9460"/>
    <n v="9983"/>
    <n v="93796"/>
    <n v="95481"/>
    <n v="22341"/>
    <n v="15994"/>
    <n v="16733"/>
    <n v="6392"/>
    <n v="15767"/>
    <n v="8718"/>
    <n v="19476"/>
    <n v="12301"/>
    <n v="74317"/>
    <n v="82.574444444444438"/>
    <n v="43405"/>
    <n v="48.227777777777774"/>
    <m/>
    <m/>
    <n v="0"/>
    <n v="0"/>
  </r>
  <r>
    <x v="13"/>
    <s v="Howard College (HCJCD)"/>
    <m/>
    <n v="225520"/>
    <x v="7"/>
    <s v="sem"/>
    <m/>
    <n v="36024"/>
    <n v="33447"/>
    <n v="6073"/>
    <n v="4869"/>
    <n v="2414"/>
    <n v="1850"/>
    <n v="36339"/>
    <n v="32035"/>
    <n v="80850"/>
    <n v="2695"/>
    <n v="72201"/>
    <n v="2406.6999999999998"/>
    <n v="15363"/>
    <n v="15529"/>
    <n v="80850"/>
    <n v="72201"/>
    <n v="152001"/>
    <n v="144936"/>
    <n v="158222"/>
    <n v="179106"/>
    <n v="172275"/>
    <n v="158654"/>
    <n v="156967"/>
    <n v="166090"/>
    <n v="639465"/>
    <n v="710.51666666666665"/>
    <n v="648786"/>
    <n v="720.87333333333333"/>
    <m/>
    <m/>
    <n v="0"/>
    <n v="0"/>
  </r>
  <r>
    <x v="13"/>
    <s v="Lamar Institute of Technology"/>
    <m/>
    <n v="441760"/>
    <x v="7"/>
    <s v="sem"/>
    <m/>
    <n v="26870"/>
    <n v="25665"/>
    <n v="2273"/>
    <n v="4392"/>
    <n v="1662"/>
    <n v="0"/>
    <n v="28553"/>
    <n v="27421"/>
    <n v="59358"/>
    <n v="1978.6"/>
    <n v="57478"/>
    <n v="1915.9333333333334"/>
    <n v="1058"/>
    <n v="1848"/>
    <n v="59358"/>
    <n v="57478"/>
    <n v="23149"/>
    <n v="27867"/>
    <n v="26021"/>
    <n v="34349"/>
    <n v="29386"/>
    <n v="34766"/>
    <n v="42880"/>
    <n v="31407"/>
    <n v="121436"/>
    <n v="134.92888888888888"/>
    <n v="128389"/>
    <n v="142.65444444444444"/>
    <m/>
    <m/>
    <n v="0"/>
    <n v="0"/>
  </r>
  <r>
    <x v="13"/>
    <s v="Lamar State College-Port Arthur"/>
    <m/>
    <n v="226116"/>
    <x v="7"/>
    <s v="sem"/>
    <m/>
    <n v="24987"/>
    <n v="28861"/>
    <n v="8681"/>
    <n v="12076"/>
    <n v="4534"/>
    <n v="3835"/>
    <n v="23547"/>
    <n v="22087"/>
    <n v="61749"/>
    <n v="2058.3000000000002"/>
    <n v="66859"/>
    <n v="2228.6333333333332"/>
    <n v="2051"/>
    <n v="1993"/>
    <n v="61749"/>
    <n v="66859"/>
    <n v="85340"/>
    <n v="73200"/>
    <n v="57968"/>
    <n v="49680"/>
    <n v="85216"/>
    <n v="80236"/>
    <n v="81824"/>
    <n v="80000"/>
    <n v="310348"/>
    <n v="344.83111111111111"/>
    <n v="283116"/>
    <n v="314.57333333333332"/>
    <m/>
    <m/>
    <n v="0"/>
    <n v="0"/>
  </r>
  <r>
    <x v="13"/>
    <s v="Lee College "/>
    <m/>
    <n v="226204"/>
    <x v="7"/>
    <s v="sem"/>
    <m/>
    <n v="54138"/>
    <n v="50680"/>
    <n v="20018"/>
    <n v="20797"/>
    <n v="2729"/>
    <n v="2454"/>
    <n v="50018"/>
    <n v="49885"/>
    <n v="126903"/>
    <n v="4230.1000000000004"/>
    <n v="123816"/>
    <n v="4127.2"/>
    <n v="9643"/>
    <n v="11868"/>
    <n v="126903"/>
    <n v="123816"/>
    <n v="20557"/>
    <n v="21350"/>
    <n v="21350"/>
    <n v="14702"/>
    <n v="17850"/>
    <n v="19924"/>
    <n v="26603"/>
    <n v="22679"/>
    <n v="86360"/>
    <n v="95.955555555555549"/>
    <n v="78655"/>
    <n v="87.394444444444446"/>
    <m/>
    <m/>
    <n v="0"/>
    <n v="0"/>
  </r>
  <r>
    <x v="13"/>
    <s v="Mountain View College  (DCCCD)"/>
    <m/>
    <n v="226930"/>
    <x v="7"/>
    <s v="sem"/>
    <m/>
    <n v="58036"/>
    <n v="56639"/>
    <n v="26299"/>
    <n v="28994"/>
    <n v="0"/>
    <n v="0"/>
    <n v="56870"/>
    <n v="53347"/>
    <n v="141205"/>
    <n v="4706.833333333333"/>
    <n v="138980"/>
    <n v="4632.666666666667"/>
    <n v="9700"/>
    <n v="8911"/>
    <n v="141205"/>
    <n v="138980"/>
    <n v="21474"/>
    <n v="24781"/>
    <n v="34906"/>
    <n v="29198"/>
    <n v="26101"/>
    <n v="40857"/>
    <n v="32599"/>
    <n v="32275"/>
    <n v="115080"/>
    <n v="127.86666666666666"/>
    <n v="127111"/>
    <n v="141.23444444444445"/>
    <m/>
    <m/>
    <n v="0"/>
    <n v="0"/>
  </r>
  <r>
    <x v="13"/>
    <s v="Northeast Texas Community College "/>
    <m/>
    <n v="227225"/>
    <x v="7"/>
    <s v="sem"/>
    <m/>
    <n v="31558"/>
    <n v="29247"/>
    <n v="5728"/>
    <n v="5411"/>
    <n v="0"/>
    <n v="0"/>
    <n v="33767"/>
    <n v="32842"/>
    <n v="71053"/>
    <n v="2368.4333333333334"/>
    <n v="67500"/>
    <n v="2250"/>
    <n v="5934"/>
    <n v="5903"/>
    <n v="71053"/>
    <n v="67500"/>
    <n v="7603"/>
    <n v="2573"/>
    <n v="11226"/>
    <n v="8931"/>
    <n v="6775"/>
    <n v="8669"/>
    <n v="3661"/>
    <n v="944"/>
    <n v="29265"/>
    <n v="32.516666666666666"/>
    <n v="21117"/>
    <n v="23.463333333333335"/>
    <m/>
    <m/>
    <n v="0"/>
    <n v="0"/>
  </r>
  <r>
    <x v="13"/>
    <s v="Odessa College "/>
    <m/>
    <n v="227304"/>
    <x v="7"/>
    <s v="sem"/>
    <m/>
    <n v="39644"/>
    <n v="39479"/>
    <n v="7411"/>
    <n v="7079"/>
    <n v="5157"/>
    <n v="5528"/>
    <n v="41428"/>
    <n v="40070"/>
    <n v="93640"/>
    <n v="3121.3333333333335"/>
    <n v="92156"/>
    <n v="3071.8666666666668"/>
    <n v="10932"/>
    <n v="12039"/>
    <n v="93640"/>
    <n v="92156"/>
    <n v="87062"/>
    <n v="63553"/>
    <n v="69155"/>
    <n v="69525"/>
    <n v="76886"/>
    <n v="49736"/>
    <n v="75192"/>
    <n v="74381"/>
    <n v="308295"/>
    <n v="342.55"/>
    <n v="257195"/>
    <n v="285.77222222222224"/>
    <m/>
    <m/>
    <n v="0"/>
    <n v="0"/>
  </r>
  <r>
    <x v="13"/>
    <s v="Paris Junior College"/>
    <m/>
    <n v="227401"/>
    <x v="7"/>
    <s v="sem"/>
    <m/>
    <n v="54685"/>
    <n v="47677"/>
    <n v="9909"/>
    <n v="10265"/>
    <n v="4176"/>
    <n v="3729"/>
    <n v="52700"/>
    <n v="51682"/>
    <n v="121470"/>
    <n v="4049"/>
    <n v="113353"/>
    <n v="3778.4333333333334"/>
    <n v="12380"/>
    <n v="14002"/>
    <n v="121470"/>
    <n v="113353"/>
    <n v="20160"/>
    <n v="30249"/>
    <n v="28023"/>
    <n v="19011"/>
    <n v="12471"/>
    <n v="19927"/>
    <n v="18601"/>
    <n v="36404"/>
    <n v="79255"/>
    <n v="88.061111111111117"/>
    <n v="105591"/>
    <n v="117.32333333333334"/>
    <m/>
    <m/>
    <n v="0"/>
    <n v="0"/>
  </r>
  <r>
    <x v="13"/>
    <s v="Southwest Texas Junior College "/>
    <m/>
    <n v="228316"/>
    <x v="7"/>
    <s v="sem"/>
    <m/>
    <n v="44321"/>
    <n v="44737"/>
    <n v="6943"/>
    <n v="7549"/>
    <n v="3398"/>
    <n v="3571"/>
    <n v="49884"/>
    <n v="46326"/>
    <n v="104546"/>
    <n v="3484.8666666666668"/>
    <n v="102183"/>
    <n v="3406.1"/>
    <n v="15590"/>
    <n v="16149"/>
    <n v="104546"/>
    <n v="102183"/>
    <n v="23806"/>
    <n v="68895"/>
    <n v="46101"/>
    <n v="23866"/>
    <n v="33059"/>
    <n v="37668"/>
    <n v="31338"/>
    <n v="23769"/>
    <n v="134304"/>
    <n v="149.22666666666666"/>
    <n v="154198"/>
    <n v="171.33111111111111"/>
    <m/>
    <m/>
    <n v="0"/>
    <n v="0"/>
  </r>
  <r>
    <x v="13"/>
    <s v="Temple College "/>
    <m/>
    <n v="228608"/>
    <x v="7"/>
    <s v="sem"/>
    <m/>
    <n v="49675"/>
    <n v="47922"/>
    <n v="13686"/>
    <n v="14085"/>
    <n v="0"/>
    <n v="0"/>
    <n v="50271"/>
    <n v="51027"/>
    <n v="113632"/>
    <n v="3787.7333333333331"/>
    <n v="113034"/>
    <n v="3767.8"/>
    <n v="11775"/>
    <n v="11347"/>
    <n v="113632"/>
    <n v="113034"/>
    <n v="19647"/>
    <n v="30474"/>
    <n v="33426"/>
    <n v="36776"/>
    <n v="38309"/>
    <n v="24116"/>
    <n v="32318"/>
    <n v="45345"/>
    <n v="123700"/>
    <n v="137.44444444444446"/>
    <n v="136711"/>
    <n v="151.90111111111111"/>
    <m/>
    <m/>
    <n v="0"/>
    <n v="0"/>
  </r>
  <r>
    <x v="13"/>
    <s v="Texarkana College "/>
    <m/>
    <n v="228699"/>
    <x v="7"/>
    <s v="sem"/>
    <m/>
    <n v="34811"/>
    <n v="32808"/>
    <n v="8389"/>
    <n v="7133"/>
    <n v="0"/>
    <n v="0"/>
    <n v="34348"/>
    <n v="37517"/>
    <n v="77548"/>
    <n v="2584.9333333333334"/>
    <n v="77458"/>
    <n v="2581.9333333333334"/>
    <n v="12273"/>
    <n v="11159"/>
    <n v="77548"/>
    <n v="77458"/>
    <n v="97504"/>
    <n v="65955"/>
    <n v="90332"/>
    <n v="73502"/>
    <n v="58958"/>
    <n v="73123"/>
    <n v="68737"/>
    <n v="80988"/>
    <n v="315531"/>
    <n v="350.59"/>
    <n v="293568"/>
    <n v="326.18666666666667"/>
    <m/>
    <m/>
    <n v="0"/>
    <n v="0"/>
  </r>
  <r>
    <x v="13"/>
    <s v="Texas State Technical College-Harlingen "/>
    <m/>
    <n v="229319"/>
    <x v="7"/>
    <s v="sem"/>
    <m/>
    <n v="42120"/>
    <n v="43354"/>
    <n v="28125"/>
    <n v="25819"/>
    <n v="0"/>
    <n v="0"/>
    <n v="50505"/>
    <n v="51167"/>
    <n v="120750"/>
    <n v="4025"/>
    <n v="120340"/>
    <n v="4011.3333333333335"/>
    <n v="11440"/>
    <n v="8788"/>
    <n v="120750"/>
    <n v="120340"/>
    <n v="21534"/>
    <n v="26656"/>
    <n v="54185"/>
    <n v="45128"/>
    <n v="20228"/>
    <n v="33484"/>
    <n v="37965"/>
    <n v="36440"/>
    <n v="133912"/>
    <n v="148.79111111111112"/>
    <n v="141708"/>
    <n v="157.45333333333335"/>
    <m/>
    <m/>
    <n v="0"/>
    <n v="0"/>
  </r>
  <r>
    <x v="13"/>
    <s v="Vernon College "/>
    <m/>
    <n v="229504"/>
    <x v="7"/>
    <s v="sem"/>
    <m/>
    <n v="28647"/>
    <n v="27793"/>
    <n v="4437"/>
    <n v="4414"/>
    <n v="5412"/>
    <n v="5024"/>
    <n v="26792"/>
    <n v="27022"/>
    <n v="65288"/>
    <n v="2176.2666666666669"/>
    <n v="64253"/>
    <n v="2141.7666666666669"/>
    <n v="4879"/>
    <n v="4667"/>
    <n v="65288"/>
    <n v="64253"/>
    <n v="49399"/>
    <n v="60994"/>
    <n v="37725"/>
    <n v="54073"/>
    <n v="30659"/>
    <n v="35153"/>
    <n v="63520"/>
    <n v="80697"/>
    <n v="181303"/>
    <n v="201.44777777777779"/>
    <n v="230917"/>
    <n v="256.57444444444445"/>
    <m/>
    <m/>
    <n v="0"/>
    <n v="0"/>
  </r>
  <r>
    <x v="13"/>
    <s v="Victoria College "/>
    <m/>
    <n v="229540"/>
    <x v="7"/>
    <s v="sem"/>
    <m/>
    <n v="36447"/>
    <n v="34462"/>
    <n v="9994"/>
    <n v="10701"/>
    <n v="0"/>
    <n v="0"/>
    <n v="36068"/>
    <n v="34759"/>
    <n v="82509"/>
    <n v="2750.3"/>
    <n v="79922"/>
    <n v="2664.0666666666666"/>
    <n v="4948"/>
    <n v="5722"/>
    <n v="82509"/>
    <n v="79922"/>
    <n v="38286"/>
    <n v="43706"/>
    <n v="30715"/>
    <n v="24617"/>
    <n v="31139"/>
    <n v="40627"/>
    <n v="50562"/>
    <n v="59597"/>
    <n v="150702"/>
    <n v="167.44666666666666"/>
    <n v="168547"/>
    <n v="187.27444444444444"/>
    <m/>
    <m/>
    <n v="0"/>
    <n v="0"/>
  </r>
  <r>
    <x v="13"/>
    <s v="Weatherford College "/>
    <m/>
    <n v="229799"/>
    <x v="7"/>
    <s v="sem"/>
    <m/>
    <n v="48298"/>
    <n v="48145"/>
    <n v="7287"/>
    <n v="8449"/>
    <n v="5019"/>
    <n v="4193"/>
    <n v="52039"/>
    <n v="53500"/>
    <n v="112643"/>
    <n v="3754.7666666666669"/>
    <n v="114287"/>
    <n v="3809.5666666666666"/>
    <n v="8355"/>
    <n v="8601"/>
    <n v="112643"/>
    <n v="114287"/>
    <n v="44781"/>
    <n v="52062"/>
    <n v="31773"/>
    <n v="34781"/>
    <n v="27407"/>
    <n v="42426"/>
    <n v="61744"/>
    <n v="89712"/>
    <n v="165705"/>
    <n v="184.11666666666667"/>
    <n v="218981"/>
    <n v="243.31222222222223"/>
    <m/>
    <m/>
    <n v="0"/>
    <n v="0"/>
  </r>
  <r>
    <x v="13"/>
    <s v="Wharton County Junior College "/>
    <m/>
    <n v="229841"/>
    <x v="7"/>
    <s v="sem"/>
    <m/>
    <n v="62253"/>
    <n v="62004"/>
    <n v="12994"/>
    <n v="13306"/>
    <n v="6713"/>
    <n v="6618"/>
    <n v="66069"/>
    <n v="64724"/>
    <n v="148029"/>
    <n v="4934.3"/>
    <n v="146652"/>
    <n v="4888.3999999999996"/>
    <n v="8677"/>
    <n v="9391"/>
    <n v="148029"/>
    <n v="146652"/>
    <n v="9872"/>
    <n v="8641"/>
    <n v="7593"/>
    <n v="7613"/>
    <n v="11020"/>
    <n v="9455"/>
    <n v="11674"/>
    <n v="9953"/>
    <n v="40159"/>
    <n v="44.621111111111112"/>
    <n v="35662"/>
    <n v="39.624444444444443"/>
    <m/>
    <m/>
    <n v="0"/>
    <n v="0"/>
  </r>
  <r>
    <x v="13"/>
    <s v="Clarendon College "/>
    <m/>
    <n v="223922"/>
    <x v="8"/>
    <s v="sem"/>
    <m/>
    <n v="14059"/>
    <n v="12273"/>
    <n v="2558"/>
    <n v="2474"/>
    <n v="1309"/>
    <n v="936"/>
    <n v="12820"/>
    <n v="12312"/>
    <n v="30746"/>
    <n v="1024.8666666666666"/>
    <n v="27995"/>
    <n v="933.16666666666663"/>
    <n v="4521"/>
    <n v="4128"/>
    <n v="30746"/>
    <n v="27995"/>
    <n v="5338"/>
    <n v="1976"/>
    <n v="2380"/>
    <n v="7423"/>
    <n v="1015"/>
    <n v="4622"/>
    <n v="4265"/>
    <n v="5656"/>
    <n v="12998"/>
    <n v="14.442222222222222"/>
    <n v="19677"/>
    <n v="21.863333333333333"/>
    <m/>
    <m/>
    <n v="0"/>
    <n v="0"/>
  </r>
  <r>
    <x v="13"/>
    <s v="Frank Phillips College "/>
    <m/>
    <n v="224891"/>
    <x v="8"/>
    <s v="sem"/>
    <m/>
    <n v="9349"/>
    <n v="10474"/>
    <n v="1459"/>
    <n v="1727"/>
    <n v="446"/>
    <n v="382"/>
    <n v="10735"/>
    <n v="10513"/>
    <n v="21989"/>
    <n v="732.9666666666667"/>
    <n v="23096"/>
    <n v="769.86666666666667"/>
    <n v="4119"/>
    <n v="4593"/>
    <n v="21989"/>
    <n v="23096"/>
    <n v="20402"/>
    <n v="12306"/>
    <n v="20380"/>
    <n v="18406"/>
    <n v="20062"/>
    <n v="12910"/>
    <n v="21579"/>
    <n v="21199"/>
    <n v="82423"/>
    <n v="91.581111111111113"/>
    <n v="64821"/>
    <n v="72.023333333333326"/>
    <m/>
    <m/>
    <n v="0"/>
    <n v="0"/>
  </r>
  <r>
    <x v="13"/>
    <s v="Galveston College "/>
    <m/>
    <n v="224961"/>
    <x v="8"/>
    <s v="sem"/>
    <m/>
    <n v="19746"/>
    <n v="20142"/>
    <n v="4579"/>
    <n v="4834"/>
    <n v="3749"/>
    <n v="3726"/>
    <n v="17918"/>
    <n v="17433"/>
    <n v="45992"/>
    <n v="1533.0666666666666"/>
    <n v="46135"/>
    <n v="1537.8333333333333"/>
    <n v="2677"/>
    <n v="3047"/>
    <n v="45992"/>
    <n v="46135"/>
    <n v="3464"/>
    <n v="1012"/>
    <n v="1632"/>
    <n v="1311"/>
    <n v="0"/>
    <n v="1172"/>
    <n v="1838"/>
    <n v="2474"/>
    <n v="6934"/>
    <n v="7.7044444444444444"/>
    <n v="5969"/>
    <n v="6.6322222222222225"/>
    <m/>
    <m/>
    <n v="0"/>
    <n v="0"/>
  </r>
  <r>
    <x v="13"/>
    <s v="Lamar State College-Orange"/>
    <m/>
    <n v="226107"/>
    <x v="8"/>
    <s v="sem"/>
    <m/>
    <n v="21669"/>
    <n v="21777"/>
    <n v="6563"/>
    <n v="6229"/>
    <n v="0"/>
    <n v="0"/>
    <n v="23618"/>
    <n v="21967"/>
    <n v="51850"/>
    <n v="1728.3333333333333"/>
    <n v="49973"/>
    <n v="1665.7666666666667"/>
    <n v="4364"/>
    <n v="4486"/>
    <n v="51850"/>
    <n v="49973"/>
    <n v="2234"/>
    <n v="3363"/>
    <n v="1716"/>
    <n v="1284"/>
    <n v="616"/>
    <n v="984"/>
    <n v="2060"/>
    <n v="1284"/>
    <n v="6626"/>
    <n v="7.362222222222222"/>
    <n v="6915"/>
    <n v="7.6833333333333336"/>
    <m/>
    <m/>
    <n v="0"/>
    <n v="0"/>
  </r>
  <r>
    <x v="13"/>
    <s v="Northeast Lakeview College (ACCD)"/>
    <m/>
    <s v="???"/>
    <x v="8"/>
    <s v="sem"/>
    <m/>
    <n v="4347"/>
    <n v="4506"/>
    <n v="784"/>
    <n v="1101"/>
    <n v="0"/>
    <n v="0"/>
    <n v="4923"/>
    <n v="6246"/>
    <n v="10054"/>
    <n v="335.13333333333333"/>
    <n v="11853"/>
    <n v="395.1"/>
    <n v="0"/>
    <n v="0"/>
    <n v="10054"/>
    <n v="11853"/>
    <n v="15160"/>
    <n v="15136"/>
    <n v="12288"/>
    <n v="15616"/>
    <n v="8960"/>
    <n v="12688"/>
    <n v="8248"/>
    <n v="16128"/>
    <n v="44656"/>
    <n v="49.617777777777775"/>
    <n v="59568"/>
    <n v="66.186666666666667"/>
    <m/>
    <m/>
    <n v="0"/>
    <n v="0"/>
  </r>
  <r>
    <x v="13"/>
    <s v="Panola College"/>
    <m/>
    <n v="227386"/>
    <x v="8"/>
    <s v="sem"/>
    <m/>
    <n v="23217"/>
    <n v="23464"/>
    <n v="3474"/>
    <n v="3839"/>
    <n v="1720"/>
    <n v="1430"/>
    <n v="25475"/>
    <n v="27012"/>
    <n v="53886"/>
    <n v="1796.2"/>
    <n v="55745"/>
    <n v="1858.1666666666667"/>
    <n v="4716"/>
    <n v="5264"/>
    <n v="53886"/>
    <n v="55745"/>
    <n v="10491"/>
    <n v="10810"/>
    <n v="8811"/>
    <n v="11775"/>
    <n v="7199"/>
    <n v="10901"/>
    <n v="13957"/>
    <n v="12106"/>
    <n v="40458"/>
    <n v="44.953333333333333"/>
    <n v="45592"/>
    <n v="50.657777777777781"/>
    <m/>
    <m/>
    <n v="0"/>
    <n v="0"/>
  </r>
  <r>
    <x v="13"/>
    <s v="Ranger College "/>
    <m/>
    <n v="227687"/>
    <x v="8"/>
    <s v="sem"/>
    <m/>
    <n v="16285"/>
    <n v="17823"/>
    <n v="3662"/>
    <n v="3981"/>
    <n v="1126"/>
    <n v="1043"/>
    <n v="19687"/>
    <n v="19607"/>
    <n v="40760"/>
    <n v="1358.6666666666667"/>
    <n v="42454"/>
    <n v="1415.1333333333334"/>
    <n v="5401"/>
    <n v="6874"/>
    <n v="40760"/>
    <n v="42454"/>
    <n v="2480"/>
    <n v="10114"/>
    <n v="1105"/>
    <n v="7352"/>
    <n v="4880"/>
    <n v="5580"/>
    <n v="7368"/>
    <n v="7432"/>
    <n v="15833"/>
    <n v="17.592222222222222"/>
    <n v="30478"/>
    <n v="33.864444444444445"/>
    <m/>
    <m/>
    <n v="0"/>
    <n v="0"/>
  </r>
  <r>
    <x v="13"/>
    <s v="Southwest Collegiate Institute for the Deaf (HCJCD)"/>
    <m/>
    <n v="382911"/>
    <x v="8"/>
    <s v="sem"/>
    <m/>
    <n v="1357"/>
    <n v="1348"/>
    <n v="36"/>
    <n v="18"/>
    <n v="3"/>
    <n v="6"/>
    <n v="1548"/>
    <n v="1470"/>
    <n v="2944"/>
    <n v="98.13333333333334"/>
    <n v="2842"/>
    <n v="94.733333333333334"/>
    <n v="0"/>
    <n v="36"/>
    <n v="2944"/>
    <n v="2842"/>
    <m/>
    <m/>
    <m/>
    <m/>
    <m/>
    <m/>
    <m/>
    <m/>
    <n v="0"/>
    <n v="0"/>
    <n v="0"/>
    <n v="0"/>
    <m/>
    <m/>
    <n v="0"/>
    <n v="0"/>
  </r>
  <r>
    <x v="13"/>
    <s v="Texas State Technical College-Marshall"/>
    <m/>
    <n v="408394"/>
    <x v="8"/>
    <s v="sem"/>
    <m/>
    <n v="7037"/>
    <n v="6856"/>
    <n v="4869"/>
    <n v="4743"/>
    <n v="0"/>
    <n v="0"/>
    <n v="6961"/>
    <n v="7225"/>
    <n v="18867"/>
    <n v="628.9"/>
    <n v="18824"/>
    <n v="627.4666666666667"/>
    <n v="1901"/>
    <n v="1843"/>
    <n v="18867"/>
    <n v="18824"/>
    <n v="4184"/>
    <n v="4035"/>
    <n v="6216"/>
    <n v="6032"/>
    <n v="7206"/>
    <n v="4992"/>
    <n v="4859"/>
    <n v="4650"/>
    <n v="22465"/>
    <n v="24.961111111111112"/>
    <n v="19709"/>
    <n v="21.898888888888887"/>
    <m/>
    <m/>
    <n v="0"/>
    <n v="0"/>
  </r>
  <r>
    <x v="13"/>
    <s v="Texas State Technical College-West Texas"/>
    <m/>
    <n v="229328"/>
    <x v="8"/>
    <s v="sem"/>
    <m/>
    <n v="8866"/>
    <n v="8599"/>
    <n v="6651"/>
    <n v="6628"/>
    <n v="0"/>
    <n v="0"/>
    <n v="8078"/>
    <n v="11121"/>
    <n v="23595"/>
    <n v="786.5"/>
    <n v="26348"/>
    <n v="878.26666666666665"/>
    <n v="381"/>
    <n v="1943"/>
    <n v="23595"/>
    <n v="26348"/>
    <n v="9980"/>
    <n v="2120"/>
    <n v="8544"/>
    <n v="7216"/>
    <n v="12996"/>
    <n v="3198"/>
    <n v="8336"/>
    <n v="3260"/>
    <n v="39856"/>
    <n v="44.284444444444446"/>
    <n v="15794"/>
    <n v="17.548888888888889"/>
    <m/>
    <m/>
    <n v="0"/>
    <n v="0"/>
  </r>
  <r>
    <x v="13"/>
    <s v="Western Texas College "/>
    <m/>
    <n v="229832"/>
    <x v="8"/>
    <s v="sem"/>
    <m/>
    <n v="18418"/>
    <n v="17903"/>
    <n v="8321"/>
    <n v="8393"/>
    <n v="2290"/>
    <n v="2760"/>
    <n v="17958"/>
    <n v="17048"/>
    <n v="46987"/>
    <n v="1566.2333333333333"/>
    <n v="46104"/>
    <n v="1536.8"/>
    <n v="8280"/>
    <n v="7916"/>
    <n v="46987"/>
    <n v="46104"/>
    <n v="39988"/>
    <n v="45219"/>
    <n v="42642"/>
    <n v="41568"/>
    <n v="20974"/>
    <n v="22066"/>
    <n v="47085"/>
    <n v="30300"/>
    <n v="150689"/>
    <n v="167.43222222222221"/>
    <n v="139153"/>
    <n v="154.61444444444444"/>
    <m/>
    <m/>
    <n v="0"/>
    <n v="0"/>
  </r>
  <r>
    <x v="13"/>
    <s v="Alamo Community College District (ACCD)"/>
    <m/>
    <m/>
    <x v="12"/>
    <s v="sem"/>
    <m/>
    <n v="462610"/>
    <n v="466810"/>
    <n v="185595"/>
    <n v="176466"/>
    <n v="0"/>
    <n v="0"/>
    <n v="424563"/>
    <n v="420420"/>
    <n v="1072768"/>
    <n v="35758.933333333334"/>
    <n v="1063696"/>
    <n v="35456.533333333333"/>
    <n v="83873"/>
    <n v="84789"/>
    <n v="1072768"/>
    <n v="1063696"/>
    <n v="146380"/>
    <n v="144847"/>
    <n v="167556"/>
    <n v="163080"/>
    <n v="151927"/>
    <n v="172507"/>
    <n v="160897"/>
    <n v="161929"/>
    <n v="626760"/>
    <n v="696.4"/>
    <n v="642363"/>
    <n v="713.73666666666668"/>
    <m/>
    <m/>
    <n v="0"/>
    <n v="0"/>
  </r>
  <r>
    <x v="13"/>
    <s v="Dallas County Community College District (DCCD)"/>
    <m/>
    <m/>
    <x v="12"/>
    <s v="sem"/>
    <m/>
    <n v="568362"/>
    <n v="554155"/>
    <n v="283608"/>
    <n v="304437"/>
    <n v="0"/>
    <n v="0"/>
    <n v="518278"/>
    <n v="486181"/>
    <n v="1370248"/>
    <n v="45674.933333333334"/>
    <n v="1344773"/>
    <n v="44825.76666666667"/>
    <n v="96376"/>
    <n v="109912"/>
    <n v="1370248"/>
    <n v="1344773"/>
    <n v="728897"/>
    <n v="756491"/>
    <n v="806582"/>
    <n v="747074"/>
    <n v="734099"/>
    <n v="709204"/>
    <n v="843837"/>
    <n v="868668"/>
    <n v="3113415"/>
    <n v="3459.35"/>
    <n v="3081437"/>
    <n v="3423.818888888889"/>
    <m/>
    <m/>
    <n v="0"/>
    <n v="0"/>
  </r>
  <r>
    <x v="13"/>
    <s v="Howard County Community/Junior College District (HCJCD)"/>
    <m/>
    <m/>
    <x v="12"/>
    <s v="sem"/>
    <m/>
    <n v="37381"/>
    <n v="34795"/>
    <n v="6109"/>
    <n v="4887"/>
    <n v="2417"/>
    <n v="1856"/>
    <n v="37887"/>
    <n v="33505"/>
    <n v="83794"/>
    <n v="2793.1333333333332"/>
    <n v="75043"/>
    <n v="2501.4333333333334"/>
    <n v="15363"/>
    <n v="15565"/>
    <n v="83794"/>
    <n v="75043"/>
    <n v="152001"/>
    <n v="144936"/>
    <n v="158222"/>
    <n v="179106"/>
    <n v="172275"/>
    <n v="158654"/>
    <n v="156967"/>
    <n v="166090"/>
    <n v="639465"/>
    <n v="710.51666666666665"/>
    <n v="648786"/>
    <n v="720.87333333333333"/>
    <m/>
    <m/>
    <n v="0"/>
    <n v="0"/>
  </r>
  <r>
    <x v="13"/>
    <s v="University of North Texas at Dallas"/>
    <s v="New fall 2009. No degrees yet granted."/>
    <n v="443711"/>
    <x v="13"/>
    <s v="sem"/>
    <m/>
    <m/>
    <m/>
    <n v="13413"/>
    <n v="14760"/>
    <n v="3793"/>
    <n v="3202"/>
    <n v="16167"/>
    <n v="16208"/>
    <n v="33373"/>
    <n v="1112.4333333333334"/>
    <n v="34170"/>
    <n v="1139"/>
    <n v="0"/>
    <m/>
    <n v="33373"/>
    <n v="0"/>
    <m/>
    <m/>
    <m/>
    <m/>
    <m/>
    <m/>
    <m/>
    <m/>
    <n v="0"/>
    <n v="0"/>
    <n v="0"/>
    <n v="0"/>
    <m/>
    <m/>
    <n v="0"/>
    <n v="0"/>
  </r>
  <r>
    <x v="13"/>
    <s v="Alamo Community College District (ACCD)"/>
    <m/>
    <m/>
    <x v="14"/>
    <s v="sem"/>
    <m/>
    <n v="458263"/>
    <n v="462304"/>
    <n v="184811"/>
    <n v="175365"/>
    <n v="0"/>
    <n v="0"/>
    <n v="419640"/>
    <n v="414174"/>
    <n v="1062714"/>
    <n v="35423.800000000003"/>
    <n v="1051843"/>
    <n v="35061.433333333334"/>
    <n v="83873"/>
    <n v="84789"/>
    <n v="1062714"/>
    <n v="1051843"/>
    <n v="131220"/>
    <n v="129711"/>
    <n v="155268"/>
    <n v="147464"/>
    <n v="142967"/>
    <n v="159819"/>
    <n v="152649"/>
    <n v="145801"/>
    <n v="582104"/>
    <n v="646.78222222222223"/>
    <n v="582795"/>
    <n v="647.54999999999995"/>
    <m/>
    <m/>
    <n v="0"/>
    <n v="0"/>
  </r>
  <r>
    <x v="13"/>
    <s v="Dallas County Community College District (DCCD)"/>
    <m/>
    <m/>
    <x v="14"/>
    <s v="sem"/>
    <m/>
    <n v="469560"/>
    <n v="455825"/>
    <n v="236064"/>
    <n v="252223"/>
    <n v="0"/>
    <n v="0"/>
    <n v="422134"/>
    <n v="396019"/>
    <n v="1127758"/>
    <n v="37591.933333333334"/>
    <n v="1104067"/>
    <n v="36802.23333333333"/>
    <n v="75818"/>
    <n v="89426"/>
    <n v="1127758"/>
    <n v="1104067"/>
    <n v="666754"/>
    <n v="690817"/>
    <n v="715573"/>
    <n v="673876"/>
    <n v="650623"/>
    <n v="639000"/>
    <n v="763341"/>
    <n v="797417"/>
    <n v="2796291"/>
    <n v="3106.99"/>
    <n v="2801110"/>
    <n v="3112.3444444444444"/>
    <m/>
    <m/>
    <n v="0"/>
    <n v="0"/>
  </r>
  <r>
    <x v="13"/>
    <s v="Dallas County Community College District (DCCD)"/>
    <m/>
    <m/>
    <x v="15"/>
    <s v="sem"/>
    <m/>
    <n v="98802"/>
    <n v="98330"/>
    <n v="47544"/>
    <n v="52214"/>
    <n v="0"/>
    <n v="0"/>
    <n v="96144"/>
    <n v="90162"/>
    <n v="242490"/>
    <n v="8083"/>
    <n v="240706"/>
    <n v="8023.5333333333338"/>
    <n v="20558"/>
    <n v="20486"/>
    <n v="242490"/>
    <n v="240706"/>
    <n v="62143"/>
    <n v="65674"/>
    <n v="91009"/>
    <n v="73198"/>
    <n v="83476"/>
    <n v="70204"/>
    <n v="80496"/>
    <n v="71251"/>
    <n v="317124"/>
    <n v="352.36"/>
    <n v="280327"/>
    <n v="311.47444444444443"/>
    <m/>
    <m/>
    <n v="0"/>
    <n v="0"/>
  </r>
  <r>
    <x v="13"/>
    <s v="Howard County Community/Junior College District (HCJCD)"/>
    <m/>
    <m/>
    <x v="15"/>
    <s v="sem"/>
    <m/>
    <n v="36024"/>
    <n v="33447"/>
    <n v="6073"/>
    <n v="4869"/>
    <n v="2414"/>
    <n v="1850"/>
    <n v="36339"/>
    <n v="32035"/>
    <n v="80850"/>
    <n v="2695"/>
    <n v="72201"/>
    <n v="2406.6999999999998"/>
    <n v="15363"/>
    <n v="15529"/>
    <n v="80850"/>
    <n v="72201"/>
    <n v="152001"/>
    <n v="144936"/>
    <n v="158222"/>
    <n v="179106"/>
    <n v="172275"/>
    <n v="158654"/>
    <n v="156967"/>
    <n v="166090"/>
    <n v="639465"/>
    <n v="710.51666666666665"/>
    <n v="648786"/>
    <n v="720.87333333333333"/>
    <m/>
    <m/>
    <n v="0"/>
    <n v="0"/>
  </r>
  <r>
    <x v="13"/>
    <s v="Alamo Community College District (ACCD)"/>
    <m/>
    <m/>
    <x v="16"/>
    <s v="sem"/>
    <m/>
    <n v="4347"/>
    <n v="4506"/>
    <n v="784"/>
    <n v="1101"/>
    <n v="0"/>
    <n v="0"/>
    <n v="4923"/>
    <n v="6246"/>
    <n v="10054"/>
    <n v="335.13333333333333"/>
    <n v="11853"/>
    <n v="395.1"/>
    <n v="0"/>
    <n v="0"/>
    <n v="10054"/>
    <n v="11853"/>
    <n v="15160"/>
    <n v="15136"/>
    <n v="12288"/>
    <n v="15616"/>
    <n v="8960"/>
    <n v="12688"/>
    <n v="8248"/>
    <n v="16128"/>
    <n v="44656"/>
    <n v="49.617777777777775"/>
    <n v="59568"/>
    <n v="66.186666666666667"/>
    <m/>
    <m/>
    <n v="0"/>
    <n v="0"/>
  </r>
  <r>
    <x v="13"/>
    <s v="Howard County Community/Junior College District (HCJCD)"/>
    <m/>
    <m/>
    <x v="16"/>
    <s v="sem"/>
    <m/>
    <n v="1357"/>
    <n v="1348"/>
    <n v="36"/>
    <n v="18"/>
    <n v="3"/>
    <n v="6"/>
    <n v="1548"/>
    <n v="1470"/>
    <n v="2944"/>
    <n v="98.13333333333334"/>
    <n v="2842"/>
    <n v="94.733333333333334"/>
    <n v="0"/>
    <n v="36"/>
    <n v="2944"/>
    <n v="2842"/>
    <n v="0"/>
    <n v="0"/>
    <n v="0"/>
    <n v="0"/>
    <n v="0"/>
    <n v="0"/>
    <n v="0"/>
    <n v="0"/>
    <n v="0"/>
    <n v="0"/>
    <n v="0"/>
    <n v="0"/>
    <m/>
    <m/>
    <n v="0"/>
    <n v="0"/>
  </r>
  <r>
    <x v="14"/>
    <s v="George Mason University "/>
    <m/>
    <n v="232186"/>
    <x v="0"/>
    <s v="sem"/>
    <s v="sem"/>
    <m/>
    <m/>
    <n v="258730"/>
    <n v="263037"/>
    <n v="59362"/>
    <n v="53609"/>
    <n v="268629.5"/>
    <n v="284867"/>
    <n v="586721.5"/>
    <n v="19557.383333333335"/>
    <n v="601513"/>
    <n v="20050.433333333334"/>
    <n v="27627"/>
    <n v="23333"/>
    <n v="586721.5"/>
    <n v="601513"/>
    <m/>
    <m/>
    <m/>
    <m/>
    <m/>
    <m/>
    <m/>
    <m/>
    <n v="0"/>
    <n v="0"/>
    <n v="0"/>
    <n v="0"/>
    <m/>
    <m/>
    <n v="0"/>
    <n v="0"/>
  </r>
  <r>
    <x v="14"/>
    <s v="Old Dominion University "/>
    <m/>
    <n v="232982"/>
    <x v="0"/>
    <s v="sem"/>
    <s v="sem"/>
    <m/>
    <m/>
    <n v="217547"/>
    <n v="221331"/>
    <n v="56292"/>
    <n v="53718"/>
    <n v="237481"/>
    <n v="241240"/>
    <n v="511320"/>
    <n v="17044"/>
    <n v="516289"/>
    <n v="17209.633333333335"/>
    <n v="16"/>
    <n v="78"/>
    <n v="511320"/>
    <n v="516289"/>
    <m/>
    <m/>
    <m/>
    <m/>
    <m/>
    <m/>
    <m/>
    <m/>
    <n v="0"/>
    <n v="0"/>
    <n v="0"/>
    <n v="0"/>
    <m/>
    <m/>
    <n v="0"/>
    <n v="0"/>
  </r>
  <r>
    <x v="14"/>
    <s v="University of Virginia"/>
    <m/>
    <n v="234076"/>
    <x v="0"/>
    <s v="sem"/>
    <s v="sem"/>
    <m/>
    <m/>
    <n v="219150.5"/>
    <n v="220375.5"/>
    <n v="24822"/>
    <n v="23301"/>
    <n v="223124"/>
    <n v="226532.5"/>
    <n v="467096.5"/>
    <n v="15569.883333333333"/>
    <n v="470209"/>
    <n v="15673.633333333333"/>
    <n v="0"/>
    <n v="0"/>
    <n v="467096.5"/>
    <n v="470209"/>
    <m/>
    <m/>
    <m/>
    <m/>
    <m/>
    <m/>
    <m/>
    <m/>
    <n v="0"/>
    <n v="0"/>
    <n v="0"/>
    <n v="0"/>
    <m/>
    <m/>
    <n v="0"/>
    <n v="0"/>
  </r>
  <r>
    <x v="14"/>
    <s v="Virginia Tech "/>
    <m/>
    <n v="233921"/>
    <x v="0"/>
    <s v="sem"/>
    <s v="sem"/>
    <m/>
    <m/>
    <n v="345714"/>
    <n v="350552"/>
    <n v="37098"/>
    <n v="36715"/>
    <n v="368881"/>
    <n v="369480"/>
    <n v="751693"/>
    <n v="25056.433333333334"/>
    <n v="756747"/>
    <n v="25224.9"/>
    <n v="0"/>
    <n v="0"/>
    <n v="751693"/>
    <n v="756747"/>
    <m/>
    <m/>
    <m/>
    <m/>
    <m/>
    <m/>
    <m/>
    <m/>
    <n v="0"/>
    <n v="0"/>
    <n v="0"/>
    <n v="0"/>
    <m/>
    <m/>
    <n v="0"/>
    <n v="0"/>
  </r>
  <r>
    <x v="14"/>
    <s v="College of William &amp; Mary"/>
    <m/>
    <n v="231624"/>
    <x v="1"/>
    <s v="sem"/>
    <s v="sem"/>
    <m/>
    <m/>
    <n v="83289.5"/>
    <n v="85280"/>
    <n v="8318"/>
    <n v="8691"/>
    <n v="88067.5"/>
    <n v="89825.4"/>
    <n v="179675"/>
    <n v="5989.166666666667"/>
    <n v="183796.4"/>
    <n v="6126.5466666666662"/>
    <n v="0"/>
    <n v="0"/>
    <n v="179675"/>
    <n v="183796.4"/>
    <m/>
    <m/>
    <m/>
    <m/>
    <m/>
    <m/>
    <m/>
    <m/>
    <n v="0"/>
    <n v="0"/>
    <n v="0"/>
    <n v="0"/>
    <m/>
    <m/>
    <n v="0"/>
    <n v="0"/>
  </r>
  <r>
    <x v="14"/>
    <s v="Virginia Commonwealth University"/>
    <s v="Met the criteria for Four-Year 1 in 2013-14."/>
    <n v="234030"/>
    <x v="1"/>
    <s v="sem"/>
    <s v="sem"/>
    <m/>
    <m/>
    <n v="297494"/>
    <n v="296226.5"/>
    <n v="43629.5"/>
    <n v="40408.5"/>
    <n v="319380"/>
    <n v="315041.5"/>
    <n v="660503.5"/>
    <n v="22016.783333333333"/>
    <n v="651676.5"/>
    <n v="21722.55"/>
    <n v="7800"/>
    <n v="8235"/>
    <n v="660503.5"/>
    <n v="651676.5"/>
    <m/>
    <m/>
    <m/>
    <m/>
    <m/>
    <m/>
    <m/>
    <m/>
    <n v="0"/>
    <n v="0"/>
    <n v="0"/>
    <n v="0"/>
    <m/>
    <m/>
    <n v="0"/>
    <n v="0"/>
  </r>
  <r>
    <x v="14"/>
    <s v="James Madison University"/>
    <m/>
    <n v="232423"/>
    <x v="2"/>
    <s v="sem"/>
    <s v="sem"/>
    <m/>
    <m/>
    <n v="248853"/>
    <n v="254870"/>
    <n v="26986"/>
    <n v="26041"/>
    <n v="265966"/>
    <n v="271584"/>
    <n v="541805"/>
    <n v="18060.166666666668"/>
    <n v="552495"/>
    <n v="18416.5"/>
    <n v="5944"/>
    <n v="7085"/>
    <n v="541805"/>
    <n v="552495"/>
    <m/>
    <m/>
    <m/>
    <m/>
    <m/>
    <m/>
    <m/>
    <m/>
    <n v="0"/>
    <n v="0"/>
    <n v="0"/>
    <n v="0"/>
    <m/>
    <m/>
    <n v="0"/>
    <n v="0"/>
  </r>
  <r>
    <x v="14"/>
    <s v="Norfolk State University "/>
    <m/>
    <n v="232937"/>
    <x v="2"/>
    <s v="sem"/>
    <s v="sem"/>
    <m/>
    <m/>
    <n v="73440"/>
    <n v="74337"/>
    <n v="10809"/>
    <n v="10066"/>
    <n v="82497"/>
    <n v="81469"/>
    <n v="166746"/>
    <n v="5558.2"/>
    <n v="165872"/>
    <n v="5529.0666666666666"/>
    <n v="225"/>
    <n v="405"/>
    <n v="166746"/>
    <n v="165872"/>
    <m/>
    <m/>
    <m/>
    <m/>
    <m/>
    <m/>
    <m/>
    <m/>
    <n v="0"/>
    <n v="0"/>
    <n v="0"/>
    <n v="0"/>
    <m/>
    <m/>
    <n v="0"/>
    <n v="0"/>
  </r>
  <r>
    <x v="14"/>
    <s v="Longwood University "/>
    <s v="Reclassified: met the criteria for Four-Year 3 in 2011-12, 2012-13, and 2013-14."/>
    <n v="232566"/>
    <x v="2"/>
    <s v="sem"/>
    <s v="sem"/>
    <m/>
    <m/>
    <n v="58130"/>
    <n v="58353"/>
    <n v="7671"/>
    <n v="8155"/>
    <n v="60971"/>
    <n v="63140"/>
    <n v="126772"/>
    <n v="4225.7333333333336"/>
    <n v="129648"/>
    <n v="4321.6000000000004"/>
    <n v="99"/>
    <n v="363"/>
    <n v="126772"/>
    <n v="129648"/>
    <m/>
    <m/>
    <m/>
    <m/>
    <m/>
    <m/>
    <m/>
    <m/>
    <n v="0"/>
    <n v="0"/>
    <n v="0"/>
    <n v="0"/>
    <m/>
    <m/>
    <n v="0"/>
    <n v="0"/>
  </r>
  <r>
    <x v="14"/>
    <s v="Radford University"/>
    <s v="Reclassified: met the criteria for Four-Year 3 in 2011-12, 2012-13, and 2013-14."/>
    <n v="233277"/>
    <x v="2"/>
    <s v="sem"/>
    <s v="sem"/>
    <m/>
    <m/>
    <n v="114592"/>
    <n v="117909"/>
    <n v="11452"/>
    <n v="11410"/>
    <n v="127729"/>
    <n v="130808"/>
    <n v="253773"/>
    <n v="8459.1"/>
    <n v="260127"/>
    <n v="8670.9"/>
    <n v="140"/>
    <n v="3"/>
    <n v="253773"/>
    <n v="260127"/>
    <m/>
    <m/>
    <m/>
    <m/>
    <m/>
    <m/>
    <m/>
    <m/>
    <n v="0"/>
    <n v="0"/>
    <n v="0"/>
    <n v="0"/>
    <m/>
    <m/>
    <n v="0"/>
    <n v="0"/>
  </r>
  <r>
    <x v="14"/>
    <s v="Virginia State University "/>
    <s v="Reclassified: met the criteria for Four-Year 3 in 2011-12, 2012-13, and 2013-14."/>
    <n v="234155"/>
    <x v="2"/>
    <s v="sem"/>
    <s v="sem"/>
    <m/>
    <m/>
    <n v="74557"/>
    <n v="73655"/>
    <n v="6289"/>
    <n v="5115"/>
    <n v="81878"/>
    <n v="78552"/>
    <n v="162724"/>
    <n v="5424.1333333333332"/>
    <n v="157322"/>
    <n v="5244.0666666666666"/>
    <n v="0"/>
    <n v="0"/>
    <n v="162724"/>
    <n v="157322"/>
    <m/>
    <m/>
    <m/>
    <m/>
    <m/>
    <m/>
    <m/>
    <m/>
    <n v="0"/>
    <n v="0"/>
    <n v="0"/>
    <n v="0"/>
    <m/>
    <m/>
    <n v="0"/>
    <n v="0"/>
  </r>
  <r>
    <x v="14"/>
    <s v="Christopher Newport University"/>
    <s v="Met the criteria for Four-Year 3 in 2013-14."/>
    <n v="231712"/>
    <x v="4"/>
    <s v="sem"/>
    <s v="sem"/>
    <m/>
    <m/>
    <n v="68635"/>
    <n v="71587"/>
    <n v="1203"/>
    <n v="1160"/>
    <n v="74483"/>
    <n v="75500"/>
    <n v="144321"/>
    <n v="4810.7"/>
    <n v="148247"/>
    <n v="4941.5666666666666"/>
    <n v="16"/>
    <n v="10"/>
    <n v="144321"/>
    <n v="148247"/>
    <m/>
    <m/>
    <m/>
    <m/>
    <m/>
    <m/>
    <m/>
    <m/>
    <n v="0"/>
    <n v="0"/>
    <n v="0"/>
    <n v="0"/>
    <m/>
    <m/>
    <n v="0"/>
    <n v="0"/>
  </r>
  <r>
    <x v="14"/>
    <s v="University of Mary Washington "/>
    <s v="Reclassified: met the criteria for Four-Year 3 in 2011-12, 2012-13, and 2013-14."/>
    <n v="232681"/>
    <x v="2"/>
    <s v="sem"/>
    <s v="sem"/>
    <m/>
    <m/>
    <n v="57992"/>
    <n v="57967"/>
    <n v="6747"/>
    <n v="5573"/>
    <n v="61778"/>
    <n v="60638"/>
    <n v="126517"/>
    <n v="4217.2333333333336"/>
    <n v="124178"/>
    <n v="4139.2666666666664"/>
    <n v="27"/>
    <n v="15"/>
    <n v="126517"/>
    <n v="124178"/>
    <m/>
    <m/>
    <m/>
    <m/>
    <m/>
    <m/>
    <m/>
    <m/>
    <n v="0"/>
    <n v="0"/>
    <n v="0"/>
    <n v="0"/>
    <m/>
    <m/>
    <n v="0"/>
    <n v="0"/>
  </r>
  <r>
    <x v="14"/>
    <s v="University of Virginia's College at Wise "/>
    <m/>
    <n v="233897"/>
    <x v="5"/>
    <s v="sem"/>
    <s v="sem"/>
    <m/>
    <m/>
    <n v="23819"/>
    <n v="24128"/>
    <n v="3670"/>
    <n v="4861"/>
    <n v="26348"/>
    <n v="25555"/>
    <n v="53837"/>
    <n v="1794.5666666666666"/>
    <n v="54544"/>
    <n v="1818.1333333333334"/>
    <n v="26"/>
    <n v="20"/>
    <n v="53837"/>
    <n v="54544"/>
    <m/>
    <m/>
    <m/>
    <m/>
    <m/>
    <m/>
    <m/>
    <m/>
    <n v="0"/>
    <n v="0"/>
    <n v="0"/>
    <n v="0"/>
    <m/>
    <m/>
    <n v="0"/>
    <n v="0"/>
  </r>
  <r>
    <x v="14"/>
    <s v="J.S. Reynolds Community College"/>
    <m/>
    <n v="232414"/>
    <x v="6"/>
    <s v="sem"/>
    <s v="sem"/>
    <m/>
    <m/>
    <n v="109703"/>
    <n v="102772"/>
    <n v="39293"/>
    <n v="38786"/>
    <n v="106584"/>
    <n v="104224"/>
    <n v="255580"/>
    <n v="8519.3333333333339"/>
    <n v="245782"/>
    <n v="8192.7333333333336"/>
    <n v="13069"/>
    <n v="12586"/>
    <n v="255580"/>
    <n v="245782"/>
    <m/>
    <m/>
    <m/>
    <m/>
    <m/>
    <m/>
    <m/>
    <m/>
    <n v="0"/>
    <n v="0"/>
    <n v="0"/>
    <n v="0"/>
    <m/>
    <m/>
    <n v="0"/>
    <n v="0"/>
  </r>
  <r>
    <x v="14"/>
    <s v="Northern Virginia Community College "/>
    <m/>
    <n v="232946"/>
    <x v="6"/>
    <s v="sem"/>
    <s v="sem"/>
    <m/>
    <m/>
    <n v="436303"/>
    <n v="437291"/>
    <n v="180092"/>
    <n v="170971"/>
    <n v="463368"/>
    <n v="463357"/>
    <n v="1079763"/>
    <n v="35992.1"/>
    <n v="1071619"/>
    <n v="35720.633333333331"/>
    <n v="34962"/>
    <n v="34654"/>
    <n v="1079763"/>
    <n v="1071619"/>
    <m/>
    <m/>
    <m/>
    <m/>
    <m/>
    <m/>
    <m/>
    <m/>
    <n v="0"/>
    <n v="0"/>
    <n v="0"/>
    <n v="0"/>
    <m/>
    <m/>
    <n v="0"/>
    <n v="0"/>
  </r>
  <r>
    <x v="14"/>
    <s v="Thomas Nelson Community College "/>
    <m/>
    <n v="233754"/>
    <x v="6"/>
    <s v="sem"/>
    <s v="sem"/>
    <m/>
    <m/>
    <n v="91630"/>
    <n v="90128"/>
    <n v="28431"/>
    <n v="26495"/>
    <n v="95059"/>
    <n v="95121"/>
    <n v="215120"/>
    <n v="7170.666666666667"/>
    <n v="211744"/>
    <n v="7058.1333333333332"/>
    <n v="18525"/>
    <n v="22703"/>
    <n v="215120"/>
    <n v="211744"/>
    <m/>
    <m/>
    <m/>
    <m/>
    <m/>
    <m/>
    <m/>
    <m/>
    <n v="0"/>
    <n v="0"/>
    <n v="0"/>
    <n v="0"/>
    <m/>
    <m/>
    <n v="0"/>
    <n v="0"/>
  </r>
  <r>
    <x v="14"/>
    <s v="Tidewater Community College "/>
    <m/>
    <n v="233772"/>
    <x v="6"/>
    <s v="sem"/>
    <s v="sem"/>
    <m/>
    <m/>
    <n v="285108"/>
    <n v="258111"/>
    <n v="108599"/>
    <n v="94021"/>
    <n v="277105"/>
    <n v="266319"/>
    <n v="670812"/>
    <n v="22360.400000000001"/>
    <n v="618451"/>
    <n v="20615.033333333333"/>
    <n v="17898"/>
    <n v="18806"/>
    <n v="670812"/>
    <n v="618451"/>
    <m/>
    <m/>
    <m/>
    <m/>
    <m/>
    <m/>
    <m/>
    <m/>
    <n v="0"/>
    <n v="0"/>
    <n v="0"/>
    <n v="0"/>
    <m/>
    <m/>
    <n v="0"/>
    <n v="0"/>
  </r>
  <r>
    <x v="14"/>
    <s v="Blue Ridge Community College "/>
    <m/>
    <n v="231536"/>
    <x v="7"/>
    <s v="sem"/>
    <s v="sem"/>
    <m/>
    <m/>
    <n v="39231"/>
    <n v="36909"/>
    <n v="10174"/>
    <n v="9333"/>
    <n v="40476"/>
    <n v="39214"/>
    <n v="89881"/>
    <n v="2996.0333333333333"/>
    <n v="85456"/>
    <n v="2848.5333333333333"/>
    <n v="10787"/>
    <n v="11564"/>
    <n v="89881"/>
    <n v="85456"/>
    <m/>
    <m/>
    <m/>
    <m/>
    <m/>
    <m/>
    <m/>
    <m/>
    <n v="0"/>
    <n v="0"/>
    <n v="0"/>
    <n v="0"/>
    <m/>
    <m/>
    <n v="0"/>
    <n v="0"/>
  </r>
  <r>
    <x v="14"/>
    <s v="Central Virginia Community College "/>
    <m/>
    <n v="231697"/>
    <x v="7"/>
    <s v="sem"/>
    <s v="sem"/>
    <m/>
    <m/>
    <n v="36131"/>
    <n v="34872"/>
    <n v="10520"/>
    <n v="9976"/>
    <n v="37929"/>
    <n v="37585"/>
    <n v="84580"/>
    <n v="2819.3333333333335"/>
    <n v="82433"/>
    <n v="2747.7666666666669"/>
    <n v="28230"/>
    <n v="29823"/>
    <n v="84580"/>
    <n v="82433"/>
    <m/>
    <m/>
    <m/>
    <m/>
    <m/>
    <m/>
    <m/>
    <m/>
    <n v="0"/>
    <n v="0"/>
    <n v="0"/>
    <n v="0"/>
    <m/>
    <m/>
    <n v="0"/>
    <n v="0"/>
  </r>
  <r>
    <x v="14"/>
    <s v="Danville Community College "/>
    <m/>
    <n v="231882"/>
    <x v="7"/>
    <s v="sem"/>
    <s v="sem"/>
    <m/>
    <m/>
    <n v="36059"/>
    <n v="35937"/>
    <n v="10868"/>
    <n v="9289"/>
    <n v="37181"/>
    <n v="35892"/>
    <n v="84108"/>
    <n v="2803.6"/>
    <n v="81118"/>
    <n v="2703.9333333333334"/>
    <n v="21293"/>
    <n v="23606"/>
    <n v="84108"/>
    <n v="81118"/>
    <m/>
    <m/>
    <m/>
    <m/>
    <m/>
    <m/>
    <m/>
    <m/>
    <n v="0"/>
    <n v="0"/>
    <n v="0"/>
    <n v="0"/>
    <m/>
    <m/>
    <n v="0"/>
    <n v="0"/>
  </r>
  <r>
    <x v="14"/>
    <s v="Germanna Community College"/>
    <m/>
    <n v="232195"/>
    <x v="7"/>
    <s v="sem"/>
    <s v="sem"/>
    <m/>
    <m/>
    <n v="59439"/>
    <n v="55361"/>
    <n v="16141"/>
    <n v="15867"/>
    <n v="62430"/>
    <n v="61228"/>
    <n v="138010"/>
    <n v="4600.333333333333"/>
    <n v="132456"/>
    <n v="4415.2"/>
    <n v="17878"/>
    <n v="16946"/>
    <n v="138010"/>
    <n v="132456"/>
    <m/>
    <m/>
    <m/>
    <m/>
    <m/>
    <m/>
    <m/>
    <m/>
    <n v="0"/>
    <n v="0"/>
    <n v="0"/>
    <n v="0"/>
    <m/>
    <m/>
    <n v="0"/>
    <n v="0"/>
  </r>
  <r>
    <x v="14"/>
    <s v="John Tyler Community College"/>
    <s v="Reclassified: met the criteria for Two-Year 1 in 2011-12, 2012-13, and 2013-14."/>
    <n v="232450"/>
    <x v="6"/>
    <s v="sem"/>
    <s v="sem"/>
    <m/>
    <m/>
    <n v="78614"/>
    <n v="73502"/>
    <n v="24389"/>
    <n v="21547"/>
    <n v="80861"/>
    <n v="78563"/>
    <n v="183864"/>
    <n v="6128.8"/>
    <n v="173612"/>
    <n v="5787.0666666666666"/>
    <n v="43091"/>
    <n v="41869"/>
    <n v="183864"/>
    <n v="173612"/>
    <m/>
    <m/>
    <m/>
    <m/>
    <m/>
    <m/>
    <m/>
    <m/>
    <n v="0"/>
    <n v="0"/>
    <n v="0"/>
    <n v="0"/>
    <m/>
    <m/>
    <n v="0"/>
    <n v="0"/>
  </r>
  <r>
    <x v="14"/>
    <s v="Lord Fairfax Community College"/>
    <m/>
    <n v="232575"/>
    <x v="7"/>
    <s v="sem"/>
    <s v="sem"/>
    <m/>
    <m/>
    <n v="52877"/>
    <n v="51873"/>
    <n v="14797"/>
    <n v="13406"/>
    <n v="59044"/>
    <n v="58541"/>
    <n v="126718"/>
    <n v="4223.9333333333334"/>
    <n v="123820"/>
    <n v="4127.333333333333"/>
    <n v="43937"/>
    <n v="47558"/>
    <n v="126718"/>
    <n v="123820"/>
    <m/>
    <m/>
    <m/>
    <m/>
    <m/>
    <m/>
    <m/>
    <m/>
    <n v="0"/>
    <n v="0"/>
    <n v="0"/>
    <n v="0"/>
    <m/>
    <m/>
    <n v="0"/>
    <n v="0"/>
  </r>
  <r>
    <x v="14"/>
    <s v="Mountain Empire Community College"/>
    <s v="Met the criteria for Two-Year 3 in 2013-14. "/>
    <n v="232788"/>
    <x v="7"/>
    <s v="sem"/>
    <s v="sem"/>
    <m/>
    <m/>
    <n v="25521"/>
    <n v="23239"/>
    <n v="7806"/>
    <n v="6863"/>
    <n v="28344"/>
    <n v="27126"/>
    <n v="61671"/>
    <n v="2055.6999999999998"/>
    <n v="57228"/>
    <n v="1907.6"/>
    <n v="19970"/>
    <n v="22275"/>
    <n v="61671"/>
    <n v="57228"/>
    <m/>
    <m/>
    <m/>
    <m/>
    <m/>
    <m/>
    <m/>
    <m/>
    <n v="0"/>
    <n v="0"/>
    <n v="0"/>
    <n v="0"/>
    <m/>
    <m/>
    <n v="0"/>
    <n v="0"/>
  </r>
  <r>
    <x v="14"/>
    <s v="New River Community College "/>
    <m/>
    <n v="232867"/>
    <x v="7"/>
    <s v="sem"/>
    <s v="sem"/>
    <m/>
    <m/>
    <n v="44203"/>
    <n v="38470"/>
    <n v="11068"/>
    <n v="8777"/>
    <n v="42969"/>
    <n v="41413"/>
    <n v="98240"/>
    <n v="3274.6666666666665"/>
    <n v="88660"/>
    <n v="2955.3333333333335"/>
    <n v="27899"/>
    <n v="28085"/>
    <n v="98240"/>
    <n v="88660"/>
    <m/>
    <m/>
    <m/>
    <m/>
    <m/>
    <m/>
    <m/>
    <m/>
    <n v="0"/>
    <n v="0"/>
    <n v="0"/>
    <n v="0"/>
    <m/>
    <m/>
    <n v="0"/>
    <n v="0"/>
  </r>
  <r>
    <x v="14"/>
    <s v="Patrick Henry Community College "/>
    <m/>
    <n v="233019"/>
    <x v="7"/>
    <s v="sem"/>
    <s v="sem"/>
    <m/>
    <m/>
    <n v="31342"/>
    <n v="28535"/>
    <n v="10391"/>
    <n v="7900"/>
    <n v="31537"/>
    <n v="30695"/>
    <n v="73270"/>
    <n v="2442.3333333333335"/>
    <n v="67130"/>
    <n v="2237.6666666666665"/>
    <n v="22362"/>
    <n v="27803"/>
    <n v="73270"/>
    <n v="67130"/>
    <m/>
    <m/>
    <m/>
    <m/>
    <m/>
    <m/>
    <m/>
    <m/>
    <n v="0"/>
    <n v="0"/>
    <n v="0"/>
    <n v="0"/>
    <m/>
    <m/>
    <n v="0"/>
    <n v="0"/>
  </r>
  <r>
    <x v="14"/>
    <s v="Piedmont Virginia Community College "/>
    <m/>
    <n v="233116"/>
    <x v="7"/>
    <s v="sem"/>
    <s v="sem"/>
    <m/>
    <m/>
    <n v="39108"/>
    <n v="38118"/>
    <n v="10110"/>
    <n v="10573"/>
    <n v="42187"/>
    <n v="41436"/>
    <n v="91405"/>
    <n v="3046.8333333333335"/>
    <n v="90127"/>
    <n v="3004.2333333333331"/>
    <n v="23641"/>
    <n v="25132"/>
    <n v="91405"/>
    <n v="90127"/>
    <m/>
    <m/>
    <m/>
    <m/>
    <m/>
    <m/>
    <m/>
    <m/>
    <n v="0"/>
    <n v="0"/>
    <n v="0"/>
    <n v="0"/>
    <m/>
    <m/>
    <n v="0"/>
    <n v="0"/>
  </r>
  <r>
    <x v="14"/>
    <s v="Southside Virginia Community College"/>
    <m/>
    <n v="233639"/>
    <x v="7"/>
    <s v="sem"/>
    <s v="sem"/>
    <m/>
    <m/>
    <n v="47196"/>
    <n v="45800"/>
    <n v="17221"/>
    <n v="14191"/>
    <n v="51494"/>
    <n v="50277"/>
    <n v="115911"/>
    <n v="3863.7"/>
    <n v="110268"/>
    <n v="3675.6"/>
    <n v="63550"/>
    <n v="69549"/>
    <n v="115911"/>
    <n v="110268"/>
    <m/>
    <m/>
    <m/>
    <m/>
    <m/>
    <m/>
    <m/>
    <m/>
    <n v="0"/>
    <n v="0"/>
    <n v="0"/>
    <n v="0"/>
    <m/>
    <m/>
    <n v="0"/>
    <n v="0"/>
  </r>
  <r>
    <x v="14"/>
    <s v="Southwest Virginia Community College "/>
    <s v="Met the criteria for Two-Year 3 in 2012-13 and 2013-14."/>
    <n v="233648"/>
    <x v="7"/>
    <s v="sem"/>
    <s v="sem"/>
    <m/>
    <m/>
    <n v="24684"/>
    <n v="22703"/>
    <n v="9797"/>
    <n v="8020"/>
    <n v="24876"/>
    <n v="24066"/>
    <n v="59357"/>
    <n v="1978.5666666666666"/>
    <n v="54789"/>
    <n v="1826.3"/>
    <n v="19271"/>
    <n v="16667"/>
    <n v="59357"/>
    <n v="54789"/>
    <m/>
    <m/>
    <m/>
    <m/>
    <m/>
    <m/>
    <m/>
    <m/>
    <n v="0"/>
    <n v="0"/>
    <n v="0"/>
    <n v="0"/>
    <m/>
    <m/>
    <n v="0"/>
    <n v="0"/>
  </r>
  <r>
    <x v="14"/>
    <s v="Virginia Western Community College "/>
    <m/>
    <n v="233949"/>
    <x v="7"/>
    <s v="sem"/>
    <s v="sem"/>
    <m/>
    <m/>
    <n v="63610"/>
    <n v="59965"/>
    <n v="16665"/>
    <n v="16317"/>
    <n v="66570"/>
    <n v="68808"/>
    <n v="146845"/>
    <n v="4894.833333333333"/>
    <n v="145090"/>
    <n v="4836.333333333333"/>
    <n v="35649"/>
    <n v="43154"/>
    <n v="146845"/>
    <n v="145090"/>
    <m/>
    <m/>
    <m/>
    <m/>
    <m/>
    <m/>
    <m/>
    <m/>
    <n v="0"/>
    <n v="0"/>
    <n v="0"/>
    <n v="0"/>
    <m/>
    <m/>
    <n v="0"/>
    <n v="0"/>
  </r>
  <r>
    <x v="14"/>
    <s v="Wytheville Community College "/>
    <m/>
    <n v="234377"/>
    <x v="7"/>
    <s v="sem"/>
    <s v="sem"/>
    <m/>
    <m/>
    <n v="28458"/>
    <n v="27341"/>
    <n v="10541"/>
    <n v="8040"/>
    <n v="30401"/>
    <n v="28568"/>
    <n v="69400"/>
    <n v="2313.3333333333335"/>
    <n v="63949"/>
    <n v="2131.6333333333332"/>
    <n v="24178"/>
    <n v="26089"/>
    <n v="69400"/>
    <n v="63949"/>
    <m/>
    <m/>
    <m/>
    <m/>
    <m/>
    <m/>
    <m/>
    <m/>
    <n v="0"/>
    <n v="0"/>
    <n v="0"/>
    <n v="0"/>
    <m/>
    <m/>
    <n v="0"/>
    <n v="0"/>
  </r>
  <r>
    <x v="14"/>
    <s v="D.S. Lancaster Community College "/>
    <m/>
    <n v="231873"/>
    <x v="8"/>
    <s v="sem"/>
    <s v="sem"/>
    <m/>
    <m/>
    <n v="11160"/>
    <n v="10288"/>
    <n v="2900"/>
    <n v="2106"/>
    <n v="11931"/>
    <n v="11036"/>
    <n v="25991"/>
    <n v="866.36666666666667"/>
    <n v="23430"/>
    <n v="781"/>
    <n v="9103"/>
    <n v="7938"/>
    <n v="25991"/>
    <n v="23430"/>
    <m/>
    <m/>
    <m/>
    <m/>
    <m/>
    <m/>
    <m/>
    <m/>
    <n v="0"/>
    <n v="0"/>
    <n v="0"/>
    <n v="0"/>
    <m/>
    <m/>
    <n v="0"/>
    <n v="0"/>
  </r>
  <r>
    <x v="14"/>
    <s v="Eastern Shore Community College"/>
    <m/>
    <n v="232052"/>
    <x v="8"/>
    <s v="sem"/>
    <s v="sem"/>
    <m/>
    <m/>
    <n v="8578"/>
    <n v="8287"/>
    <n v="1516"/>
    <n v="1094"/>
    <n v="8341"/>
    <n v="7290"/>
    <n v="18435"/>
    <n v="614.5"/>
    <n v="16671"/>
    <n v="555.70000000000005"/>
    <n v="4877"/>
    <n v="5154"/>
    <n v="18435"/>
    <n v="16671"/>
    <m/>
    <m/>
    <m/>
    <m/>
    <m/>
    <m/>
    <m/>
    <m/>
    <n v="0"/>
    <n v="0"/>
    <n v="0"/>
    <n v="0"/>
    <m/>
    <m/>
    <n v="0"/>
    <n v="0"/>
  </r>
  <r>
    <x v="14"/>
    <s v="Paul D. Camp Community College"/>
    <m/>
    <n v="233037"/>
    <x v="8"/>
    <s v="sem"/>
    <s v="sem"/>
    <m/>
    <m/>
    <n v="13066"/>
    <n v="11613"/>
    <n v="5860"/>
    <n v="4168"/>
    <n v="11864"/>
    <n v="11353"/>
    <n v="30790"/>
    <n v="1026.3333333333333"/>
    <n v="27134"/>
    <n v="904.4666666666667"/>
    <n v="9500"/>
    <n v="9760"/>
    <n v="30790"/>
    <n v="27134"/>
    <m/>
    <m/>
    <m/>
    <m/>
    <m/>
    <m/>
    <m/>
    <m/>
    <n v="0"/>
    <n v="0"/>
    <n v="0"/>
    <n v="0"/>
    <m/>
    <m/>
    <n v="0"/>
    <n v="0"/>
  </r>
  <r>
    <x v="14"/>
    <s v="Rappahannock Community College"/>
    <m/>
    <n v="233310"/>
    <x v="8"/>
    <s v="sem"/>
    <s v="sem"/>
    <m/>
    <m/>
    <n v="26560"/>
    <n v="25335"/>
    <n v="7115"/>
    <n v="5789"/>
    <n v="28562"/>
    <n v="27219"/>
    <n v="62237"/>
    <n v="2074.5666666666666"/>
    <n v="58343"/>
    <n v="1944.7666666666667"/>
    <n v="41490"/>
    <n v="43695"/>
    <n v="62237"/>
    <n v="58343"/>
    <m/>
    <m/>
    <m/>
    <m/>
    <m/>
    <m/>
    <m/>
    <m/>
    <n v="0"/>
    <n v="0"/>
    <n v="0"/>
    <n v="0"/>
    <m/>
    <m/>
    <n v="0"/>
    <n v="0"/>
  </r>
  <r>
    <x v="14"/>
    <s v="Richard Bland College "/>
    <m/>
    <n v="233338"/>
    <x v="8"/>
    <s v="sem"/>
    <s v="sem"/>
    <m/>
    <m/>
    <n v="15080"/>
    <n v="14159"/>
    <n v="2691"/>
    <n v="1937"/>
    <n v="16747"/>
    <n v="15407"/>
    <n v="34518"/>
    <n v="1150.5999999999999"/>
    <n v="31503"/>
    <n v="1050.0999999999999"/>
    <n v="4931"/>
    <n v="5205"/>
    <n v="34518"/>
    <n v="31503"/>
    <m/>
    <m/>
    <m/>
    <m/>
    <m/>
    <m/>
    <m/>
    <m/>
    <n v="0"/>
    <n v="0"/>
    <n v="0"/>
    <n v="0"/>
    <m/>
    <m/>
    <n v="0"/>
    <n v="0"/>
  </r>
  <r>
    <x v="14"/>
    <s v="Virginia Highlands Community College "/>
    <m/>
    <n v="233903"/>
    <x v="8"/>
    <s v="sem"/>
    <s v="sem"/>
    <m/>
    <m/>
    <n v="22800"/>
    <n v="21921"/>
    <n v="5927"/>
    <n v="4704"/>
    <n v="23828"/>
    <n v="23195"/>
    <n v="52555"/>
    <n v="1751.8333333333333"/>
    <n v="49820"/>
    <n v="1660.6666666666667"/>
    <n v="16077"/>
    <n v="16178"/>
    <n v="52555"/>
    <n v="49820"/>
    <m/>
    <m/>
    <m/>
    <m/>
    <m/>
    <m/>
    <m/>
    <m/>
    <n v="0"/>
    <n v="0"/>
    <n v="0"/>
    <n v="0"/>
    <m/>
    <m/>
    <n v="0"/>
    <n v="0"/>
  </r>
  <r>
    <x v="14"/>
    <m/>
    <s v="all 8's"/>
    <m/>
    <x v="14"/>
    <m/>
    <m/>
    <m/>
    <m/>
    <m/>
    <m/>
    <m/>
    <m/>
    <m/>
    <m/>
    <n v="0"/>
    <n v="0"/>
    <n v="0"/>
    <n v="0"/>
    <n v="0"/>
    <m/>
    <n v="0"/>
    <n v="0"/>
    <m/>
    <m/>
    <m/>
    <m/>
    <m/>
    <m/>
    <m/>
    <m/>
    <n v="0"/>
    <n v="0"/>
    <n v="0"/>
    <n v="0"/>
    <m/>
    <m/>
    <n v="0"/>
    <n v="0"/>
  </r>
  <r>
    <x v="14"/>
    <m/>
    <s v="all 9's"/>
    <m/>
    <x v="15"/>
    <m/>
    <m/>
    <m/>
    <m/>
    <m/>
    <m/>
    <m/>
    <m/>
    <m/>
    <m/>
    <n v="0"/>
    <n v="0"/>
    <n v="0"/>
    <n v="0"/>
    <m/>
    <m/>
    <n v="0"/>
    <n v="0"/>
    <m/>
    <m/>
    <m/>
    <m/>
    <m/>
    <m/>
    <m/>
    <m/>
    <n v="0"/>
    <n v="0"/>
    <n v="0"/>
    <n v="0"/>
    <m/>
    <m/>
    <n v="0"/>
    <n v="0"/>
  </r>
  <r>
    <x v="14"/>
    <m/>
    <s v="All'10's except R.B."/>
    <m/>
    <x v="16"/>
    <m/>
    <m/>
    <m/>
    <m/>
    <m/>
    <m/>
    <m/>
    <m/>
    <m/>
    <m/>
    <n v="0"/>
    <n v="0"/>
    <n v="0"/>
    <n v="0"/>
    <m/>
    <m/>
    <n v="0"/>
    <n v="0"/>
    <m/>
    <m/>
    <m/>
    <m/>
    <m/>
    <m/>
    <m/>
    <m/>
    <n v="0"/>
    <n v="0"/>
    <n v="0"/>
    <n v="0"/>
    <m/>
    <m/>
    <n v="0"/>
    <n v="0"/>
  </r>
  <r>
    <x v="14"/>
    <s v="Richard Bland College B"/>
    <m/>
    <n v="233338"/>
    <x v="16"/>
    <s v="sem"/>
    <m/>
    <m/>
    <m/>
    <m/>
    <m/>
    <m/>
    <m/>
    <m/>
    <m/>
    <n v="0"/>
    <n v="0"/>
    <n v="0"/>
    <n v="0"/>
    <m/>
    <m/>
    <n v="0"/>
    <n v="0"/>
    <m/>
    <m/>
    <m/>
    <m/>
    <m/>
    <m/>
    <m/>
    <m/>
    <n v="0"/>
    <n v="0"/>
    <n v="0"/>
    <n v="0"/>
    <m/>
    <m/>
    <n v="0"/>
    <n v="0"/>
  </r>
  <r>
    <x v="14"/>
    <s v="All Community Colleges except R. Bland"/>
    <m/>
    <s v="All CC - Bland"/>
    <x v="12"/>
    <s v="sem"/>
    <m/>
    <m/>
    <m/>
    <m/>
    <m/>
    <m/>
    <m/>
    <m/>
    <m/>
    <n v="0"/>
    <n v="0"/>
    <n v="0"/>
    <n v="0"/>
    <m/>
    <m/>
    <n v="0"/>
    <n v="0"/>
    <m/>
    <m/>
    <m/>
    <m/>
    <m/>
    <m/>
    <m/>
    <m/>
    <n v="0"/>
    <n v="0"/>
    <n v="0"/>
    <n v="0"/>
    <m/>
    <m/>
    <n v="0"/>
    <n v="0"/>
  </r>
  <r>
    <x v="15"/>
    <s v="West Virginia University"/>
    <m/>
    <n v="238032"/>
    <x v="0"/>
    <s v="sem"/>
    <s v="sem"/>
    <m/>
    <m/>
    <n v="296949"/>
    <n v="299810"/>
    <n v="41146"/>
    <n v="40929"/>
    <n v="323322"/>
    <n v="322192"/>
    <n v="661417"/>
    <n v="22047.233333333334"/>
    <n v="662931"/>
    <n v="22097.7"/>
    <n v="3343"/>
    <n v="3603"/>
    <n v="661417"/>
    <n v="662931"/>
    <m/>
    <m/>
    <m/>
    <m/>
    <m/>
    <m/>
    <m/>
    <m/>
    <n v="0"/>
    <n v="0"/>
    <n v="0"/>
    <n v="0"/>
    <m/>
    <m/>
    <n v="0"/>
    <n v="0"/>
  </r>
  <r>
    <x v="15"/>
    <s v="Marshall University "/>
    <m/>
    <n v="237525"/>
    <x v="2"/>
    <s v="sem"/>
    <s v="sem"/>
    <m/>
    <m/>
    <n v="116953"/>
    <n v="115195"/>
    <n v="16461"/>
    <n v="15719"/>
    <n v="130646"/>
    <n v="132414"/>
    <n v="264060"/>
    <n v="8802"/>
    <n v="263328"/>
    <n v="8777.6"/>
    <n v="4215"/>
    <n v="4039"/>
    <n v="264060"/>
    <n v="263328"/>
    <m/>
    <m/>
    <m/>
    <m/>
    <m/>
    <m/>
    <m/>
    <m/>
    <n v="0"/>
    <n v="0"/>
    <n v="0"/>
    <n v="0"/>
    <m/>
    <m/>
    <n v="0"/>
    <n v="0"/>
  </r>
  <r>
    <x v="15"/>
    <s v="Fairmont State University"/>
    <m/>
    <n v="237367"/>
    <x v="4"/>
    <s v="sem"/>
    <s v="sem"/>
    <m/>
    <m/>
    <n v="52632"/>
    <n v="51389"/>
    <n v="6860"/>
    <n v="6225"/>
    <n v="56311"/>
    <n v="53920"/>
    <n v="115803"/>
    <n v="3860.1"/>
    <n v="111534"/>
    <n v="3717.8"/>
    <n v="36"/>
    <n v="47"/>
    <n v="115803"/>
    <n v="111534"/>
    <m/>
    <m/>
    <m/>
    <m/>
    <m/>
    <m/>
    <m/>
    <m/>
    <n v="0"/>
    <n v="0"/>
    <n v="0"/>
    <n v="0"/>
    <m/>
    <m/>
    <n v="0"/>
    <n v="0"/>
  </r>
  <r>
    <x v="15"/>
    <s v="Shepherd University "/>
    <m/>
    <n v="237792"/>
    <x v="4"/>
    <s v="sem"/>
    <s v="sem"/>
    <m/>
    <m/>
    <n v="51726.5"/>
    <n v="50830"/>
    <n v="4213"/>
    <n v="4534"/>
    <n v="55886.5"/>
    <n v="53236.5"/>
    <n v="111826"/>
    <n v="3727.5333333333333"/>
    <n v="108600.5"/>
    <n v="3620.0166666666669"/>
    <n v="106"/>
    <n v="131"/>
    <n v="111826"/>
    <n v="108600.5"/>
    <m/>
    <m/>
    <m/>
    <m/>
    <m/>
    <m/>
    <m/>
    <m/>
    <n v="0"/>
    <n v="0"/>
    <n v="0"/>
    <n v="0"/>
    <m/>
    <m/>
    <n v="0"/>
    <n v="0"/>
  </r>
  <r>
    <x v="15"/>
    <s v="Bluefield State College "/>
    <m/>
    <n v="237215"/>
    <x v="5"/>
    <s v="sem"/>
    <s v="sem"/>
    <m/>
    <m/>
    <n v="24278"/>
    <n v="23250"/>
    <n v="3108"/>
    <n v="2207"/>
    <n v="25885"/>
    <n v="23525"/>
    <n v="53271"/>
    <n v="1775.7"/>
    <n v="48982"/>
    <n v="1632.7333333333333"/>
    <n v="349"/>
    <n v="412"/>
    <n v="53271"/>
    <n v="48982"/>
    <m/>
    <m/>
    <m/>
    <m/>
    <m/>
    <m/>
    <m/>
    <m/>
    <n v="0"/>
    <n v="0"/>
    <n v="0"/>
    <n v="0"/>
    <m/>
    <m/>
    <n v="0"/>
    <n v="0"/>
  </r>
  <r>
    <x v="15"/>
    <s v="Concord University "/>
    <m/>
    <n v="237330"/>
    <x v="5"/>
    <s v="sem"/>
    <s v="sem"/>
    <m/>
    <m/>
    <n v="34587"/>
    <n v="35361"/>
    <n v="4041"/>
    <n v="4160"/>
    <n v="37969"/>
    <n v="36214"/>
    <n v="76597"/>
    <n v="2553.2333333333331"/>
    <n v="75735"/>
    <n v="2524.5"/>
    <n v="739"/>
    <n v="551"/>
    <n v="76597"/>
    <n v="75735"/>
    <m/>
    <m/>
    <m/>
    <m/>
    <m/>
    <m/>
    <m/>
    <m/>
    <n v="0"/>
    <n v="0"/>
    <n v="0"/>
    <n v="0"/>
    <m/>
    <m/>
    <n v="0"/>
    <n v="0"/>
  </r>
  <r>
    <x v="15"/>
    <s v="Glenville State College "/>
    <m/>
    <n v="237385"/>
    <x v="5"/>
    <s v="sem"/>
    <s v="sem"/>
    <m/>
    <m/>
    <n v="19207"/>
    <n v="18682"/>
    <n v="2725"/>
    <n v="1194"/>
    <n v="21524.1"/>
    <n v="19515.099999999999"/>
    <n v="43456.1"/>
    <n v="1448.5366666666666"/>
    <n v="39391.1"/>
    <n v="1313.0366666666666"/>
    <n v="1840"/>
    <n v="1787"/>
    <n v="43456.1"/>
    <n v="39391.1"/>
    <m/>
    <m/>
    <m/>
    <m/>
    <m/>
    <m/>
    <m/>
    <m/>
    <n v="0"/>
    <n v="0"/>
    <n v="0"/>
    <n v="0"/>
    <m/>
    <m/>
    <n v="0"/>
    <n v="0"/>
  </r>
  <r>
    <x v="15"/>
    <s v="West Liberty University"/>
    <m/>
    <n v="237932"/>
    <x v="5"/>
    <s v="sem"/>
    <s v="sem"/>
    <m/>
    <m/>
    <n v="35783"/>
    <n v="35701"/>
    <n v="2472"/>
    <n v="2752"/>
    <n v="39287"/>
    <n v="37771"/>
    <n v="77542"/>
    <n v="2584.7333333333331"/>
    <n v="76224"/>
    <n v="2540.8000000000002"/>
    <n v="1473"/>
    <n v="1750"/>
    <n v="77542"/>
    <n v="76224"/>
    <m/>
    <m/>
    <m/>
    <m/>
    <m/>
    <m/>
    <m/>
    <m/>
    <n v="0"/>
    <n v="0"/>
    <n v="0"/>
    <n v="0"/>
    <m/>
    <m/>
    <n v="0"/>
    <n v="0"/>
  </r>
  <r>
    <x v="15"/>
    <s v="West Virginia State University "/>
    <m/>
    <n v="237899"/>
    <x v="5"/>
    <s v="sem"/>
    <s v="sem"/>
    <m/>
    <m/>
    <n v="30993"/>
    <n v="28684"/>
    <n v="2131"/>
    <n v="2201"/>
    <n v="31490"/>
    <n v="31753"/>
    <n v="64614"/>
    <n v="2153.8000000000002"/>
    <n v="62638"/>
    <n v="2087.9333333333334"/>
    <n v="2772"/>
    <n v="2169"/>
    <n v="64614"/>
    <n v="62638"/>
    <m/>
    <m/>
    <m/>
    <m/>
    <m/>
    <m/>
    <m/>
    <m/>
    <n v="0"/>
    <n v="0"/>
    <n v="0"/>
    <n v="0"/>
    <m/>
    <m/>
    <n v="0"/>
    <n v="0"/>
  </r>
  <r>
    <x v="15"/>
    <s v="West Virginia University Institute of Technology"/>
    <m/>
    <n v="237950"/>
    <x v="5"/>
    <s v="sem"/>
    <s v="sem"/>
    <m/>
    <m/>
    <n v="13594"/>
    <n v="13175"/>
    <n v="904"/>
    <n v="1071"/>
    <n v="14289"/>
    <n v="15870"/>
    <n v="28787"/>
    <n v="959.56666666666672"/>
    <n v="30116"/>
    <n v="1003.8666666666667"/>
    <n v="738"/>
    <n v="570"/>
    <n v="28787"/>
    <n v="30116"/>
    <m/>
    <m/>
    <m/>
    <m/>
    <m/>
    <m/>
    <m/>
    <m/>
    <n v="0"/>
    <n v="0"/>
    <n v="0"/>
    <n v="0"/>
    <m/>
    <m/>
    <n v="0"/>
    <n v="0"/>
  </r>
  <r>
    <x v="15"/>
    <s v="Potomac State College of West Virginia University"/>
    <m/>
    <n v="237701"/>
    <x v="11"/>
    <s v="sem"/>
    <s v="sem"/>
    <m/>
    <m/>
    <n v="19111"/>
    <n v="19789"/>
    <n v="1719"/>
    <n v="1502"/>
    <n v="22771"/>
    <n v="20945"/>
    <n v="43601"/>
    <n v="1453.3666666666666"/>
    <n v="42236"/>
    <n v="1407.8666666666666"/>
    <n v="2043"/>
    <n v="1963"/>
    <n v="43601"/>
    <n v="42236"/>
    <m/>
    <m/>
    <m/>
    <m/>
    <m/>
    <m/>
    <m/>
    <m/>
    <n v="0"/>
    <n v="0"/>
    <n v="0"/>
    <n v="0"/>
    <m/>
    <m/>
    <n v="0"/>
    <n v="0"/>
  </r>
  <r>
    <x v="15"/>
    <s v="West Virginia University at Parkersburg"/>
    <s v="Met the criteria for Four-Year 6 in 2013-14."/>
    <n v="237686"/>
    <x v="11"/>
    <s v="sem"/>
    <s v="sem"/>
    <m/>
    <m/>
    <n v="40909"/>
    <n v="38688"/>
    <n v="8115"/>
    <n v="7085"/>
    <n v="41550"/>
    <n v="37202"/>
    <n v="90574"/>
    <n v="3019.1333333333332"/>
    <n v="82975"/>
    <n v="2765.8333333333335"/>
    <n v="3385"/>
    <n v="2937"/>
    <n v="90574"/>
    <n v="82975"/>
    <m/>
    <m/>
    <m/>
    <m/>
    <m/>
    <m/>
    <m/>
    <m/>
    <n v="0"/>
    <n v="0"/>
    <n v="0"/>
    <n v="0"/>
    <m/>
    <m/>
    <n v="0"/>
    <n v="0"/>
  </r>
  <r>
    <x v="15"/>
    <s v="New River Community &amp; Technical College"/>
    <m/>
    <n v="447582"/>
    <x v="7"/>
    <s v="sem"/>
    <s v="sem"/>
    <m/>
    <m/>
    <n v="28820"/>
    <n v="28044"/>
    <n v="6362"/>
    <n v="7402"/>
    <n v="29864"/>
    <n v="28876"/>
    <n v="65046"/>
    <n v="2168.1999999999998"/>
    <n v="64322"/>
    <n v="2144.0666666666666"/>
    <n v="1650"/>
    <n v="1460"/>
    <n v="65046"/>
    <n v="64322"/>
    <m/>
    <m/>
    <m/>
    <m/>
    <m/>
    <m/>
    <m/>
    <m/>
    <n v="0"/>
    <n v="0"/>
    <n v="0"/>
    <n v="0"/>
    <m/>
    <m/>
    <n v="0"/>
    <n v="0"/>
  </r>
  <r>
    <x v="15"/>
    <s v="Pierpont Community &amp; Technical College"/>
    <m/>
    <n v="443492"/>
    <x v="7"/>
    <s v="sem"/>
    <s v="sem"/>
    <m/>
    <m/>
    <n v="30823"/>
    <n v="28496"/>
    <n v="4272"/>
    <n v="3770"/>
    <n v="32273"/>
    <n v="28960"/>
    <n v="67368"/>
    <n v="2245.6"/>
    <n v="61226"/>
    <n v="2040.8666666666666"/>
    <n v="3833"/>
    <n v="4045"/>
    <n v="67368"/>
    <n v="61226"/>
    <m/>
    <m/>
    <m/>
    <m/>
    <m/>
    <m/>
    <m/>
    <m/>
    <n v="0"/>
    <n v="0"/>
    <n v="0"/>
    <n v="0"/>
    <m/>
    <m/>
    <n v="0"/>
    <n v="0"/>
  </r>
  <r>
    <x v="15"/>
    <s v="West Virginia Northern Community College"/>
    <s v="Met the criteria for Two-Year 3 in 2012-13 and 2013-14."/>
    <n v="238014"/>
    <x v="7"/>
    <s v="sem"/>
    <s v="sem"/>
    <m/>
    <m/>
    <n v="25473"/>
    <n v="21708.5"/>
    <n v="7144"/>
    <n v="5316.4"/>
    <n v="24375.3"/>
    <n v="20856"/>
    <n v="56992.3"/>
    <n v="1899.7433333333333"/>
    <n v="47880.9"/>
    <n v="1596.03"/>
    <n v="2920"/>
    <n v="2467"/>
    <n v="56992.3"/>
    <n v="47880.9"/>
    <m/>
    <m/>
    <m/>
    <m/>
    <m/>
    <m/>
    <m/>
    <m/>
    <n v="0"/>
    <n v="0"/>
    <n v="0"/>
    <n v="0"/>
    <m/>
    <m/>
    <n v="0"/>
    <n v="0"/>
  </r>
  <r>
    <x v="15"/>
    <s v="Blue Ridge Community &amp; Technical College"/>
    <m/>
    <n v="446774"/>
    <x v="8"/>
    <s v="sem"/>
    <s v="sem"/>
    <m/>
    <m/>
    <n v="27210.1"/>
    <n v="26305.3"/>
    <n v="3371.9"/>
    <n v="3197"/>
    <n v="27962.9"/>
    <n v="30326.7"/>
    <n v="58544.9"/>
    <n v="1951.4966666666667"/>
    <n v="59829"/>
    <n v="1994.3"/>
    <n v="1075.5999999999999"/>
    <n v="1048.0999999999999"/>
    <n v="58544.9"/>
    <n v="59829"/>
    <m/>
    <m/>
    <m/>
    <m/>
    <m/>
    <m/>
    <m/>
    <m/>
    <n v="0"/>
    <n v="0"/>
    <n v="0"/>
    <n v="0"/>
    <m/>
    <m/>
    <n v="0"/>
    <n v="0"/>
  </r>
  <r>
    <x v="15"/>
    <s v="Bridgemont Community &amp; Technical College"/>
    <m/>
    <n v="445674"/>
    <x v="8"/>
    <s v="sem"/>
    <s v="sem"/>
    <m/>
    <m/>
    <n v="7584"/>
    <n v="7151"/>
    <n v="528"/>
    <n v="586"/>
    <n v="9012"/>
    <n v="8883.5"/>
    <n v="17124"/>
    <n v="570.79999999999995"/>
    <n v="16620.5"/>
    <n v="554.01666666666665"/>
    <n v="998"/>
    <n v="1199"/>
    <n v="17124"/>
    <n v="16620.5"/>
    <m/>
    <m/>
    <m/>
    <m/>
    <m/>
    <m/>
    <m/>
    <m/>
    <n v="0"/>
    <n v="0"/>
    <n v="0"/>
    <n v="0"/>
    <m/>
    <m/>
    <n v="0"/>
    <n v="0"/>
  </r>
  <r>
    <x v="15"/>
    <s v="Eastern West Virginia Community &amp; Technical College"/>
    <m/>
    <n v="438708"/>
    <x v="8"/>
    <s v="sem"/>
    <s v="sem"/>
    <m/>
    <m/>
    <n v="6250"/>
    <n v="6382"/>
    <n v="1169"/>
    <n v="1441"/>
    <n v="6777"/>
    <n v="7147"/>
    <n v="14196"/>
    <n v="473.2"/>
    <n v="14970"/>
    <n v="499"/>
    <n v="1093"/>
    <n v="1140"/>
    <n v="14196"/>
    <n v="14970"/>
    <m/>
    <m/>
    <m/>
    <m/>
    <m/>
    <m/>
    <m/>
    <m/>
    <n v="0"/>
    <n v="0"/>
    <n v="0"/>
    <n v="0"/>
    <m/>
    <m/>
    <n v="0"/>
    <n v="0"/>
  </r>
  <r>
    <x v="15"/>
    <s v="Kanawha Valley Community &amp; Technical College"/>
    <m/>
    <n v="445018"/>
    <x v="8"/>
    <s v="sem"/>
    <s v="sem"/>
    <m/>
    <m/>
    <n v="16500.599999999999"/>
    <n v="15650"/>
    <n v="1627"/>
    <n v="2508"/>
    <n v="16324"/>
    <n v="16872"/>
    <n v="34451.599999999999"/>
    <n v="1148.3866666666665"/>
    <n v="35030"/>
    <n v="1167.6666666666667"/>
    <n v="182"/>
    <n v="131"/>
    <n v="34451.599999999999"/>
    <n v="35030"/>
    <m/>
    <m/>
    <m/>
    <m/>
    <m/>
    <m/>
    <m/>
    <m/>
    <n v="0"/>
    <n v="0"/>
    <n v="0"/>
    <n v="0"/>
    <m/>
    <m/>
    <n v="0"/>
    <n v="0"/>
  </r>
  <r>
    <x v="15"/>
    <s v="Mountwest Community &amp; Technical College"/>
    <m/>
    <n v="444954"/>
    <x v="8"/>
    <s v="sem"/>
    <s v="sem"/>
    <m/>
    <m/>
    <n v="23594.400000000001"/>
    <n v="23256"/>
    <n v="5964.2"/>
    <n v="5108"/>
    <n v="26481"/>
    <n v="25422"/>
    <n v="56039.600000000006"/>
    <n v="1867.9866666666669"/>
    <n v="53786"/>
    <n v="1792.8666666666666"/>
    <n v="1854.2"/>
    <n v="927"/>
    <n v="56039.600000000006"/>
    <n v="53786"/>
    <m/>
    <m/>
    <m/>
    <m/>
    <m/>
    <m/>
    <m/>
    <m/>
    <n v="0"/>
    <n v="0"/>
    <n v="0"/>
    <n v="0"/>
    <m/>
    <m/>
    <n v="0"/>
    <n v="0"/>
  </r>
  <r>
    <x v="15"/>
    <s v="Southern West Virginia Community &amp; Technical College "/>
    <m/>
    <n v="237817"/>
    <x v="8"/>
    <s v="sem"/>
    <s v="sem"/>
    <m/>
    <m/>
    <n v="20922"/>
    <n v="20929"/>
    <n v="1980"/>
    <n v="1658"/>
    <n v="24143"/>
    <n v="22378"/>
    <n v="47045"/>
    <n v="1568.1666666666667"/>
    <n v="44965"/>
    <n v="1498.8333333333333"/>
    <n v="1688"/>
    <n v="1306"/>
    <n v="47045"/>
    <n v="44965"/>
    <m/>
    <m/>
    <m/>
    <m/>
    <m/>
    <m/>
    <m/>
    <m/>
    <n v="0"/>
    <n v="0"/>
    <n v="0"/>
    <n v="0"/>
    <m/>
    <m/>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Data" updatedVersion="4" minRefreshableVersion="3" asteriskTotals="1" showMultipleLabel="0" showMemberPropertyTips="0" useAutoFormatting="1" colGrandTotals="0" itemPrintTitles="1" createdVersion="3" indent="0" compact="0" compactData="0" gridDropZones="1">
  <location ref="A2:AA208" firstHeaderRow="1" firstDataRow="3" firstDataCol="2"/>
  <pivotFields count="64">
    <pivotField axis="axisRow" compact="0" outline="0" subtotalTop="0" showAll="0" includeNewItemsInFilter="1" sortType="ascending" rankBy="0">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name="Category" axis="axisCol" compact="0" numFmtId="164" outline="0" subtotalTop="0" showAll="0" includeNewItemsInFilter="1">
      <items count="20">
        <item x="0"/>
        <item x="1"/>
        <item x="2"/>
        <item x="3"/>
        <item x="4"/>
        <item x="5"/>
        <item n="7" x="11"/>
        <item n="8" x="6"/>
        <item n="9" x="7"/>
        <item n="10" x="8"/>
        <item n="11" x="12"/>
        <item n="12" x="9"/>
        <item n="13" x="10"/>
        <item m="1" x="17"/>
        <item h="1" m="1" x="18"/>
        <item x="13"/>
        <item x="14"/>
        <item x="15"/>
        <item x="1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ubtotalTop="0" showAll="0" includeNewItemsInFilter="1"/>
    <pivotField dataField="1"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axis="axisCol" compact="0" outline="0" subtotalTop="0" showAll="0" includeNewItemsInFilter="1">
      <items count="10">
        <item n="Four-Year" x="2"/>
        <item n="Two-Year" x="3"/>
        <item n="11" x="1"/>
        <item n="Technical" x="4"/>
        <item h="1" x="0"/>
        <item x="5"/>
        <item x="6"/>
        <item x="7"/>
        <item x="8"/>
        <item t="default"/>
      </items>
    </pivotField>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0"/>
    <field x="-2"/>
  </rowFields>
  <rowItems count="204">
    <i>
      <x/>
      <x/>
    </i>
    <i r="1" i="1">
      <x v="1"/>
    </i>
    <i r="1" i="2">
      <x v="2"/>
    </i>
    <i r="1" i="3">
      <x v="3"/>
    </i>
    <i r="1" i="4">
      <x v="4"/>
    </i>
    <i r="1" i="5">
      <x v="5"/>
    </i>
    <i r="1" i="6">
      <x v="6"/>
    </i>
    <i r="1" i="7">
      <x v="7"/>
    </i>
    <i r="1" i="8">
      <x v="8"/>
    </i>
    <i r="1" i="9">
      <x v="9"/>
    </i>
    <i r="1" i="10">
      <x v="10"/>
    </i>
    <i r="1" i="11">
      <x v="11"/>
    </i>
    <i>
      <x v="1"/>
      <x/>
    </i>
    <i r="1" i="1">
      <x v="1"/>
    </i>
    <i r="1" i="2">
      <x v="2"/>
    </i>
    <i r="1" i="3">
      <x v="3"/>
    </i>
    <i r="1" i="4">
      <x v="4"/>
    </i>
    <i r="1" i="5">
      <x v="5"/>
    </i>
    <i r="1" i="6">
      <x v="6"/>
    </i>
    <i r="1" i="7">
      <x v="7"/>
    </i>
    <i r="1" i="8">
      <x v="8"/>
    </i>
    <i r="1" i="9">
      <x v="9"/>
    </i>
    <i r="1" i="10">
      <x v="10"/>
    </i>
    <i r="1" i="11">
      <x v="11"/>
    </i>
    <i>
      <x v="2"/>
      <x/>
    </i>
    <i r="1" i="1">
      <x v="1"/>
    </i>
    <i r="1" i="2">
      <x v="2"/>
    </i>
    <i r="1" i="3">
      <x v="3"/>
    </i>
    <i r="1" i="4">
      <x v="4"/>
    </i>
    <i r="1" i="5">
      <x v="5"/>
    </i>
    <i r="1" i="6">
      <x v="6"/>
    </i>
    <i r="1" i="7">
      <x v="7"/>
    </i>
    <i r="1" i="8">
      <x v="8"/>
    </i>
    <i r="1" i="9">
      <x v="9"/>
    </i>
    <i r="1" i="10">
      <x v="10"/>
    </i>
    <i r="1" i="11">
      <x v="11"/>
    </i>
    <i>
      <x v="3"/>
      <x/>
    </i>
    <i r="1" i="1">
      <x v="1"/>
    </i>
    <i r="1" i="2">
      <x v="2"/>
    </i>
    <i r="1" i="3">
      <x v="3"/>
    </i>
    <i r="1" i="4">
      <x v="4"/>
    </i>
    <i r="1" i="5">
      <x v="5"/>
    </i>
    <i r="1" i="6">
      <x v="6"/>
    </i>
    <i r="1" i="7">
      <x v="7"/>
    </i>
    <i r="1" i="8">
      <x v="8"/>
    </i>
    <i r="1" i="9">
      <x v="9"/>
    </i>
    <i r="1" i="10">
      <x v="10"/>
    </i>
    <i r="1" i="11">
      <x v="11"/>
    </i>
    <i>
      <x v="4"/>
      <x/>
    </i>
    <i r="1" i="1">
      <x v="1"/>
    </i>
    <i r="1" i="2">
      <x v="2"/>
    </i>
    <i r="1" i="3">
      <x v="3"/>
    </i>
    <i r="1" i="4">
      <x v="4"/>
    </i>
    <i r="1" i="5">
      <x v="5"/>
    </i>
    <i r="1" i="6">
      <x v="6"/>
    </i>
    <i r="1" i="7">
      <x v="7"/>
    </i>
    <i r="1" i="8">
      <x v="8"/>
    </i>
    <i r="1" i="9">
      <x v="9"/>
    </i>
    <i r="1" i="10">
      <x v="10"/>
    </i>
    <i r="1" i="11">
      <x v="11"/>
    </i>
    <i>
      <x v="5"/>
      <x/>
    </i>
    <i r="1" i="1">
      <x v="1"/>
    </i>
    <i r="1" i="2">
      <x v="2"/>
    </i>
    <i r="1" i="3">
      <x v="3"/>
    </i>
    <i r="1" i="4">
      <x v="4"/>
    </i>
    <i r="1" i="5">
      <x v="5"/>
    </i>
    <i r="1" i="6">
      <x v="6"/>
    </i>
    <i r="1" i="7">
      <x v="7"/>
    </i>
    <i r="1" i="8">
      <x v="8"/>
    </i>
    <i r="1" i="9">
      <x v="9"/>
    </i>
    <i r="1" i="10">
      <x v="10"/>
    </i>
    <i r="1" i="11">
      <x v="11"/>
    </i>
    <i>
      <x v="6"/>
      <x/>
    </i>
    <i r="1" i="1">
      <x v="1"/>
    </i>
    <i r="1" i="2">
      <x v="2"/>
    </i>
    <i r="1" i="3">
      <x v="3"/>
    </i>
    <i r="1" i="4">
      <x v="4"/>
    </i>
    <i r="1" i="5">
      <x v="5"/>
    </i>
    <i r="1" i="6">
      <x v="6"/>
    </i>
    <i r="1" i="7">
      <x v="7"/>
    </i>
    <i r="1" i="8">
      <x v="8"/>
    </i>
    <i r="1" i="9">
      <x v="9"/>
    </i>
    <i r="1" i="10">
      <x v="10"/>
    </i>
    <i r="1" i="11">
      <x v="11"/>
    </i>
    <i>
      <x v="7"/>
      <x/>
    </i>
    <i r="1" i="1">
      <x v="1"/>
    </i>
    <i r="1" i="2">
      <x v="2"/>
    </i>
    <i r="1" i="3">
      <x v="3"/>
    </i>
    <i r="1" i="4">
      <x v="4"/>
    </i>
    <i r="1" i="5">
      <x v="5"/>
    </i>
    <i r="1" i="6">
      <x v="6"/>
    </i>
    <i r="1" i="7">
      <x v="7"/>
    </i>
    <i r="1" i="8">
      <x v="8"/>
    </i>
    <i r="1" i="9">
      <x v="9"/>
    </i>
    <i r="1" i="10">
      <x v="10"/>
    </i>
    <i r="1" i="11">
      <x v="11"/>
    </i>
    <i>
      <x v="8"/>
      <x/>
    </i>
    <i r="1" i="1">
      <x v="1"/>
    </i>
    <i r="1" i="2">
      <x v="2"/>
    </i>
    <i r="1" i="3">
      <x v="3"/>
    </i>
    <i r="1" i="4">
      <x v="4"/>
    </i>
    <i r="1" i="5">
      <x v="5"/>
    </i>
    <i r="1" i="6">
      <x v="6"/>
    </i>
    <i r="1" i="7">
      <x v="7"/>
    </i>
    <i r="1" i="8">
      <x v="8"/>
    </i>
    <i r="1" i="9">
      <x v="9"/>
    </i>
    <i r="1" i="10">
      <x v="10"/>
    </i>
    <i r="1" i="11">
      <x v="11"/>
    </i>
    <i>
      <x v="9"/>
      <x/>
    </i>
    <i r="1" i="1">
      <x v="1"/>
    </i>
    <i r="1" i="2">
      <x v="2"/>
    </i>
    <i r="1" i="3">
      <x v="3"/>
    </i>
    <i r="1" i="4">
      <x v="4"/>
    </i>
    <i r="1" i="5">
      <x v="5"/>
    </i>
    <i r="1" i="6">
      <x v="6"/>
    </i>
    <i r="1" i="7">
      <x v="7"/>
    </i>
    <i r="1" i="8">
      <x v="8"/>
    </i>
    <i r="1" i="9">
      <x v="9"/>
    </i>
    <i r="1" i="10">
      <x v="10"/>
    </i>
    <i r="1" i="11">
      <x v="11"/>
    </i>
    <i>
      <x v="10"/>
      <x/>
    </i>
    <i r="1" i="1">
      <x v="1"/>
    </i>
    <i r="1" i="2">
      <x v="2"/>
    </i>
    <i r="1" i="3">
      <x v="3"/>
    </i>
    <i r="1" i="4">
      <x v="4"/>
    </i>
    <i r="1" i="5">
      <x v="5"/>
    </i>
    <i r="1" i="6">
      <x v="6"/>
    </i>
    <i r="1" i="7">
      <x v="7"/>
    </i>
    <i r="1" i="8">
      <x v="8"/>
    </i>
    <i r="1" i="9">
      <x v="9"/>
    </i>
    <i r="1" i="10">
      <x v="10"/>
    </i>
    <i r="1" i="11">
      <x v="11"/>
    </i>
    <i>
      <x v="11"/>
      <x/>
    </i>
    <i r="1" i="1">
      <x v="1"/>
    </i>
    <i r="1" i="2">
      <x v="2"/>
    </i>
    <i r="1" i="3">
      <x v="3"/>
    </i>
    <i r="1" i="4">
      <x v="4"/>
    </i>
    <i r="1" i="5">
      <x v="5"/>
    </i>
    <i r="1" i="6">
      <x v="6"/>
    </i>
    <i r="1" i="7">
      <x v="7"/>
    </i>
    <i r="1" i="8">
      <x v="8"/>
    </i>
    <i r="1" i="9">
      <x v="9"/>
    </i>
    <i r="1" i="10">
      <x v="10"/>
    </i>
    <i r="1" i="11">
      <x v="11"/>
    </i>
    <i>
      <x v="12"/>
      <x/>
    </i>
    <i r="1" i="1">
      <x v="1"/>
    </i>
    <i r="1" i="2">
      <x v="2"/>
    </i>
    <i r="1" i="3">
      <x v="3"/>
    </i>
    <i r="1" i="4">
      <x v="4"/>
    </i>
    <i r="1" i="5">
      <x v="5"/>
    </i>
    <i r="1" i="6">
      <x v="6"/>
    </i>
    <i r="1" i="7">
      <x v="7"/>
    </i>
    <i r="1" i="8">
      <x v="8"/>
    </i>
    <i r="1" i="9">
      <x v="9"/>
    </i>
    <i r="1" i="10">
      <x v="10"/>
    </i>
    <i r="1" i="11">
      <x v="11"/>
    </i>
    <i>
      <x v="13"/>
      <x/>
    </i>
    <i r="1" i="1">
      <x v="1"/>
    </i>
    <i r="1" i="2">
      <x v="2"/>
    </i>
    <i r="1" i="3">
      <x v="3"/>
    </i>
    <i r="1" i="4">
      <x v="4"/>
    </i>
    <i r="1" i="5">
      <x v="5"/>
    </i>
    <i r="1" i="6">
      <x v="6"/>
    </i>
    <i r="1" i="7">
      <x v="7"/>
    </i>
    <i r="1" i="8">
      <x v="8"/>
    </i>
    <i r="1" i="9">
      <x v="9"/>
    </i>
    <i r="1" i="10">
      <x v="10"/>
    </i>
    <i r="1" i="11">
      <x v="11"/>
    </i>
    <i>
      <x v="14"/>
      <x/>
    </i>
    <i r="1" i="1">
      <x v="1"/>
    </i>
    <i r="1" i="2">
      <x v="2"/>
    </i>
    <i r="1" i="3">
      <x v="3"/>
    </i>
    <i r="1" i="4">
      <x v="4"/>
    </i>
    <i r="1" i="5">
      <x v="5"/>
    </i>
    <i r="1" i="6">
      <x v="6"/>
    </i>
    <i r="1" i="7">
      <x v="7"/>
    </i>
    <i r="1" i="8">
      <x v="8"/>
    </i>
    <i r="1" i="9">
      <x v="9"/>
    </i>
    <i r="1" i="10">
      <x v="10"/>
    </i>
    <i r="1" i="11">
      <x v="11"/>
    </i>
    <i>
      <x v="15"/>
      <x/>
    </i>
    <i r="1" i="1">
      <x v="1"/>
    </i>
    <i r="1" i="2">
      <x v="2"/>
    </i>
    <i r="1" i="3">
      <x v="3"/>
    </i>
    <i r="1" i="4">
      <x v="4"/>
    </i>
    <i r="1" i="5">
      <x v="5"/>
    </i>
    <i r="1" i="6">
      <x v="6"/>
    </i>
    <i r="1" i="7">
      <x v="7"/>
    </i>
    <i r="1" i="8">
      <x v="8"/>
    </i>
    <i r="1" i="9">
      <x v="9"/>
    </i>
    <i r="1" i="10">
      <x v="10"/>
    </i>
    <i r="1" i="11">
      <x v="11"/>
    </i>
    <i t="grand">
      <x/>
    </i>
    <i t="grand" i="1">
      <x/>
    </i>
    <i t="grand" i="2">
      <x/>
    </i>
    <i t="grand" i="3">
      <x/>
    </i>
    <i t="grand" i="4">
      <x/>
    </i>
    <i t="grand" i="5">
      <x/>
    </i>
    <i t="grand" i="6">
      <x/>
    </i>
    <i t="grand" i="7">
      <x/>
    </i>
    <i t="grand" i="8">
      <x/>
    </i>
    <i t="grand" i="9">
      <x/>
    </i>
    <i t="grand" i="10">
      <x/>
    </i>
    <i t="grand" i="11">
      <x/>
    </i>
  </rowItems>
  <colFields count="2">
    <field x="60"/>
    <field x="4"/>
  </colFields>
  <colItems count="25">
    <i>
      <x/>
      <x/>
    </i>
    <i r="1">
      <x v="1"/>
    </i>
    <i r="1">
      <x v="2"/>
    </i>
    <i r="1">
      <x v="3"/>
    </i>
    <i r="1">
      <x v="4"/>
    </i>
    <i r="1">
      <x v="5"/>
    </i>
    <i t="default">
      <x/>
    </i>
    <i>
      <x v="1"/>
      <x v="6"/>
    </i>
    <i r="1">
      <x v="7"/>
    </i>
    <i r="1">
      <x v="8"/>
    </i>
    <i r="1">
      <x v="9"/>
    </i>
    <i t="default">
      <x v="1"/>
    </i>
    <i>
      <x v="2"/>
      <x v="10"/>
    </i>
    <i t="default">
      <x v="2"/>
    </i>
    <i>
      <x v="3"/>
      <x v="11"/>
    </i>
    <i r="1">
      <x v="12"/>
    </i>
    <i t="default">
      <x v="3"/>
    </i>
    <i>
      <x v="5"/>
      <x v="15"/>
    </i>
    <i t="default">
      <x v="5"/>
    </i>
    <i>
      <x v="6"/>
      <x v="16"/>
    </i>
    <i t="default">
      <x v="6"/>
    </i>
    <i>
      <x v="7"/>
      <x v="17"/>
    </i>
    <i t="default">
      <x v="7"/>
    </i>
    <i>
      <x v="8"/>
      <x v="18"/>
    </i>
    <i t="default">
      <x v="8"/>
    </i>
  </colItems>
  <dataFields count="12">
    <dataField name="Undergrad Student Credit Hour  FTE - Old" fld="16" baseField="0" baseItem="0" numFmtId="3"/>
    <dataField name="Undergrad Student Credit Hour FTE - New" fld="18" baseField="0" baseItem="0" numFmtId="3"/>
    <dataField name=" % Change Undergrad SCH FTE" fld="53" baseField="0" baseItem="0" numFmtId="166"/>
    <dataField name=" Undergrad Contact Hour FTE - Old" fld="32" baseField="0" baseItem="0" numFmtId="3"/>
    <dataField name=" Undergrad Contact Hour FTE - New" fld="34" baseField="0" baseItem="0" numFmtId="3"/>
    <dataField name=" % Change Undergrad CH FTE" fld="55" baseField="0" baseItem="0" numFmtId="166"/>
    <dataField name="Graduate FTE - Old" fld="48" baseField="0" baseItem="0" numFmtId="3"/>
    <dataField name="Graduate FTE - New" fld="50" baseField="0" baseItem="0" numFmtId="3"/>
    <dataField name=" % Change Graduate  FTE" fld="54" baseField="0" baseItem="0" numFmtId="166"/>
    <dataField name="Grand Total FTE - Old" fld="51" baseField="0" baseItem="0" numFmtId="3"/>
    <dataField name="Grand Total FTE - New" fld="52" baseField="0" baseItem="0" numFmtId="3"/>
    <dataField name=" % Change Grand Total FTE" fld="61" baseField="0" baseItem="0" numFmtId="166"/>
  </dataFields>
  <formats count="205">
    <format dxfId="774">
      <pivotArea type="all" dataOnly="0" outline="0" fieldPosition="0"/>
    </format>
    <format dxfId="773">
      <pivotArea type="all" dataOnly="0" outline="0" fieldPosition="0"/>
    </format>
    <format dxfId="772">
      <pivotArea type="all" dataOnly="0" outline="0" fieldPosition="0"/>
    </format>
    <format dxfId="771">
      <pivotArea type="all" dataOnly="0" outline="0" fieldPosition="0"/>
    </format>
    <format dxfId="770">
      <pivotArea dataOnly="0" outline="0" fieldPosition="0">
        <references count="1">
          <reference field="4294967294" count="1">
            <x v="2"/>
          </reference>
        </references>
      </pivotArea>
    </format>
    <format dxfId="769">
      <pivotArea dataOnly="0" outline="0" fieldPosition="0">
        <references count="1">
          <reference field="4294967294" count="1">
            <x v="5"/>
          </reference>
        </references>
      </pivotArea>
    </format>
    <format dxfId="768">
      <pivotArea dataOnly="0" outline="0" fieldPosition="0">
        <references count="1">
          <reference field="4294967294" count="1">
            <x v="8"/>
          </reference>
        </references>
      </pivotArea>
    </format>
    <format dxfId="767">
      <pivotArea dataOnly="0" outline="0" fieldPosition="0">
        <references count="1">
          <reference field="4294967294" count="1">
            <x v="2"/>
          </reference>
        </references>
      </pivotArea>
    </format>
    <format dxfId="766">
      <pivotArea dataOnly="0" outline="0" fieldPosition="0">
        <references count="1">
          <reference field="4294967294" count="1">
            <x v="5"/>
          </reference>
        </references>
      </pivotArea>
    </format>
    <format dxfId="765">
      <pivotArea dataOnly="0" outline="0" fieldPosition="0">
        <references count="1">
          <reference field="4294967294" count="1">
            <x v="8"/>
          </reference>
        </references>
      </pivotArea>
    </format>
    <format dxfId="764">
      <pivotArea outline="0" fieldPosition="0">
        <references count="2">
          <reference field="0" count="1" selected="0">
            <x v="4"/>
          </reference>
          <reference field="4" count="4" selected="0">
            <x v="2"/>
            <x v="3"/>
            <x v="4"/>
            <x v="5"/>
          </reference>
        </references>
      </pivotArea>
    </format>
    <format dxfId="763">
      <pivotArea dataOnly="0" labelOnly="1" outline="0" fieldPosition="0">
        <references count="1">
          <reference field="0" count="1">
            <x v="4"/>
          </reference>
        </references>
      </pivotArea>
    </format>
    <format dxfId="762">
      <pivotArea dataOnly="0" outline="0" fieldPosition="0">
        <references count="1">
          <reference field="4294967294" count="3">
            <x v="2"/>
            <x v="5"/>
            <x v="8"/>
          </reference>
        </references>
      </pivotArea>
    </format>
    <format dxfId="761">
      <pivotArea field="0" dataOnly="0" grandRow="1" outline="0" axis="axisRow" fieldPosition="0">
        <references count="1">
          <reference field="4294967294" count="1" selected="0">
            <x v="2"/>
          </reference>
        </references>
      </pivotArea>
    </format>
    <format dxfId="760">
      <pivotArea field="0" dataOnly="0" grandRow="1" outline="0" axis="axisRow" fieldPosition="0">
        <references count="1">
          <reference field="4294967294" count="1" selected="0">
            <x v="2"/>
          </reference>
        </references>
      </pivotArea>
    </format>
    <format dxfId="759">
      <pivotArea field="0" dataOnly="0" grandRow="1" outline="0" axis="axisRow" fieldPosition="0">
        <references count="1">
          <reference field="4294967294" count="1" selected="0">
            <x v="2"/>
          </reference>
        </references>
      </pivotArea>
    </format>
    <format dxfId="758">
      <pivotArea field="0" dataOnly="0" grandRow="1" outline="0" axis="axisRow" fieldPosition="0">
        <references count="1">
          <reference field="4294967294" count="1" selected="0">
            <x v="5"/>
          </reference>
        </references>
      </pivotArea>
    </format>
    <format dxfId="757">
      <pivotArea field="0" dataOnly="0" grandRow="1" outline="0" axis="axisRow" fieldPosition="0">
        <references count="1">
          <reference field="4294967294" count="1" selected="0">
            <x v="8"/>
          </reference>
        </references>
      </pivotArea>
    </format>
    <format dxfId="756">
      <pivotArea field="0" dataOnly="0" grandRow="1" outline="0" axis="axisRow" fieldPosition="0">
        <references count="1">
          <reference field="4294967294" count="1" selected="0">
            <x v="2"/>
          </reference>
        </references>
      </pivotArea>
    </format>
    <format dxfId="755">
      <pivotArea field="0" dataOnly="0" grandRow="1" outline="0" axis="axisRow" fieldPosition="0">
        <references count="1">
          <reference field="4294967294" count="1" selected="0">
            <x v="2"/>
          </reference>
        </references>
      </pivotArea>
    </format>
    <format dxfId="754">
      <pivotArea field="0" dataOnly="0" grandRow="1" outline="0" axis="axisRow" fieldPosition="0">
        <references count="1">
          <reference field="4294967294" count="1" selected="0">
            <x v="2"/>
          </reference>
        </references>
      </pivotArea>
    </format>
    <format dxfId="753">
      <pivotArea field="0" dataOnly="0" grandRow="1" outline="0" axis="axisRow" fieldPosition="0">
        <references count="1">
          <reference field="4294967294" count="1" selected="0">
            <x v="2"/>
          </reference>
        </references>
      </pivotArea>
    </format>
    <format dxfId="752">
      <pivotArea field="0" dataOnly="0" labelOnly="1" grandRow="1" outline="0" axis="axisRow" fieldPosition="0">
        <references count="1">
          <reference field="4294967294" count="1" selected="0">
            <x v="2"/>
          </reference>
        </references>
      </pivotArea>
    </format>
    <format dxfId="751">
      <pivotArea field="0" dataOnly="0" labelOnly="1" grandRow="1" outline="0" axis="axisRow" fieldPosition="0">
        <references count="1">
          <reference field="4294967294" count="1" selected="0">
            <x v="2"/>
          </reference>
        </references>
      </pivotArea>
    </format>
    <format dxfId="750">
      <pivotArea field="0" dataOnly="0" labelOnly="1" grandRow="1" outline="0" axis="axisRow" fieldPosition="0">
        <references count="1">
          <reference field="4294967294" count="1" selected="0">
            <x v="2"/>
          </reference>
        </references>
      </pivotArea>
    </format>
    <format dxfId="749">
      <pivotArea field="0" dataOnly="0" labelOnly="1" grandRow="1" outline="0" axis="axisRow" fieldPosition="0">
        <references count="1">
          <reference field="4294967294" count="1" selected="0">
            <x v="2"/>
          </reference>
        </references>
      </pivotArea>
    </format>
    <format dxfId="748">
      <pivotArea field="0" dataOnly="0" labelOnly="1" grandRow="1" outline="0" axis="axisRow" fieldPosition="0">
        <references count="1">
          <reference field="4294967294" count="1" selected="0">
            <x v="2"/>
          </reference>
        </references>
      </pivotArea>
    </format>
    <format dxfId="747">
      <pivotArea field="0" dataOnly="0" labelOnly="1" grandRow="1" outline="0" axis="axisRow" fieldPosition="0">
        <references count="1">
          <reference field="4294967294" count="1" selected="0">
            <x v="2"/>
          </reference>
        </references>
      </pivotArea>
    </format>
    <format dxfId="746">
      <pivotArea grandCol="1" outline="0" fieldPosition="0"/>
    </format>
    <format dxfId="745">
      <pivotArea type="topRight" dataOnly="0" labelOnly="1" outline="0" offset="I1" fieldPosition="0"/>
    </format>
    <format dxfId="744">
      <pivotArea dataOnly="0" labelOnly="1" grandCol="1" outline="0" fieldPosition="0"/>
    </format>
    <format dxfId="743">
      <pivotArea dataOnly="0" labelOnly="1" outline="0" fieldPosition="0">
        <references count="1">
          <reference field="4" count="1">
            <x v="6"/>
          </reference>
        </references>
      </pivotArea>
    </format>
    <format dxfId="742">
      <pivotArea dataOnly="0" labelOnly="1" outline="0" fieldPosition="0">
        <references count="1">
          <reference field="4" count="1">
            <x v="7"/>
          </reference>
        </references>
      </pivotArea>
    </format>
    <format dxfId="741">
      <pivotArea dataOnly="0" labelOnly="1" outline="0" fieldPosition="0">
        <references count="1">
          <reference field="4" count="1">
            <x v="8"/>
          </reference>
        </references>
      </pivotArea>
    </format>
    <format dxfId="740">
      <pivotArea dataOnly="0" labelOnly="1" outline="0" fieldPosition="0">
        <references count="1">
          <reference field="4" count="3">
            <x v="9"/>
            <x v="11"/>
            <x v="12"/>
          </reference>
        </references>
      </pivotArea>
    </format>
    <format dxfId="739">
      <pivotArea dataOnly="0" labelOnly="1" outline="0" fieldPosition="0">
        <references count="1">
          <reference field="4" count="1">
            <x v="10"/>
          </reference>
        </references>
      </pivotArea>
    </format>
    <format dxfId="738">
      <pivotArea type="all" dataOnly="0" outline="0" fieldPosition="0"/>
    </format>
    <format dxfId="737">
      <pivotArea dataOnly="0" labelOnly="1" grandCol="1" outline="0" offset="IV256" fieldPosition="0"/>
    </format>
    <format dxfId="736">
      <pivotArea dataOnly="0" labelOnly="1" grandCol="1" outline="0" offset="IV1" fieldPosition="0"/>
    </format>
    <format dxfId="735">
      <pivotArea type="origin" dataOnly="0" labelOnly="1" outline="0" fieldPosition="0"/>
    </format>
    <format dxfId="734">
      <pivotArea field="0" type="button" dataOnly="0" labelOnly="1" outline="0" axis="axisRow" fieldPosition="0"/>
    </format>
    <format dxfId="733">
      <pivotArea dataOnly="0" labelOnly="1" outline="0" fieldPosition="0">
        <references count="1">
          <reference field="0" count="0"/>
        </references>
      </pivotArea>
    </format>
    <format dxfId="732">
      <pivotArea field="-2" type="button" dataOnly="0" labelOnly="1" outline="0" axis="axisRow" fieldPosition="1"/>
    </format>
    <format dxfId="731">
      <pivotArea field="0" dataOnly="0" labelOnly="1" grandRow="1" outline="0" offset="IV256" axis="axisRow" fieldPosition="0">
        <references count="1">
          <reference field="4294967294" count="1" selected="0">
            <x v="0"/>
          </reference>
        </references>
      </pivotArea>
    </format>
    <format dxfId="730">
      <pivotArea field="0" dataOnly="0" labelOnly="1" grandRow="1" outline="0" offset="IV256" axis="axisRow" fieldPosition="0">
        <references count="1">
          <reference field="4294967294" count="1" selected="0">
            <x v="1"/>
          </reference>
        </references>
      </pivotArea>
    </format>
    <format dxfId="729">
      <pivotArea field="0" dataOnly="0" labelOnly="1" grandRow="1" outline="0" offset="IV256" axis="axisRow" fieldPosition="0">
        <references count="1">
          <reference field="4294967294" count="1" selected="0">
            <x v="2"/>
          </reference>
        </references>
      </pivotArea>
    </format>
    <format dxfId="728">
      <pivotArea field="0" dataOnly="0" labelOnly="1" grandRow="1" outline="0" offset="IV256" axis="axisRow" fieldPosition="0">
        <references count="1">
          <reference field="4294967294" count="1" selected="0">
            <x v="3"/>
          </reference>
        </references>
      </pivotArea>
    </format>
    <format dxfId="727">
      <pivotArea field="0" dataOnly="0" labelOnly="1" grandRow="1" outline="0" offset="IV256" axis="axisRow" fieldPosition="0">
        <references count="1">
          <reference field="4294967294" count="1" selected="0">
            <x v="4"/>
          </reference>
        </references>
      </pivotArea>
    </format>
    <format dxfId="726">
      <pivotArea field="0" dataOnly="0" labelOnly="1" grandRow="1" outline="0" offset="IV256" axis="axisRow" fieldPosition="0">
        <references count="1">
          <reference field="4294967294" count="1" selected="0">
            <x v="5"/>
          </reference>
        </references>
      </pivotArea>
    </format>
    <format dxfId="725">
      <pivotArea field="0" dataOnly="0" labelOnly="1" grandRow="1" outline="0" offset="IV256" axis="axisRow" fieldPosition="0">
        <references count="1">
          <reference field="4294967294" count="1" selected="0">
            <x v="6"/>
          </reference>
        </references>
      </pivotArea>
    </format>
    <format dxfId="724">
      <pivotArea field="0" dataOnly="0" labelOnly="1" grandRow="1" outline="0" offset="IV256" axis="axisRow" fieldPosition="0">
        <references count="1">
          <reference field="4294967294" count="1" selected="0">
            <x v="7"/>
          </reference>
        </references>
      </pivotArea>
    </format>
    <format dxfId="723">
      <pivotArea field="0" dataOnly="0" labelOnly="1" grandRow="1" outline="0" offset="IV256" axis="axisRow" fieldPosition="0">
        <references count="1">
          <reference field="4294967294" count="1" selected="0">
            <x v="8"/>
          </reference>
        </references>
      </pivotArea>
    </format>
    <format dxfId="722">
      <pivotArea field="0" dataOnly="0" labelOnly="1" grandRow="1" outline="0" offset="IV256" axis="axisRow" fieldPosition="0">
        <references count="1">
          <reference field="4294967294" count="1" selected="0">
            <x v="10"/>
          </reference>
        </references>
      </pivotArea>
    </format>
    <format dxfId="721">
      <pivotArea field="0" dataOnly="0" labelOnly="1" grandRow="1" outline="0" offset="IV256" axis="axisRow" fieldPosition="0">
        <references count="1">
          <reference field="4294967294" count="1" selected="0">
            <x v="11"/>
          </reference>
        </references>
      </pivotArea>
    </format>
    <format dxfId="720">
      <pivotArea dataOnly="0" labelOnly="1" outline="0" fieldPosition="0">
        <references count="2">
          <reference field="4294967294" count="0"/>
          <reference field="0" count="1" selected="0">
            <x v="4"/>
          </reference>
        </references>
      </pivotArea>
    </format>
    <format dxfId="719">
      <pivotArea type="topRight" dataOnly="0" labelOnly="1" outline="0" offset="E1" fieldPosition="0"/>
    </format>
    <format dxfId="718">
      <pivotArea type="all" dataOnly="0" outline="0" fieldPosition="0"/>
    </format>
    <format dxfId="717">
      <pivotArea type="topRight" dataOnly="0" labelOnly="1" outline="0" offset="F1" fieldPosition="0"/>
    </format>
    <format dxfId="716">
      <pivotArea type="topRight" dataOnly="0" labelOnly="1" outline="0" offset="J1" fieldPosition="0"/>
    </format>
    <format dxfId="715">
      <pivotArea type="topRight" dataOnly="0" labelOnly="1" outline="0" offset="K1" fieldPosition="0"/>
    </format>
    <format dxfId="714">
      <pivotArea type="origin" dataOnly="0" labelOnly="1" outline="0" offset="A2:B2" fieldPosition="0"/>
    </format>
    <format dxfId="713">
      <pivotArea dataOnly="0" labelOnly="1" outline="0" offset="IV1" fieldPosition="0">
        <references count="1">
          <reference field="0" count="1">
            <x v="4"/>
          </reference>
        </references>
      </pivotArea>
    </format>
    <format dxfId="712">
      <pivotArea type="origin" dataOnly="0" labelOnly="1" outline="0" fieldPosition="0"/>
    </format>
    <format dxfId="711">
      <pivotArea field="0" type="button" dataOnly="0" labelOnly="1" outline="0" axis="axisRow" fieldPosition="0"/>
    </format>
    <format dxfId="710">
      <pivotArea dataOnly="0" labelOnly="1" outline="0" fieldPosition="0">
        <references count="1">
          <reference field="0" count="0"/>
        </references>
      </pivotArea>
    </format>
    <format dxfId="709">
      <pivotArea field="0" dataOnly="0" labelOnly="1" grandRow="1" outline="0" offset="A256" axis="axisRow" fieldPosition="0">
        <references count="1">
          <reference field="4294967294" count="1" selected="0">
            <x v="0"/>
          </reference>
        </references>
      </pivotArea>
    </format>
    <format dxfId="708">
      <pivotArea field="0" dataOnly="0" labelOnly="1" grandRow="1" outline="0" offset="A256" axis="axisRow" fieldPosition="0">
        <references count="1">
          <reference field="4294967294" count="1" selected="0">
            <x v="1"/>
          </reference>
        </references>
      </pivotArea>
    </format>
    <format dxfId="707">
      <pivotArea field="0" dataOnly="0" labelOnly="1" grandRow="1" outline="0" offset="A256" axis="axisRow" fieldPosition="0">
        <references count="1">
          <reference field="4294967294" count="1" selected="0">
            <x v="2"/>
          </reference>
        </references>
      </pivotArea>
    </format>
    <format dxfId="706">
      <pivotArea field="0" dataOnly="0" labelOnly="1" grandRow="1" outline="0" offset="A256" axis="axisRow" fieldPosition="0">
        <references count="1">
          <reference field="4294967294" count="1" selected="0">
            <x v="3"/>
          </reference>
        </references>
      </pivotArea>
    </format>
    <format dxfId="705">
      <pivotArea field="0" dataOnly="0" labelOnly="1" grandRow="1" outline="0" offset="A256" axis="axisRow" fieldPosition="0">
        <references count="1">
          <reference field="4294967294" count="1" selected="0">
            <x v="4"/>
          </reference>
        </references>
      </pivotArea>
    </format>
    <format dxfId="704">
      <pivotArea field="0" dataOnly="0" labelOnly="1" grandRow="1" outline="0" offset="A256" axis="axisRow" fieldPosition="0">
        <references count="1">
          <reference field="4294967294" count="1" selected="0">
            <x v="5"/>
          </reference>
        </references>
      </pivotArea>
    </format>
    <format dxfId="703">
      <pivotArea field="0" dataOnly="0" labelOnly="1" grandRow="1" outline="0" offset="A256" axis="axisRow" fieldPosition="0">
        <references count="1">
          <reference field="4294967294" count="1" selected="0">
            <x v="6"/>
          </reference>
        </references>
      </pivotArea>
    </format>
    <format dxfId="702">
      <pivotArea field="0" dataOnly="0" labelOnly="1" grandRow="1" outline="0" offset="A256" axis="axisRow" fieldPosition="0">
        <references count="1">
          <reference field="4294967294" count="1" selected="0">
            <x v="7"/>
          </reference>
        </references>
      </pivotArea>
    </format>
    <format dxfId="701">
      <pivotArea field="0" dataOnly="0" labelOnly="1" grandRow="1" outline="0" offset="A256" axis="axisRow" fieldPosition="0">
        <references count="1">
          <reference field="4294967294" count="1" selected="0">
            <x v="8"/>
          </reference>
        </references>
      </pivotArea>
    </format>
    <format dxfId="700">
      <pivotArea field="0" dataOnly="0" labelOnly="1" grandRow="1" outline="0" offset="A256" axis="axisRow" fieldPosition="0">
        <references count="1">
          <reference field="4294967294" count="1" selected="0">
            <x v="10"/>
          </reference>
        </references>
      </pivotArea>
    </format>
    <format dxfId="699">
      <pivotArea field="0" dataOnly="0" labelOnly="1" grandRow="1" outline="0" offset="A256" axis="axisRow" fieldPosition="0">
        <references count="1">
          <reference field="4294967294" count="1" selected="0">
            <x v="11"/>
          </reference>
        </references>
      </pivotArea>
    </format>
    <format dxfId="698">
      <pivotArea dataOnly="0" labelOnly="1" outline="0" offset="IV256" fieldPosition="0">
        <references count="1">
          <reference field="0" count="1">
            <x v="4"/>
          </reference>
        </references>
      </pivotArea>
    </format>
    <format dxfId="697">
      <pivotArea dataOnly="0" labelOnly="1" outline="0" fieldPosition="0">
        <references count="2">
          <reference field="4294967294" count="1">
            <x v="11"/>
          </reference>
          <reference field="0" count="1" selected="0">
            <x v="4"/>
          </reference>
        </references>
      </pivotArea>
    </format>
    <format dxfId="696">
      <pivotArea dataOnly="0" labelOnly="1" outline="0" fieldPosition="0">
        <references count="2">
          <reference field="4294967294" count="1">
            <x v="11"/>
          </reference>
          <reference field="0" count="1" selected="0">
            <x v="4"/>
          </reference>
        </references>
      </pivotArea>
    </format>
    <format dxfId="695">
      <pivotArea dataOnly="0" labelOnly="1" outline="0" offset="IV256" fieldPosition="0">
        <references count="1">
          <reference field="60" count="1" defaultSubtotal="1">
            <x v="0"/>
          </reference>
        </references>
      </pivotArea>
    </format>
    <format dxfId="694">
      <pivotArea dataOnly="0" labelOnly="1" outline="0" offset="IV256" fieldPosition="0">
        <references count="1">
          <reference field="60" count="1" defaultSubtotal="1">
            <x v="1"/>
          </reference>
        </references>
      </pivotArea>
    </format>
    <format dxfId="693">
      <pivotArea dataOnly="0" labelOnly="1" outline="0" offset="IV256" fieldPosition="0">
        <references count="1">
          <reference field="60" count="1" defaultSubtotal="1">
            <x v="3"/>
          </reference>
        </references>
      </pivotArea>
    </format>
    <format dxfId="692">
      <pivotArea dataOnly="0" labelOnly="1" outline="0" fieldPosition="0">
        <references count="2">
          <reference field="4" count="6">
            <x v="0"/>
            <x v="1"/>
            <x v="2"/>
            <x v="3"/>
            <x v="4"/>
            <x v="5"/>
          </reference>
          <reference field="60" count="1" selected="0">
            <x v="0"/>
          </reference>
        </references>
      </pivotArea>
    </format>
    <format dxfId="691">
      <pivotArea dataOnly="0" labelOnly="1" outline="0" fieldPosition="0">
        <references count="2">
          <reference field="4" count="4">
            <x v="6"/>
            <x v="7"/>
            <x v="8"/>
            <x v="9"/>
          </reference>
          <reference field="60" count="1" selected="0">
            <x v="1"/>
          </reference>
        </references>
      </pivotArea>
    </format>
    <format dxfId="690">
      <pivotArea dataOnly="0" labelOnly="1" outline="0" fieldPosition="0">
        <references count="2">
          <reference field="4" count="3">
            <x v="11"/>
            <x v="12"/>
            <x v="13"/>
          </reference>
          <reference field="60" count="1" selected="0">
            <x v="3"/>
          </reference>
        </references>
      </pivotArea>
    </format>
    <format dxfId="689">
      <pivotArea dataOnly="0" labelOnly="1" outline="0" fieldPosition="0">
        <references count="1">
          <reference field="60" count="1" defaultSubtotal="1">
            <x v="0"/>
          </reference>
        </references>
      </pivotArea>
    </format>
    <format dxfId="688">
      <pivotArea dataOnly="0" labelOnly="1" outline="0" fieldPosition="0">
        <references count="1">
          <reference field="60" count="1" defaultSubtotal="1">
            <x v="1"/>
          </reference>
        </references>
      </pivotArea>
    </format>
    <format dxfId="687">
      <pivotArea dataOnly="0" labelOnly="1" outline="0" fieldPosition="0">
        <references count="1">
          <reference field="60" count="1" defaultSubtotal="1">
            <x v="3"/>
          </reference>
        </references>
      </pivotArea>
    </format>
    <format dxfId="686">
      <pivotArea field="0" dataOnly="0" labelOnly="1" grandRow="1" outline="0" axis="axisRow" fieldPosition="0">
        <references count="1">
          <reference field="4294967294" count="1" selected="0">
            <x v="0"/>
          </reference>
        </references>
      </pivotArea>
    </format>
    <format dxfId="685">
      <pivotArea field="0" dataOnly="0" labelOnly="1" grandRow="1" outline="0" axis="axisRow" fieldPosition="0">
        <references count="1">
          <reference field="4294967294" count="1" selected="0">
            <x v="1"/>
          </reference>
        </references>
      </pivotArea>
    </format>
    <format dxfId="684">
      <pivotArea field="0" dataOnly="0" labelOnly="1" grandRow="1" outline="0" axis="axisRow" fieldPosition="0">
        <references count="1">
          <reference field="4294967294" count="1" selected="0">
            <x v="2"/>
          </reference>
        </references>
      </pivotArea>
    </format>
    <format dxfId="683">
      <pivotArea field="0" dataOnly="0" labelOnly="1" grandRow="1" outline="0" axis="axisRow" fieldPosition="0">
        <references count="1">
          <reference field="4294967294" count="1" selected="0">
            <x v="3"/>
          </reference>
        </references>
      </pivotArea>
    </format>
    <format dxfId="682">
      <pivotArea field="0" dataOnly="0" labelOnly="1" grandRow="1" outline="0" axis="axisRow" fieldPosition="0">
        <references count="1">
          <reference field="4294967294" count="1" selected="0">
            <x v="4"/>
          </reference>
        </references>
      </pivotArea>
    </format>
    <format dxfId="681">
      <pivotArea field="0" dataOnly="0" labelOnly="1" grandRow="1" outline="0" axis="axisRow" fieldPosition="0">
        <references count="1">
          <reference field="4294967294" count="1" selected="0">
            <x v="5"/>
          </reference>
        </references>
      </pivotArea>
    </format>
    <format dxfId="680">
      <pivotArea field="0" dataOnly="0" labelOnly="1" grandRow="1" outline="0" axis="axisRow" fieldPosition="0">
        <references count="1">
          <reference field="4294967294" count="1" selected="0">
            <x v="6"/>
          </reference>
        </references>
      </pivotArea>
    </format>
    <format dxfId="679">
      <pivotArea field="0" dataOnly="0" labelOnly="1" grandRow="1" outline="0" axis="axisRow" fieldPosition="0">
        <references count="1">
          <reference field="4294967294" count="1" selected="0">
            <x v="7"/>
          </reference>
        </references>
      </pivotArea>
    </format>
    <format dxfId="678">
      <pivotArea field="0" dataOnly="0" labelOnly="1" grandRow="1" outline="0" axis="axisRow" fieldPosition="0">
        <references count="1">
          <reference field="4294967294" count="1" selected="0">
            <x v="8"/>
          </reference>
        </references>
      </pivotArea>
    </format>
    <format dxfId="677">
      <pivotArea field="0" dataOnly="0" labelOnly="1" grandRow="1" outline="0" axis="axisRow" fieldPosition="0">
        <references count="1">
          <reference field="4294967294" count="1" selected="0">
            <x v="9"/>
          </reference>
        </references>
      </pivotArea>
    </format>
    <format dxfId="676">
      <pivotArea field="0" dataOnly="0" labelOnly="1" grandRow="1" outline="0" axis="axisRow" fieldPosition="0">
        <references count="1">
          <reference field="4294967294" count="1" selected="0">
            <x v="10"/>
          </reference>
        </references>
      </pivotArea>
    </format>
    <format dxfId="675">
      <pivotArea field="0" dataOnly="0" labelOnly="1" grandRow="1" outline="0" axis="axisRow" fieldPosition="0">
        <references count="1">
          <reference field="4294967294" count="1" selected="0">
            <x v="11"/>
          </reference>
        </references>
      </pivotArea>
    </format>
    <format dxfId="674">
      <pivotArea outline="0" collapsedLevelsAreSubtotals="1" fieldPosition="0">
        <references count="4">
          <reference field="4294967294" count="1" selected="0">
            <x v="2"/>
          </reference>
          <reference field="0" count="1" selected="0">
            <x v="4"/>
          </reference>
          <reference field="4" count="1" selected="0">
            <x v="11"/>
          </reference>
          <reference field="60" count="1" selected="0">
            <x v="3"/>
          </reference>
        </references>
      </pivotArea>
    </format>
    <format dxfId="673">
      <pivotArea outline="0" collapsedLevelsAreSubtotals="1" fieldPosition="0">
        <references count="4">
          <reference field="4294967294" count="1" selected="0">
            <x v="2"/>
          </reference>
          <reference field="0" count="1" selected="0">
            <x v="4"/>
          </reference>
          <reference field="4" count="1" selected="0">
            <x v="12"/>
          </reference>
          <reference field="60" count="1" selected="0">
            <x v="3"/>
          </reference>
        </references>
      </pivotArea>
    </format>
    <format dxfId="672">
      <pivotArea field="0" dataOnly="0" labelOnly="1" grandRow="1" outline="0" axis="axisRow" fieldPosition="0">
        <references count="1">
          <reference field="4294967294" count="1" selected="0">
            <x v="0"/>
          </reference>
        </references>
      </pivotArea>
    </format>
    <format dxfId="671">
      <pivotArea field="0" dataOnly="0" labelOnly="1" grandRow="1" outline="0" axis="axisRow" fieldPosition="0">
        <references count="1">
          <reference field="4294967294" count="1" selected="0">
            <x v="1"/>
          </reference>
        </references>
      </pivotArea>
    </format>
    <format dxfId="670">
      <pivotArea field="0" dataOnly="0" labelOnly="1" grandRow="1" outline="0" axis="axisRow" fieldPosition="0">
        <references count="1">
          <reference field="4294967294" count="1" selected="0">
            <x v="2"/>
          </reference>
        </references>
      </pivotArea>
    </format>
    <format dxfId="669">
      <pivotArea field="0" dataOnly="0" labelOnly="1" grandRow="1" outline="0" axis="axisRow" fieldPosition="0">
        <references count="1">
          <reference field="4294967294" count="1" selected="0">
            <x v="3"/>
          </reference>
        </references>
      </pivotArea>
    </format>
    <format dxfId="668">
      <pivotArea field="0" dataOnly="0" labelOnly="1" grandRow="1" outline="0" axis="axisRow" fieldPosition="0">
        <references count="1">
          <reference field="4294967294" count="1" selected="0">
            <x v="4"/>
          </reference>
        </references>
      </pivotArea>
    </format>
    <format dxfId="667">
      <pivotArea field="0" dataOnly="0" labelOnly="1" grandRow="1" outline="0" axis="axisRow" fieldPosition="0">
        <references count="1">
          <reference field="4294967294" count="1" selected="0">
            <x v="5"/>
          </reference>
        </references>
      </pivotArea>
    </format>
    <format dxfId="666">
      <pivotArea field="0" dataOnly="0" labelOnly="1" grandRow="1" outline="0" axis="axisRow" fieldPosition="0">
        <references count="1">
          <reference field="4294967294" count="1" selected="0">
            <x v="6"/>
          </reference>
        </references>
      </pivotArea>
    </format>
    <format dxfId="665">
      <pivotArea field="0" dataOnly="0" labelOnly="1" grandRow="1" outline="0" axis="axisRow" fieldPosition="0">
        <references count="1">
          <reference field="4294967294" count="1" selected="0">
            <x v="7"/>
          </reference>
        </references>
      </pivotArea>
    </format>
    <format dxfId="664">
      <pivotArea field="0" dataOnly="0" labelOnly="1" grandRow="1" outline="0" axis="axisRow" fieldPosition="0">
        <references count="1">
          <reference field="4294967294" count="1" selected="0">
            <x v="8"/>
          </reference>
        </references>
      </pivotArea>
    </format>
    <format dxfId="663">
      <pivotArea field="0" dataOnly="0" labelOnly="1" grandRow="1" outline="0" axis="axisRow" fieldPosition="0">
        <references count="1">
          <reference field="4294967294" count="1" selected="0">
            <x v="9"/>
          </reference>
        </references>
      </pivotArea>
    </format>
    <format dxfId="662">
      <pivotArea field="0" dataOnly="0" labelOnly="1" grandRow="1" outline="0" axis="axisRow" fieldPosition="0">
        <references count="1">
          <reference field="4294967294" count="1" selected="0">
            <x v="10"/>
          </reference>
        </references>
      </pivotArea>
    </format>
    <format dxfId="661">
      <pivotArea field="0" dataOnly="0" labelOnly="1" grandRow="1" outline="0" axis="axisRow" fieldPosition="0">
        <references count="1">
          <reference field="4294967294" count="1" selected="0">
            <x v="11"/>
          </reference>
        </references>
      </pivotArea>
    </format>
    <format dxfId="660">
      <pivotArea field="0" dataOnly="0" labelOnly="1" grandRow="1" outline="0" offset="IV256" axis="axisRow" fieldPosition="0">
        <references count="1">
          <reference field="4294967294" count="1" selected="0">
            <x v="0"/>
          </reference>
        </references>
      </pivotArea>
    </format>
    <format dxfId="659">
      <pivotArea field="0" dataOnly="0" labelOnly="1" grandRow="1" outline="0" offset="IV256" axis="axisRow" fieldPosition="0">
        <references count="1">
          <reference field="4294967294" count="1" selected="0">
            <x v="1"/>
          </reference>
        </references>
      </pivotArea>
    </format>
    <format dxfId="658">
      <pivotArea field="0" dataOnly="0" labelOnly="1" grandRow="1" outline="0" offset="IV256" axis="axisRow" fieldPosition="0">
        <references count="1">
          <reference field="4294967294" count="1" selected="0">
            <x v="2"/>
          </reference>
        </references>
      </pivotArea>
    </format>
    <format dxfId="657">
      <pivotArea field="0" dataOnly="0" labelOnly="1" grandRow="1" outline="0" offset="IV256" axis="axisRow" fieldPosition="0">
        <references count="1">
          <reference field="4294967294" count="1" selected="0">
            <x v="3"/>
          </reference>
        </references>
      </pivotArea>
    </format>
    <format dxfId="656">
      <pivotArea field="0" dataOnly="0" labelOnly="1" grandRow="1" outline="0" offset="IV256" axis="axisRow" fieldPosition="0">
        <references count="1">
          <reference field="4294967294" count="1" selected="0">
            <x v="4"/>
          </reference>
        </references>
      </pivotArea>
    </format>
    <format dxfId="655">
      <pivotArea field="0" dataOnly="0" labelOnly="1" grandRow="1" outline="0" offset="IV256" axis="axisRow" fieldPosition="0">
        <references count="1">
          <reference field="4294967294" count="1" selected="0">
            <x v="5"/>
          </reference>
        </references>
      </pivotArea>
    </format>
    <format dxfId="654">
      <pivotArea field="0" dataOnly="0" labelOnly="1" grandRow="1" outline="0" offset="IV256" axis="axisRow" fieldPosition="0">
        <references count="1">
          <reference field="4294967294" count="1" selected="0">
            <x v="6"/>
          </reference>
        </references>
      </pivotArea>
    </format>
    <format dxfId="653">
      <pivotArea field="0" dataOnly="0" labelOnly="1" grandRow="1" outline="0" offset="IV256" axis="axisRow" fieldPosition="0">
        <references count="1">
          <reference field="4294967294" count="1" selected="0">
            <x v="7"/>
          </reference>
        </references>
      </pivotArea>
    </format>
    <format dxfId="652">
      <pivotArea field="0" dataOnly="0" labelOnly="1" grandRow="1" outline="0" offset="IV256" axis="axisRow" fieldPosition="0">
        <references count="1">
          <reference field="4294967294" count="1" selected="0">
            <x v="8"/>
          </reference>
        </references>
      </pivotArea>
    </format>
    <format dxfId="651">
      <pivotArea field="0" dataOnly="0" labelOnly="1" grandRow="1" outline="0" offset="IV256" axis="axisRow" fieldPosition="0">
        <references count="1">
          <reference field="4294967294" count="1" selected="0">
            <x v="9"/>
          </reference>
        </references>
      </pivotArea>
    </format>
    <format dxfId="650">
      <pivotArea field="0" dataOnly="0" labelOnly="1" grandRow="1" outline="0" offset="IV256" axis="axisRow" fieldPosition="0">
        <references count="1">
          <reference field="4294967294" count="1" selected="0">
            <x v="10"/>
          </reference>
        </references>
      </pivotArea>
    </format>
    <format dxfId="649">
      <pivotArea field="0" dataOnly="0" labelOnly="1" grandRow="1" outline="0" offset="IV256" axis="axisRow" fieldPosition="0">
        <references count="1">
          <reference field="4294967294" count="1" selected="0">
            <x v="11"/>
          </reference>
        </references>
      </pivotArea>
    </format>
    <format dxfId="648">
      <pivotArea outline="0" collapsedLevelsAreSubtotals="1" fieldPosition="0">
        <references count="1">
          <reference field="60" count="3" selected="0" defaultSubtotal="1">
            <x v="0"/>
            <x v="1"/>
            <x v="3"/>
          </reference>
        </references>
      </pivotArea>
    </format>
    <format dxfId="647">
      <pivotArea type="topRight" dataOnly="0" labelOnly="1" outline="0" offset="N1" fieldPosition="0"/>
    </format>
    <format dxfId="646">
      <pivotArea field="0" grandRow="1" outline="0" collapsedLevelsAreSubtotals="1" axis="axisRow" fieldPosition="0">
        <references count="1">
          <reference field="4294967294" count="1" selected="0">
            <x v="11"/>
          </reference>
        </references>
      </pivotArea>
    </format>
    <format dxfId="645">
      <pivotArea outline="0" collapsedLevelsAreSubtotals="1" fieldPosition="0">
        <references count="2">
          <reference field="4" count="1" selected="0">
            <x v="12"/>
          </reference>
          <reference field="60" count="1" selected="0">
            <x v="3"/>
          </reference>
        </references>
      </pivotArea>
    </format>
    <format dxfId="644">
      <pivotArea outline="0" collapsedLevelsAreSubtotals="1" fieldPosition="0">
        <references count="1">
          <reference field="60" count="1" selected="0" defaultSubtotal="1">
            <x v="3"/>
          </reference>
        </references>
      </pivotArea>
    </format>
    <format dxfId="643">
      <pivotArea outline="0" collapsedLevelsAreSubtotals="1" fieldPosition="0">
        <references count="4">
          <reference field="4294967294" count="1" selected="0">
            <x v="2"/>
          </reference>
          <reference field="0" count="1" selected="0">
            <x v="0"/>
          </reference>
          <reference field="4" count="1" selected="0">
            <x v="0"/>
          </reference>
          <reference field="60" count="1" selected="0">
            <x v="0"/>
          </reference>
        </references>
      </pivotArea>
    </format>
    <format dxfId="642">
      <pivotArea outline="0" collapsedLevelsAreSubtotals="1" fieldPosition="0">
        <references count="4">
          <reference field="4294967294" count="1" selected="0">
            <x v="2"/>
          </reference>
          <reference field="0" count="1" selected="0">
            <x v="0"/>
          </reference>
          <reference field="4" count="1" selected="0">
            <x v="2"/>
          </reference>
          <reference field="60" count="1" selected="0">
            <x v="0"/>
          </reference>
        </references>
      </pivotArea>
    </format>
    <format dxfId="641">
      <pivotArea outline="0" collapsedLevelsAreSubtotals="1" fieldPosition="0">
        <references count="4">
          <reference field="4294967294" count="1" selected="0">
            <x v="8"/>
          </reference>
          <reference field="0" count="1" selected="0">
            <x v="0"/>
          </reference>
          <reference field="4" count="1" selected="0">
            <x v="2"/>
          </reference>
          <reference field="60" count="1" selected="0">
            <x v="0"/>
          </reference>
        </references>
      </pivotArea>
    </format>
    <format dxfId="640">
      <pivotArea outline="0" collapsedLevelsAreSubtotals="1" fieldPosition="0">
        <references count="4">
          <reference field="4294967294" count="1" selected="0">
            <x v="8"/>
          </reference>
          <reference field="0" count="1" selected="0">
            <x v="0"/>
          </reference>
          <reference field="4" count="1" selected="0">
            <x v="0"/>
          </reference>
          <reference field="60" count="1" selected="0">
            <x v="0"/>
          </reference>
        </references>
      </pivotArea>
    </format>
    <format dxfId="639">
      <pivotArea outline="0" collapsedLevelsAreSubtotals="1" fieldPosition="0">
        <references count="4">
          <reference field="4294967294" count="1" selected="0">
            <x v="8"/>
          </reference>
          <reference field="0" count="1" selected="0">
            <x v="1"/>
          </reference>
          <reference field="4" count="1" selected="0">
            <x v="5"/>
          </reference>
          <reference field="60" count="1" selected="0">
            <x v="0"/>
          </reference>
        </references>
      </pivotArea>
    </format>
    <format dxfId="638">
      <pivotArea outline="0" collapsedLevelsAreSubtotals="1" fieldPosition="0">
        <references count="4">
          <reference field="4294967294" count="1" selected="0">
            <x v="2"/>
          </reference>
          <reference field="0" count="1" selected="0">
            <x v="6"/>
          </reference>
          <reference field="4" count="1" selected="0">
            <x v="9"/>
          </reference>
          <reference field="60" count="1" selected="0">
            <x v="1"/>
          </reference>
        </references>
      </pivotArea>
    </format>
    <format dxfId="637">
      <pivotArea outline="0" collapsedLevelsAreSubtotals="1" fieldPosition="0">
        <references count="4">
          <reference field="4294967294" count="1" selected="0">
            <x v="2"/>
          </reference>
          <reference field="0" count="1" selected="0">
            <x v="0"/>
          </reference>
          <reference field="4" count="3" selected="0">
            <x v="7"/>
            <x v="8"/>
            <x v="9"/>
          </reference>
          <reference field="60" count="1" selected="0">
            <x v="1"/>
          </reference>
        </references>
      </pivotArea>
    </format>
    <format dxfId="636">
      <pivotArea outline="0" collapsedLevelsAreSubtotals="1" fieldPosition="0">
        <references count="4">
          <reference field="4294967294" count="1" selected="0">
            <x v="2"/>
          </reference>
          <reference field="0" count="1" selected="0">
            <x v="1"/>
          </reference>
          <reference field="4" count="1" selected="0">
            <x v="0"/>
          </reference>
          <reference field="60" count="1" selected="0">
            <x v="0"/>
          </reference>
        </references>
      </pivotArea>
    </format>
    <format dxfId="635">
      <pivotArea outline="0" collapsedLevelsAreSubtotals="1" fieldPosition="0">
        <references count="4">
          <reference field="4294967294" count="1" selected="0">
            <x v="2"/>
          </reference>
          <reference field="0" count="1" selected="0">
            <x v="10"/>
          </reference>
          <reference field="4" count="1" selected="0">
            <x v="5"/>
          </reference>
          <reference field="60" count="1" selected="0">
            <x v="0"/>
          </reference>
        </references>
      </pivotArea>
    </format>
    <format dxfId="634">
      <pivotArea outline="0" collapsedLevelsAreSubtotals="1" fieldPosition="0">
        <references count="4">
          <reference field="4294967294" count="1" selected="0">
            <x v="2"/>
          </reference>
          <reference field="0" count="1" selected="0">
            <x v="10"/>
          </reference>
          <reference field="4" count="1" selected="0">
            <x v="8"/>
          </reference>
          <reference field="60" count="1" selected="0">
            <x v="1"/>
          </reference>
        </references>
      </pivotArea>
    </format>
    <format dxfId="633">
      <pivotArea outline="0" collapsedLevelsAreSubtotals="1" fieldPosition="0">
        <references count="4">
          <reference field="4294967294" count="1" selected="0">
            <x v="2"/>
          </reference>
          <reference field="0" count="1" selected="0">
            <x v="4"/>
          </reference>
          <reference field="4" count="1" selected="0">
            <x v="11"/>
          </reference>
          <reference field="60" count="1" selected="0">
            <x v="3"/>
          </reference>
        </references>
      </pivotArea>
    </format>
    <format dxfId="632">
      <pivotArea outline="0" collapsedLevelsAreSubtotals="1" fieldPosition="0">
        <references count="4">
          <reference field="4294967294" count="1" selected="0">
            <x v="2"/>
          </reference>
          <reference field="0" count="1" selected="0">
            <x v="0"/>
          </reference>
          <reference field="4" count="2" selected="0">
            <x v="11"/>
            <x v="12"/>
          </reference>
          <reference field="60" count="1" selected="0">
            <x v="3"/>
          </reference>
        </references>
      </pivotArea>
    </format>
    <format dxfId="631">
      <pivotArea outline="0" collapsedLevelsAreSubtotals="1" fieldPosition="0">
        <references count="4">
          <reference field="4294967294" count="1" selected="0">
            <x v="2"/>
          </reference>
          <reference field="0" count="1" selected="0">
            <x v="4"/>
          </reference>
          <reference field="4" count="1" selected="0">
            <x v="5"/>
          </reference>
          <reference field="60" count="1" selected="0">
            <x v="0"/>
          </reference>
        </references>
      </pivotArea>
    </format>
    <format dxfId="630">
      <pivotArea outline="0" collapsedLevelsAreSubtotals="1" fieldPosition="0">
        <references count="4">
          <reference field="4294967294" count="1" selected="0">
            <x v="2"/>
          </reference>
          <reference field="0" count="1" selected="0">
            <x v="4"/>
          </reference>
          <reference field="4" count="3" selected="0">
            <x v="6"/>
            <x v="7"/>
            <x v="8"/>
          </reference>
          <reference field="60" count="1" selected="0">
            <x v="1"/>
          </reference>
        </references>
      </pivotArea>
    </format>
    <format dxfId="629">
      <pivotArea outline="0" collapsedLevelsAreSubtotals="1" fieldPosition="0">
        <references count="4">
          <reference field="4294967294" count="1" selected="0">
            <x v="2"/>
          </reference>
          <reference field="0" count="1" selected="0">
            <x v="5"/>
          </reference>
          <reference field="4" count="2" selected="0">
            <x v="7"/>
            <x v="8"/>
          </reference>
          <reference field="60" count="1" selected="0">
            <x v="1"/>
          </reference>
        </references>
      </pivotArea>
    </format>
    <format dxfId="628">
      <pivotArea outline="0" collapsedLevelsAreSubtotals="1" fieldPosition="0">
        <references count="4">
          <reference field="4294967294" count="1" selected="0">
            <x v="2"/>
          </reference>
          <reference field="0" count="1" selected="0">
            <x v="5"/>
          </reference>
          <reference field="4" count="1" selected="0">
            <x v="9"/>
          </reference>
          <reference field="60" count="1" selected="0">
            <x v="1"/>
          </reference>
        </references>
      </pivotArea>
    </format>
    <format dxfId="627">
      <pivotArea outline="0" collapsedLevelsAreSubtotals="1" fieldPosition="0">
        <references count="4">
          <reference field="4294967294" count="1" selected="0">
            <x v="2"/>
          </reference>
          <reference field="0" count="1" selected="0">
            <x v="5"/>
          </reference>
          <reference field="4" count="1" selected="0">
            <x v="9"/>
          </reference>
          <reference field="60" count="1" selected="0">
            <x v="1"/>
          </reference>
        </references>
      </pivotArea>
    </format>
    <format dxfId="626">
      <pivotArea field="0" grandRow="1" outline="0" collapsedLevelsAreSubtotals="1" axis="axisRow" fieldPosition="0">
        <references count="1">
          <reference field="4294967294" count="12" selected="0">
            <x v="0"/>
            <x v="1"/>
            <x v="2"/>
            <x v="3"/>
            <x v="4"/>
            <x v="5"/>
            <x v="6"/>
            <x v="7"/>
            <x v="8"/>
            <x v="9"/>
            <x v="10"/>
            <x v="11"/>
          </reference>
        </references>
      </pivotArea>
    </format>
    <format dxfId="625">
      <pivotArea field="0" dataOnly="0" labelOnly="1" grandRow="1" outline="0" axis="axisRow" fieldPosition="0">
        <references count="1">
          <reference field="4294967294" count="1" selected="0">
            <x v="0"/>
          </reference>
        </references>
      </pivotArea>
    </format>
    <format dxfId="624">
      <pivotArea field="0" dataOnly="0" labelOnly="1" grandRow="1" outline="0" axis="axisRow" fieldPosition="0">
        <references count="1">
          <reference field="4294967294" count="1" selected="0">
            <x v="1"/>
          </reference>
        </references>
      </pivotArea>
    </format>
    <format dxfId="623">
      <pivotArea field="0" dataOnly="0" labelOnly="1" grandRow="1" outline="0" axis="axisRow" fieldPosition="0">
        <references count="1">
          <reference field="4294967294" count="1" selected="0">
            <x v="2"/>
          </reference>
        </references>
      </pivotArea>
    </format>
    <format dxfId="622">
      <pivotArea field="0" dataOnly="0" labelOnly="1" grandRow="1" outline="0" axis="axisRow" fieldPosition="0">
        <references count="1">
          <reference field="4294967294" count="1" selected="0">
            <x v="3"/>
          </reference>
        </references>
      </pivotArea>
    </format>
    <format dxfId="621">
      <pivotArea field="0" dataOnly="0" labelOnly="1" grandRow="1" outline="0" axis="axisRow" fieldPosition="0">
        <references count="1">
          <reference field="4294967294" count="1" selected="0">
            <x v="4"/>
          </reference>
        </references>
      </pivotArea>
    </format>
    <format dxfId="620">
      <pivotArea field="0" dataOnly="0" labelOnly="1" grandRow="1" outline="0" axis="axisRow" fieldPosition="0">
        <references count="1">
          <reference field="4294967294" count="1" selected="0">
            <x v="5"/>
          </reference>
        </references>
      </pivotArea>
    </format>
    <format dxfId="619">
      <pivotArea field="0" dataOnly="0" labelOnly="1" grandRow="1" outline="0" axis="axisRow" fieldPosition="0">
        <references count="1">
          <reference field="4294967294" count="1" selected="0">
            <x v="6"/>
          </reference>
        </references>
      </pivotArea>
    </format>
    <format dxfId="618">
      <pivotArea field="0" dataOnly="0" labelOnly="1" grandRow="1" outline="0" axis="axisRow" fieldPosition="0">
        <references count="1">
          <reference field="4294967294" count="1" selected="0">
            <x v="7"/>
          </reference>
        </references>
      </pivotArea>
    </format>
    <format dxfId="617">
      <pivotArea field="0" dataOnly="0" labelOnly="1" grandRow="1" outline="0" axis="axisRow" fieldPosition="0">
        <references count="1">
          <reference field="4294967294" count="1" selected="0">
            <x v="8"/>
          </reference>
        </references>
      </pivotArea>
    </format>
    <format dxfId="616">
      <pivotArea field="0" dataOnly="0" labelOnly="1" grandRow="1" outline="0" axis="axisRow" fieldPosition="0">
        <references count="1">
          <reference field="4294967294" count="1" selected="0">
            <x v="9"/>
          </reference>
        </references>
      </pivotArea>
    </format>
    <format dxfId="615">
      <pivotArea field="0" dataOnly="0" labelOnly="1" grandRow="1" outline="0" axis="axisRow" fieldPosition="0">
        <references count="1">
          <reference field="4294967294" count="1" selected="0">
            <x v="10"/>
          </reference>
        </references>
      </pivotArea>
    </format>
    <format dxfId="614">
      <pivotArea field="0" dataOnly="0" labelOnly="1" grandRow="1" outline="0" axis="axisRow" fieldPosition="0">
        <references count="1">
          <reference field="4294967294" count="1" selected="0">
            <x v="11"/>
          </reference>
        </references>
      </pivotArea>
    </format>
    <format dxfId="613">
      <pivotArea outline="0" collapsedLevelsAreSubtotals="1" fieldPosition="0">
        <references count="3">
          <reference field="4294967294" count="12" selected="0">
            <x v="0"/>
            <x v="1"/>
            <x v="2"/>
            <x v="3"/>
            <x v="4"/>
            <x v="5"/>
            <x v="6"/>
            <x v="7"/>
            <x v="8"/>
            <x v="9"/>
            <x v="10"/>
            <x v="11"/>
          </reference>
          <reference field="0" count="1" selected="0">
            <x v="11"/>
          </reference>
          <reference field="60" count="4" selected="0" defaultSubtotal="1">
            <x v="5"/>
            <x v="6"/>
            <x v="7"/>
            <x v="8"/>
          </reference>
        </references>
      </pivotArea>
    </format>
    <format dxfId="612">
      <pivotArea outline="0" collapsedLevelsAreSubtotals="1" fieldPosition="0">
        <references count="3">
          <reference field="4294967294" count="12" selected="0">
            <x v="0"/>
            <x v="1"/>
            <x v="2"/>
            <x v="3"/>
            <x v="4"/>
            <x v="5"/>
            <x v="6"/>
            <x v="7"/>
            <x v="8"/>
            <x v="9"/>
            <x v="10"/>
            <x v="11"/>
          </reference>
          <reference field="0" count="1" selected="0">
            <x v="14"/>
          </reference>
          <reference field="60" count="4" selected="0" defaultSubtotal="1">
            <x v="5"/>
            <x v="6"/>
            <x v="7"/>
            <x v="8"/>
          </reference>
        </references>
      </pivotArea>
    </format>
    <format dxfId="611">
      <pivotArea field="60" grandRow="1" outline="0" collapsedLevelsAreSubtotals="1" axis="axisCol" fieldPosition="0">
        <references count="3">
          <reference field="4294967294" count="1" selected="0">
            <x v="6"/>
          </reference>
          <reference field="4" count="1" selected="0">
            <x v="6"/>
          </reference>
          <reference field="60" count="1" selected="0">
            <x v="1"/>
          </reference>
        </references>
      </pivotArea>
    </format>
    <format dxfId="610">
      <pivotArea field="60" grandRow="1" outline="0" collapsedLevelsAreSubtotals="1" axis="axisCol" fieldPosition="0">
        <references count="3">
          <reference field="4294967294" count="1" selected="0">
            <x v="6"/>
          </reference>
          <reference field="4" count="1" selected="0">
            <x v="6"/>
          </reference>
          <reference field="60" count="1" selected="0">
            <x v="1"/>
          </reference>
        </references>
      </pivotArea>
    </format>
    <format dxfId="609">
      <pivotArea outline="0" collapsedLevelsAreSubtotals="1" fieldPosition="0">
        <references count="1">
          <reference field="60" count="4" selected="0" defaultSubtotal="1">
            <x v="0"/>
            <x v="1"/>
            <x v="2"/>
            <x v="3"/>
          </reference>
        </references>
      </pivotArea>
    </format>
    <format dxfId="608">
      <pivotArea field="60" type="button" dataOnly="0" labelOnly="1" outline="0" axis="axisCol" fieldPosition="0"/>
    </format>
    <format dxfId="607">
      <pivotArea field="4" type="button" dataOnly="0" labelOnly="1" outline="0" axis="axisCol" fieldPosition="1"/>
    </format>
    <format dxfId="606">
      <pivotArea type="topRight" dataOnly="0" labelOnly="1" outline="0" fieldPosition="0"/>
    </format>
    <format dxfId="605">
      <pivotArea dataOnly="0" labelOnly="1" outline="0" fieldPosition="0">
        <references count="1">
          <reference field="60" count="4">
            <x v="0"/>
            <x v="1"/>
            <x v="2"/>
            <x v="3"/>
          </reference>
        </references>
      </pivotArea>
    </format>
    <format dxfId="604">
      <pivotArea dataOnly="0" labelOnly="1" outline="0" fieldPosition="0">
        <references count="1">
          <reference field="60" count="4" defaultSubtotal="1">
            <x v="0"/>
            <x v="1"/>
            <x v="2"/>
            <x v="3"/>
          </reference>
        </references>
      </pivotArea>
    </format>
    <format dxfId="603">
      <pivotArea dataOnly="0" labelOnly="1" outline="0" fieldPosition="0">
        <references count="2">
          <reference field="4" count="6">
            <x v="0"/>
            <x v="1"/>
            <x v="2"/>
            <x v="3"/>
            <x v="4"/>
            <x v="5"/>
          </reference>
          <reference field="60" count="1" selected="0">
            <x v="0"/>
          </reference>
        </references>
      </pivotArea>
    </format>
    <format dxfId="602">
      <pivotArea dataOnly="0" labelOnly="1" outline="0" fieldPosition="0">
        <references count="2">
          <reference field="4" count="4">
            <x v="6"/>
            <x v="7"/>
            <x v="8"/>
            <x v="9"/>
          </reference>
          <reference field="60" count="1" selected="0">
            <x v="1"/>
          </reference>
        </references>
      </pivotArea>
    </format>
    <format dxfId="601">
      <pivotArea dataOnly="0" labelOnly="1" outline="0" fieldPosition="0">
        <references count="2">
          <reference field="4" count="1">
            <x v="10"/>
          </reference>
          <reference field="60" count="1" selected="0">
            <x v="2"/>
          </reference>
        </references>
      </pivotArea>
    </format>
    <format dxfId="600">
      <pivotArea dataOnly="0" labelOnly="1" outline="0" fieldPosition="0">
        <references count="2">
          <reference field="4" count="2">
            <x v="11"/>
            <x v="12"/>
          </reference>
          <reference field="60" count="1" selected="0">
            <x v="3"/>
          </reference>
        </references>
      </pivotArea>
    </format>
    <format dxfId="599">
      <pivotArea outline="0" collapsedLevelsAreSubtotals="1" fieldPosition="0">
        <references count="4">
          <reference field="4294967294" count="1" selected="0">
            <x v="8"/>
          </reference>
          <reference field="0" count="1" selected="0">
            <x v="0"/>
          </reference>
          <reference field="4" count="1" selected="0">
            <x v="4"/>
          </reference>
          <reference field="60" count="1" selected="0">
            <x v="0"/>
          </reference>
        </references>
      </pivotArea>
    </format>
    <format dxfId="598">
      <pivotArea outline="0" collapsedLevelsAreSubtotals="1" fieldPosition="0">
        <references count="4">
          <reference field="4294967294" count="1" selected="0">
            <x v="8"/>
          </reference>
          <reference field="0" count="1" selected="0">
            <x v="1"/>
          </reference>
          <reference field="4" count="1" selected="0">
            <x v="4"/>
          </reference>
          <reference field="60" count="1" selected="0">
            <x v="0"/>
          </reference>
        </references>
      </pivotArea>
    </format>
    <format dxfId="597">
      <pivotArea outline="0" collapsedLevelsAreSubtotals="1" fieldPosition="0">
        <references count="4">
          <reference field="4294967294" count="1" selected="0">
            <x v="8"/>
          </reference>
          <reference field="0" count="1" selected="0">
            <x v="2"/>
          </reference>
          <reference field="4" count="1" selected="0">
            <x v="2"/>
          </reference>
          <reference field="60" count="1" selected="0">
            <x v="0"/>
          </reference>
        </references>
      </pivotArea>
    </format>
    <format dxfId="596">
      <pivotArea outline="0" collapsedLevelsAreSubtotals="1" fieldPosition="0">
        <references count="4">
          <reference field="4294967294" count="1" selected="0">
            <x v="8"/>
          </reference>
          <reference field="0" count="1" selected="0">
            <x v="4"/>
          </reference>
          <reference field="4" count="1" selected="0">
            <x v="3"/>
          </reference>
          <reference field="60" count="1" selected="0">
            <x v="0"/>
          </reference>
        </references>
      </pivotArea>
    </format>
    <format dxfId="595">
      <pivotArea outline="0" collapsedLevelsAreSubtotals="1" fieldPosition="0">
        <references count="4">
          <reference field="4294967294" count="1" selected="0">
            <x v="2"/>
          </reference>
          <reference field="0" count="1" selected="0">
            <x v="4"/>
          </reference>
          <reference field="4" count="1" selected="0">
            <x v="7"/>
          </reference>
          <reference field="60" count="1" selected="0">
            <x v="1"/>
          </reference>
        </references>
      </pivotArea>
    </format>
    <format dxfId="594">
      <pivotArea outline="0" collapsedLevelsAreSubtotals="1" fieldPosition="0">
        <references count="4">
          <reference field="4294967294" count="1" selected="0">
            <x v="2"/>
          </reference>
          <reference field="0" count="1" selected="0">
            <x v="5"/>
          </reference>
          <reference field="4" count="1" selected="0">
            <x v="7"/>
          </reference>
          <reference field="60" count="1" selected="0">
            <x v="1"/>
          </reference>
        </references>
      </pivotArea>
    </format>
    <format dxfId="593">
      <pivotArea outline="0" collapsedLevelsAreSubtotals="1" fieldPosition="0">
        <references count="4">
          <reference field="4294967294" count="1" selected="0">
            <x v="2"/>
          </reference>
          <reference field="0" count="1" selected="0">
            <x v="6"/>
          </reference>
          <reference field="4" count="1" selected="0">
            <x v="8"/>
          </reference>
          <reference field="60" count="1" selected="0">
            <x v="1"/>
          </reference>
        </references>
      </pivotArea>
    </format>
    <format dxfId="592">
      <pivotArea outline="0" collapsedLevelsAreSubtotals="1" fieldPosition="0">
        <references count="4">
          <reference field="4294967294" count="1" selected="0">
            <x v="2"/>
          </reference>
          <reference field="0" count="1" selected="0">
            <x v="6"/>
          </reference>
          <reference field="4" count="1" selected="0">
            <x v="11"/>
          </reference>
          <reference field="60" count="1" selected="0">
            <x v="3"/>
          </reference>
        </references>
      </pivotArea>
    </format>
    <format dxfId="591">
      <pivotArea outline="0" collapsedLevelsAreSubtotals="1" fieldPosition="0">
        <references count="4">
          <reference field="4294967294" count="1" selected="0">
            <x v="5"/>
          </reference>
          <reference field="0" count="1" selected="0">
            <x v="6"/>
          </reference>
          <reference field="4" count="1" selected="0">
            <x v="11"/>
          </reference>
          <reference field="60" count="1" selected="0">
            <x v="3"/>
          </reference>
        </references>
      </pivotArea>
    </format>
    <format dxfId="590">
      <pivotArea outline="0" collapsedLevelsAreSubtotals="1" fieldPosition="0">
        <references count="4">
          <reference field="4294967294" count="1" selected="0">
            <x v="2"/>
          </reference>
          <reference field="0" count="1" selected="0">
            <x v="7"/>
          </reference>
          <reference field="4" count="1" selected="0">
            <x v="5"/>
          </reference>
          <reference field="60" count="1" selected="0">
            <x v="0"/>
          </reference>
        </references>
      </pivotArea>
    </format>
    <format dxfId="589">
      <pivotArea outline="0" collapsedLevelsAreSubtotals="1" fieldPosition="0">
        <references count="4">
          <reference field="4294967294" count="1" selected="0">
            <x v="2"/>
          </reference>
          <reference field="0" count="1" selected="0">
            <x v="7"/>
          </reference>
          <reference field="4" count="1" selected="0">
            <x v="7"/>
          </reference>
          <reference field="60" count="1" selected="0">
            <x v="1"/>
          </reference>
        </references>
      </pivotArea>
    </format>
    <format dxfId="588">
      <pivotArea outline="0" collapsedLevelsAreSubtotals="1" fieldPosition="0">
        <references count="4">
          <reference field="4294967294" count="1" selected="0">
            <x v="8"/>
          </reference>
          <reference field="0" count="1" selected="0">
            <x v="7"/>
          </reference>
          <reference field="4" count="1" selected="0">
            <x v="5"/>
          </reference>
          <reference field="60" count="1" selected="0">
            <x v="0"/>
          </reference>
        </references>
      </pivotArea>
    </format>
    <format dxfId="587">
      <pivotArea outline="0" collapsedLevelsAreSubtotals="1" fieldPosition="0">
        <references count="4">
          <reference field="4294967294" count="1" selected="0">
            <x v="2"/>
          </reference>
          <reference field="0" count="1" selected="0">
            <x v="8"/>
          </reference>
          <reference field="4" count="1" selected="0">
            <x v="9"/>
          </reference>
          <reference field="60" count="1" selected="0">
            <x v="1"/>
          </reference>
        </references>
      </pivotArea>
    </format>
    <format dxfId="586">
      <pivotArea outline="0" collapsedLevelsAreSubtotals="1" fieldPosition="0">
        <references count="4">
          <reference field="4294967294" count="1" selected="0">
            <x v="8"/>
          </reference>
          <reference field="0" count="1" selected="0">
            <x v="9"/>
          </reference>
          <reference field="4" count="1" selected="0">
            <x v="3"/>
          </reference>
          <reference field="60" count="1" selected="0">
            <x v="0"/>
          </reference>
        </references>
      </pivotArea>
    </format>
    <format dxfId="585">
      <pivotArea outline="0" collapsedLevelsAreSubtotals="1" fieldPosition="0">
        <references count="4">
          <reference field="4294967294" count="1" selected="0">
            <x v="8"/>
          </reference>
          <reference field="0" count="1" selected="0">
            <x v="9"/>
          </reference>
          <reference field="4" count="1" selected="0">
            <x v="5"/>
          </reference>
          <reference field="60" count="1" selected="0">
            <x v="0"/>
          </reference>
        </references>
      </pivotArea>
    </format>
    <format dxfId="584">
      <pivotArea outline="0" collapsedLevelsAreSubtotals="1" fieldPosition="0">
        <references count="4">
          <reference field="4294967294" count="1" selected="0">
            <x v="2"/>
          </reference>
          <reference field="0" count="1" selected="0">
            <x v="10"/>
          </reference>
          <reference field="4" count="1" selected="0">
            <x v="9"/>
          </reference>
          <reference field="60" count="1" selected="0">
            <x v="1"/>
          </reference>
        </references>
      </pivotArea>
    </format>
    <format dxfId="583">
      <pivotArea outline="0" collapsedLevelsAreSubtotals="1" fieldPosition="0">
        <references count="4">
          <reference field="4294967294" count="1" selected="0">
            <x v="8"/>
          </reference>
          <reference field="0" count="1" selected="0">
            <x v="10"/>
          </reference>
          <reference field="4" count="1" selected="0">
            <x v="0"/>
          </reference>
          <reference field="60" count="1" selected="0">
            <x v="0"/>
          </reference>
        </references>
      </pivotArea>
    </format>
    <format dxfId="582">
      <pivotArea outline="0" collapsedLevelsAreSubtotals="1" fieldPosition="0">
        <references count="4">
          <reference field="4294967294" count="1" selected="0">
            <x v="8"/>
          </reference>
          <reference field="0" count="1" selected="0">
            <x v="10"/>
          </reference>
          <reference field="4" count="1" selected="0">
            <x v="2"/>
          </reference>
          <reference field="60" count="1" selected="0">
            <x v="0"/>
          </reference>
        </references>
      </pivotArea>
    </format>
    <format dxfId="581">
      <pivotArea outline="0" collapsedLevelsAreSubtotals="1" fieldPosition="0">
        <references count="4">
          <reference field="4294967294" count="1" selected="0">
            <x v="8"/>
          </reference>
          <reference field="0" count="1" selected="0">
            <x v="10"/>
          </reference>
          <reference field="4" count="1" selected="0">
            <x v="4"/>
          </reference>
          <reference field="60" count="1" selected="0">
            <x v="0"/>
          </reference>
        </references>
      </pivotArea>
    </format>
    <format dxfId="580">
      <pivotArea outline="0" collapsedLevelsAreSubtotals="1" fieldPosition="0">
        <references count="4">
          <reference field="4294967294" count="1" selected="0">
            <x v="5"/>
          </reference>
          <reference field="0" count="1" selected="0">
            <x v="13"/>
          </reference>
          <reference field="4" count="1" selected="0">
            <x v="6"/>
          </reference>
          <reference field="60" count="1" selected="0">
            <x v="1"/>
          </reference>
        </references>
      </pivotArea>
    </format>
    <format dxfId="579">
      <pivotArea outline="0" collapsedLevelsAreSubtotals="1" fieldPosition="0">
        <references count="4">
          <reference field="4294967294" count="1" selected="0">
            <x v="8"/>
          </reference>
          <reference field="0" count="1" selected="0">
            <x v="13"/>
          </reference>
          <reference field="4" count="1" selected="0">
            <x v="4"/>
          </reference>
          <reference field="60" count="1" selected="0">
            <x v="0"/>
          </reference>
        </references>
      </pivotArea>
    </format>
    <format dxfId="578">
      <pivotArea outline="0" collapsedLevelsAreSubtotals="1" fieldPosition="0">
        <references count="4">
          <reference field="4294967294" count="1" selected="0">
            <x v="8"/>
          </reference>
          <reference field="0" count="1" selected="0">
            <x v="15"/>
          </reference>
          <reference field="4" count="1" selected="0">
            <x v="5"/>
          </reference>
          <reference field="60" count="1" selected="0">
            <x v="0"/>
          </reference>
        </references>
      </pivotArea>
    </format>
    <format dxfId="577">
      <pivotArea outline="0" collapsedLevelsAreSubtotals="1" fieldPosition="0">
        <references count="4">
          <reference field="4294967294" count="1" selected="0">
            <x v="3"/>
          </reference>
          <reference field="0" count="1" selected="0">
            <x v="6"/>
          </reference>
          <reference field="4" count="1" selected="0">
            <x v="8"/>
          </reference>
          <reference field="60" count="1" selected="0">
            <x v="1"/>
          </reference>
        </references>
      </pivotArea>
    </format>
    <format dxfId="576">
      <pivotArea outline="0" collapsedLevelsAreSubtotals="1" fieldPosition="0">
        <references count="3">
          <reference field="4294967294" count="1" selected="0">
            <x v="3"/>
          </reference>
          <reference field="0" count="1" selected="0">
            <x v="6"/>
          </reference>
          <reference field="60" count="1" selected="0" defaultSubtotal="1">
            <x v="1"/>
          </reference>
        </references>
      </pivotArea>
    </format>
    <format dxfId="575">
      <pivotArea outline="0" collapsedLevelsAreSubtotals="1" fieldPosition="0">
        <references count="4">
          <reference field="4294967294" count="1" selected="0">
            <x v="2"/>
          </reference>
          <reference field="0" count="1" selected="0">
            <x v="0"/>
          </reference>
          <reference field="4" count="2" selected="0">
            <x v="7"/>
            <x v="8"/>
          </reference>
          <reference field="60" count="1" selected="0">
            <x v="1"/>
          </reference>
        </references>
      </pivotArea>
    </format>
    <format dxfId="574">
      <pivotArea outline="0" collapsedLevelsAreSubtotals="1" fieldPosition="0">
        <references count="4">
          <reference field="4294967294" count="1" selected="0">
            <x v="2"/>
          </reference>
          <reference field="0" count="1" selected="0">
            <x v="1"/>
          </reference>
          <reference field="4" count="1" selected="0">
            <x v="8"/>
          </reference>
          <reference field="60" count="1" selected="0">
            <x v="1"/>
          </reference>
        </references>
      </pivotArea>
    </format>
    <format dxfId="573">
      <pivotArea outline="0" collapsedLevelsAreSubtotals="1" fieldPosition="0">
        <references count="4">
          <reference field="4294967294" count="1" selected="0">
            <x v="8"/>
          </reference>
          <reference field="0" count="1" selected="0">
            <x v="3"/>
          </reference>
          <reference field="4" count="1" selected="0">
            <x v="3"/>
          </reference>
          <reference field="60" count="1" selected="0">
            <x v="0"/>
          </reference>
        </references>
      </pivotArea>
    </format>
    <format dxfId="572">
      <pivotArea outline="0" collapsedLevelsAreSubtotals="1" fieldPosition="0">
        <references count="4">
          <reference field="4294967294" count="1" selected="0">
            <x v="5"/>
          </reference>
          <reference field="0" count="1" selected="0">
            <x v="3"/>
          </reference>
          <reference field="4" count="1" selected="0">
            <x v="8"/>
          </reference>
          <reference field="60" count="1" selected="0">
            <x v="1"/>
          </reference>
        </references>
      </pivotArea>
    </format>
    <format dxfId="571">
      <pivotArea outline="0" collapsedLevelsAreSubtotals="1" fieldPosition="0">
        <references count="4">
          <reference field="4294967294" count="1" selected="0">
            <x v="3"/>
          </reference>
          <reference field="0" count="1" selected="0">
            <x v="6"/>
          </reference>
          <reference field="4" count="1" selected="0">
            <x v="8"/>
          </reference>
          <reference field="60" count="1" selected="0">
            <x v="1"/>
          </reference>
        </references>
      </pivotArea>
    </format>
    <format dxfId="570">
      <pivotArea outline="0" collapsedLevelsAreSubtotals="1" fieldPosition="0">
        <references count="3">
          <reference field="4294967294" count="1" selected="0">
            <x v="3"/>
          </reference>
          <reference field="0" count="1" selected="0">
            <x v="6"/>
          </reference>
          <reference field="60" count="1" selected="0" defaultSubtotal="1">
            <x v="1"/>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Data" updatedVersion="4" minRefreshableVersion="3" asteriskTotals="1" showMemberPropertyTips="0" useAutoFormatting="1" colGrandTotals="0" itemPrintTitles="1" createdVersion="3" indent="0" compact="0" compactData="0" gridDropZones="1">
  <location ref="A3:AA124" firstHeaderRow="1" firstDataRow="3" firstDataCol="2"/>
  <pivotFields count="47">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20">
        <item x="0"/>
        <item x="1"/>
        <item x="2"/>
        <item x="3"/>
        <item x="4"/>
        <item x="5"/>
        <item x="11"/>
        <item x="6"/>
        <item x="7"/>
        <item x="8"/>
        <item x="12"/>
        <item x="9"/>
        <item x="10"/>
        <item m="1" x="17"/>
        <item m="1" x="18"/>
        <item x="13"/>
        <item x="14"/>
        <item x="15"/>
        <item x="1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10">
        <item n="Four-Year" x="2"/>
        <item n="Two-Year" x="3"/>
        <item x="1"/>
        <item n="Technical" x="4"/>
        <item x="0"/>
        <item x="5"/>
        <item x="6"/>
        <item x="7"/>
        <item x="8"/>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43"/>
    <field x="4"/>
  </colFields>
  <colItems count="25">
    <i>
      <x/>
      <x/>
    </i>
    <i r="1">
      <x v="1"/>
    </i>
    <i r="1">
      <x v="2"/>
    </i>
    <i r="1">
      <x v="3"/>
    </i>
    <i r="1">
      <x v="4"/>
    </i>
    <i r="1">
      <x v="5"/>
    </i>
    <i t="default">
      <x/>
    </i>
    <i>
      <x v="1"/>
      <x v="6"/>
    </i>
    <i r="1">
      <x v="7"/>
    </i>
    <i r="1">
      <x v="8"/>
    </i>
    <i r="1">
      <x v="9"/>
    </i>
    <i t="default">
      <x v="1"/>
    </i>
    <i>
      <x v="2"/>
      <x v="10"/>
    </i>
    <i t="default">
      <x v="2"/>
    </i>
    <i>
      <x v="3"/>
      <x v="11"/>
    </i>
    <i r="1">
      <x v="12"/>
    </i>
    <i t="default">
      <x v="3"/>
    </i>
    <i>
      <x v="5"/>
      <x v="15"/>
    </i>
    <i t="default">
      <x v="5"/>
    </i>
    <i>
      <x v="6"/>
      <x v="16"/>
    </i>
    <i t="default">
      <x v="6"/>
    </i>
    <i>
      <x v="7"/>
      <x v="17"/>
    </i>
    <i t="default">
      <x v="7"/>
    </i>
    <i>
      <x v="8"/>
      <x v="18"/>
    </i>
    <i t="default">
      <x v="8"/>
    </i>
  </colItems>
  <dataFields count="7">
    <dataField name="Sum of Old-Total UGH" fld="44" baseField="0" baseItem="0" numFmtId="3"/>
    <dataField name="Sum of Old-Total HSH" fld="45" baseField="0" baseItem="0" numFmtId="3"/>
    <dataField name="Sum of Old-HS % of Total" fld="42" baseField="0" baseItem="0" numFmtId="3"/>
    <dataField name="Sum of New-Total UGH" fld="40" baseField="0" baseItem="0" numFmtId="3"/>
    <dataField name="Sum of New-Total HSH" fld="39" baseField="0" baseItem="0" numFmtId="3"/>
    <dataField name="Sum of New-HS % of Total" fld="41" baseField="0" baseItem="0" numFmtId="3"/>
    <dataField name=" HS Percentage-point Change" fld="46" baseField="0" baseItem="0" numFmtId="3"/>
  </dataFields>
  <formats count="106">
    <format dxfId="569">
      <pivotArea dataOnly="0" labelOnly="1" outline="0" fieldPosition="0">
        <references count="1">
          <reference field="0" count="1">
            <x v="4"/>
          </reference>
        </references>
      </pivotArea>
    </format>
    <format dxfId="568">
      <pivotArea type="all" dataOnly="0" outline="0" fieldPosition="0"/>
    </format>
    <format dxfId="567">
      <pivotArea dataOnly="0" labelOnly="1" outline="0" fieldPosition="0">
        <references count="2">
          <reference field="4294967294" count="1">
            <x v="0"/>
          </reference>
          <reference field="0" count="1" selected="0">
            <x v="4"/>
          </reference>
        </references>
      </pivotArea>
    </format>
    <format dxfId="566">
      <pivotArea dataOnly="0" labelOnly="1" outline="0" fieldPosition="0">
        <references count="2">
          <reference field="4294967294" count="1">
            <x v="2"/>
          </reference>
          <reference field="0" count="1" selected="0">
            <x v="4"/>
          </reference>
        </references>
      </pivotArea>
    </format>
    <format dxfId="565">
      <pivotArea dataOnly="0" labelOnly="1" outline="0" fieldPosition="0">
        <references count="2">
          <reference field="4294967294" count="1">
            <x v="5"/>
          </reference>
          <reference field="0" count="1" selected="0">
            <x v="4"/>
          </reference>
        </references>
      </pivotArea>
    </format>
    <format dxfId="564">
      <pivotArea field="0" grandRow="1" outline="0" collapsedLevelsAreSubtotals="1" axis="axisRow" fieldPosition="0">
        <references count="1">
          <reference field="4294967294" count="1" selected="0">
            <x v="2"/>
          </reference>
        </references>
      </pivotArea>
    </format>
    <format dxfId="563">
      <pivotArea field="0" grandRow="1" outline="0" collapsedLevelsAreSubtotals="1" axis="axisRow" fieldPosition="0">
        <references count="1">
          <reference field="4294967294" count="1" selected="0">
            <x v="2"/>
          </reference>
        </references>
      </pivotArea>
    </format>
    <format dxfId="562">
      <pivotArea field="43" grandRow="1" outline="0" collapsedLevelsAreSubtotals="1" axis="axisCol" fieldPosition="0">
        <references count="3">
          <reference field="4294967294" count="1" selected="0">
            <x v="5"/>
          </reference>
          <reference field="4" count="1" selected="0">
            <x v="3"/>
          </reference>
          <reference field="43" count="1" selected="0">
            <x v="0"/>
          </reference>
        </references>
      </pivotArea>
    </format>
    <format dxfId="561">
      <pivotArea outline="0" collapsedLevelsAreSubtotals="1" fieldPosition="0">
        <references count="4">
          <reference field="4294967294" count="1" selected="0">
            <x v="2"/>
          </reference>
          <reference field="0" count="1" selected="0">
            <x v="4"/>
          </reference>
          <reference field="4" count="1" selected="0">
            <x v="3"/>
          </reference>
          <reference field="43" count="1" selected="0">
            <x v="0"/>
          </reference>
        </references>
      </pivotArea>
    </format>
    <format dxfId="560">
      <pivotArea field="0" dataOnly="0" labelOnly="1" grandRow="1" outline="0" axis="axisRow" fieldPosition="0">
        <references count="1">
          <reference field="4294967294" count="1" selected="0">
            <x v="0"/>
          </reference>
        </references>
      </pivotArea>
    </format>
    <format dxfId="559">
      <pivotArea field="0" dataOnly="0" labelOnly="1" grandRow="1" outline="0" axis="axisRow" fieldPosition="0">
        <references count="1">
          <reference field="4294967294" count="1" selected="0">
            <x v="1"/>
          </reference>
        </references>
      </pivotArea>
    </format>
    <format dxfId="558">
      <pivotArea field="0" dataOnly="0" labelOnly="1" grandRow="1" outline="0" axis="axisRow" fieldPosition="0">
        <references count="1">
          <reference field="4294967294" count="1" selected="0">
            <x v="2"/>
          </reference>
        </references>
      </pivotArea>
    </format>
    <format dxfId="557">
      <pivotArea field="0" dataOnly="0" labelOnly="1" grandRow="1" outline="0" axis="axisRow" fieldPosition="0">
        <references count="1">
          <reference field="4294967294" count="1" selected="0">
            <x v="3"/>
          </reference>
        </references>
      </pivotArea>
    </format>
    <format dxfId="556">
      <pivotArea field="0" dataOnly="0" labelOnly="1" grandRow="1" outline="0" axis="axisRow" fieldPosition="0">
        <references count="1">
          <reference field="4294967294" count="1" selected="0">
            <x v="4"/>
          </reference>
        </references>
      </pivotArea>
    </format>
    <format dxfId="555">
      <pivotArea field="0" dataOnly="0" labelOnly="1" grandRow="1" outline="0" axis="axisRow" fieldPosition="0">
        <references count="1">
          <reference field="4294967294" count="1" selected="0">
            <x v="5"/>
          </reference>
        </references>
      </pivotArea>
    </format>
    <format dxfId="554">
      <pivotArea field="0" dataOnly="0" labelOnly="1" grandRow="1" outline="0" axis="axisRow" fieldPosition="0">
        <references count="1">
          <reference field="4294967294" count="1" selected="0">
            <x v="6"/>
          </reference>
        </references>
      </pivotArea>
    </format>
    <format dxfId="553">
      <pivotArea field="43" grandRow="1" outline="0" collapsedLevelsAreSubtotals="1" axis="axisCol" fieldPosition="0">
        <references count="3">
          <reference field="4294967294" count="1" selected="0">
            <x v="6"/>
          </reference>
          <reference field="4" count="1" selected="0">
            <x v="0"/>
          </reference>
          <reference field="43" count="1" selected="0">
            <x v="0"/>
          </reference>
        </references>
      </pivotArea>
    </format>
    <format dxfId="552">
      <pivotArea field="43" grandRow="1" outline="0" collapsedLevelsAreSubtotals="1" axis="axisCol" fieldPosition="0">
        <references count="3">
          <reference field="4294967294" count="1" selected="0">
            <x v="6"/>
          </reference>
          <reference field="4" count="5" selected="0">
            <x v="1"/>
            <x v="2"/>
            <x v="3"/>
            <x v="4"/>
            <x v="5"/>
          </reference>
          <reference field="43" count="1" selected="0">
            <x v="0"/>
          </reference>
        </references>
      </pivotArea>
    </format>
    <format dxfId="551">
      <pivotArea field="43" grandRow="1" outline="0" collapsedLevelsAreSubtotals="1" axis="axisCol" fieldPosition="0">
        <references count="2">
          <reference field="4294967294" count="1" selected="0">
            <x v="6"/>
          </reference>
          <reference field="43" count="1" selected="0" defaultSubtotal="1">
            <x v="0"/>
          </reference>
        </references>
      </pivotArea>
    </format>
    <format dxfId="550">
      <pivotArea field="43" grandRow="1" outline="0" collapsedLevelsAreSubtotals="1" axis="axisCol" fieldPosition="0">
        <references count="2">
          <reference field="4294967294" count="1" selected="0">
            <x v="6"/>
          </reference>
          <reference field="43" count="3" selected="0" defaultSubtotal="1">
            <x v="1"/>
            <x v="3"/>
            <x v="4"/>
          </reference>
        </references>
      </pivotArea>
    </format>
    <format dxfId="549">
      <pivotArea field="0" dataOnly="0" labelOnly="1" grandRow="1" outline="0" axis="axisRow" fieldPosition="0">
        <references count="1">
          <reference field="4294967294" count="1" selected="0">
            <x v="0"/>
          </reference>
        </references>
      </pivotArea>
    </format>
    <format dxfId="548">
      <pivotArea field="0" dataOnly="0" labelOnly="1" grandRow="1" outline="0" axis="axisRow" fieldPosition="0">
        <references count="1">
          <reference field="4294967294" count="1" selected="0">
            <x v="1"/>
          </reference>
        </references>
      </pivotArea>
    </format>
    <format dxfId="547">
      <pivotArea field="0" dataOnly="0" labelOnly="1" grandRow="1" outline="0" axis="axisRow" fieldPosition="0">
        <references count="1">
          <reference field="4294967294" count="1" selected="0">
            <x v="2"/>
          </reference>
        </references>
      </pivotArea>
    </format>
    <format dxfId="546">
      <pivotArea field="0" dataOnly="0" labelOnly="1" grandRow="1" outline="0" axis="axisRow" fieldPosition="0">
        <references count="1">
          <reference field="4294967294" count="1" selected="0">
            <x v="3"/>
          </reference>
        </references>
      </pivotArea>
    </format>
    <format dxfId="545">
      <pivotArea field="0" dataOnly="0" labelOnly="1" grandRow="1" outline="0" axis="axisRow" fieldPosition="0">
        <references count="1">
          <reference field="4294967294" count="1" selected="0">
            <x v="4"/>
          </reference>
        </references>
      </pivotArea>
    </format>
    <format dxfId="544">
      <pivotArea field="0" dataOnly="0" labelOnly="1" grandRow="1" outline="0" axis="axisRow" fieldPosition="0">
        <references count="1">
          <reference field="4294967294" count="1" selected="0">
            <x v="5"/>
          </reference>
        </references>
      </pivotArea>
    </format>
    <format dxfId="543">
      <pivotArea field="0" dataOnly="0" labelOnly="1" grandRow="1" outline="0" axis="axisRow" fieldPosition="0">
        <references count="1">
          <reference field="4294967294" count="1" selected="0">
            <x v="6"/>
          </reference>
        </references>
      </pivotArea>
    </format>
    <format dxfId="542">
      <pivotArea field="43" grandRow="1" outline="0" collapsedLevelsAreSubtotals="1" axis="axisCol" fieldPosition="0">
        <references count="3">
          <reference field="4294967294" count="1" selected="0">
            <x v="6"/>
          </reference>
          <reference field="4" count="2" selected="0">
            <x v="12"/>
            <x v="13"/>
          </reference>
          <reference field="43" count="1" selected="0">
            <x v="3"/>
          </reference>
        </references>
      </pivotArea>
    </format>
    <format dxfId="541">
      <pivotArea field="43" grandRow="1" outline="0" collapsedLevelsAreSubtotals="1" axis="axisCol" fieldPosition="0">
        <references count="2">
          <reference field="4294967294" count="1" selected="0">
            <x v="6"/>
          </reference>
          <reference field="43" count="1" selected="0" defaultSubtotal="1">
            <x v="3"/>
          </reference>
        </references>
      </pivotArea>
    </format>
    <format dxfId="540">
      <pivotArea field="43" grandRow="1" outline="0" collapsedLevelsAreSubtotals="1" axis="axisCol" fieldPosition="0">
        <references count="2">
          <reference field="4294967294" count="1" selected="0">
            <x v="6"/>
          </reference>
          <reference field="43" count="1" selected="0" defaultSubtotal="1">
            <x v="4"/>
          </reference>
        </references>
      </pivotArea>
    </format>
    <format dxfId="539">
      <pivotArea field="43" grandRow="1" outline="0" collapsedLevelsAreSubtotals="1" axis="axisCol" fieldPosition="0">
        <references count="2">
          <reference field="4294967294" count="1" selected="0">
            <x v="6"/>
          </reference>
          <reference field="43" count="2" selected="0" defaultSubtotal="1">
            <x v="0"/>
            <x v="1"/>
          </reference>
        </references>
      </pivotArea>
    </format>
    <format dxfId="538">
      <pivotArea field="43" grandRow="1" outline="0" collapsedLevelsAreSubtotals="1" axis="axisCol" fieldPosition="0">
        <references count="3">
          <reference field="4294967294" count="1" selected="0">
            <x v="6"/>
          </reference>
          <reference field="4" count="1" selected="0">
            <x v="11"/>
          </reference>
          <reference field="43" count="1" selected="0">
            <x v="3"/>
          </reference>
        </references>
      </pivotArea>
    </format>
    <format dxfId="537">
      <pivotArea outline="0" collapsedLevelsAreSubtotals="1" fieldPosition="0">
        <references count="1">
          <reference field="43" count="3" selected="0" defaultSubtotal="1">
            <x v="0"/>
            <x v="1"/>
            <x v="3"/>
          </reference>
        </references>
      </pivotArea>
    </format>
    <format dxfId="536">
      <pivotArea field="0" grandRow="1" outline="0" collapsedLevelsAreSubtotals="1" axis="axisRow" fieldPosition="0">
        <references count="1">
          <reference field="4294967294" count="1" selected="0">
            <x v="6"/>
          </reference>
        </references>
      </pivotArea>
    </format>
    <format dxfId="535">
      <pivotArea field="0" dataOnly="0" labelOnly="1" grandRow="1" outline="0" offset="IV256" axis="axisRow" fieldPosition="0">
        <references count="1">
          <reference field="4294967294" count="1" selected="0">
            <x v="0"/>
          </reference>
        </references>
      </pivotArea>
    </format>
    <format dxfId="534">
      <pivotArea field="0" dataOnly="0" labelOnly="1" grandRow="1" outline="0" offset="IV256" axis="axisRow" fieldPosition="0">
        <references count="1">
          <reference field="4294967294" count="1" selected="0">
            <x v="1"/>
          </reference>
        </references>
      </pivotArea>
    </format>
    <format dxfId="533">
      <pivotArea field="0" dataOnly="0" labelOnly="1" grandRow="1" outline="0" offset="IV256" axis="axisRow" fieldPosition="0">
        <references count="1">
          <reference field="4294967294" count="1" selected="0">
            <x v="2"/>
          </reference>
        </references>
      </pivotArea>
    </format>
    <format dxfId="532">
      <pivotArea field="0" dataOnly="0" labelOnly="1" grandRow="1" outline="0" offset="IV256" axis="axisRow" fieldPosition="0">
        <references count="1">
          <reference field="4294967294" count="1" selected="0">
            <x v="3"/>
          </reference>
        </references>
      </pivotArea>
    </format>
    <format dxfId="531">
      <pivotArea field="0" dataOnly="0" labelOnly="1" grandRow="1" outline="0" offset="IV256" axis="axisRow" fieldPosition="0">
        <references count="1">
          <reference field="4294967294" count="1" selected="0">
            <x v="4"/>
          </reference>
        </references>
      </pivotArea>
    </format>
    <format dxfId="530">
      <pivotArea field="0" dataOnly="0" labelOnly="1" grandRow="1" outline="0" offset="IV256" axis="axisRow" fieldPosition="0">
        <references count="1">
          <reference field="4294967294" count="1" selected="0">
            <x v="5"/>
          </reference>
        </references>
      </pivotArea>
    </format>
    <format dxfId="529">
      <pivotArea field="0" dataOnly="0" labelOnly="1" grandRow="1" outline="0" offset="IV256" axis="axisRow" fieldPosition="0">
        <references count="1">
          <reference field="4294967294" count="1" selected="0">
            <x v="6"/>
          </reference>
        </references>
      </pivotArea>
    </format>
    <format dxfId="528">
      <pivotArea outline="0" collapsedLevelsAreSubtotals="1" fieldPosition="0">
        <references count="3">
          <reference field="4294967294" count="1" selected="0">
            <x v="2"/>
          </reference>
          <reference field="0" count="1" selected="0">
            <x v="4"/>
          </reference>
          <reference field="43" count="3" selected="0" defaultSubtotal="1">
            <x v="0"/>
            <x v="1"/>
            <x v="2"/>
          </reference>
        </references>
      </pivotArea>
    </format>
    <format dxfId="527">
      <pivotArea outline="0" collapsedLevelsAreSubtotals="1" fieldPosition="0">
        <references count="4">
          <reference field="4294967294" count="1" selected="0">
            <x v="2"/>
          </reference>
          <reference field="0" count="1" selected="0">
            <x v="4"/>
          </reference>
          <reference field="4" count="1" selected="0">
            <x v="11"/>
          </reference>
          <reference field="43" count="1" selected="0">
            <x v="3"/>
          </reference>
        </references>
      </pivotArea>
    </format>
    <format dxfId="526">
      <pivotArea outline="0" collapsedLevelsAreSubtotals="1" fieldPosition="0">
        <references count="3">
          <reference field="4294967294" count="2" selected="0">
            <x v="5"/>
            <x v="6"/>
          </reference>
          <reference field="0" count="1" selected="0">
            <x v="4"/>
          </reference>
          <reference field="43" count="3" selected="0" defaultSubtotal="1">
            <x v="0"/>
            <x v="1"/>
            <x v="2"/>
          </reference>
        </references>
      </pivotArea>
    </format>
    <format dxfId="525">
      <pivotArea outline="0" collapsedLevelsAreSubtotals="1" fieldPosition="0">
        <references count="4">
          <reference field="4294967294" count="2" selected="0">
            <x v="5"/>
            <x v="6"/>
          </reference>
          <reference field="0" count="1" selected="0">
            <x v="4"/>
          </reference>
          <reference field="4" count="1" selected="0">
            <x v="11"/>
          </reference>
          <reference field="43" count="1" selected="0">
            <x v="3"/>
          </reference>
        </references>
      </pivotArea>
    </format>
    <format dxfId="524">
      <pivotArea outline="0" collapsedLevelsAreSubtotals="1" fieldPosition="0">
        <references count="2">
          <reference field="4" count="1" selected="0">
            <x v="12"/>
          </reference>
          <reference field="43" count="1" selected="0">
            <x v="3"/>
          </reference>
        </references>
      </pivotArea>
    </format>
    <format dxfId="523">
      <pivotArea outline="0" collapsedLevelsAreSubtotals="1" fieldPosition="0">
        <references count="1">
          <reference field="43" count="1" selected="0" defaultSubtotal="1">
            <x v="3"/>
          </reference>
        </references>
      </pivotArea>
    </format>
    <format dxfId="522">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521">
      <pivotArea outline="0" collapsedLevelsAreSubtotals="1" fieldPosition="0">
        <references count="4">
          <reference field="4294967294" count="1" selected="0">
            <x v="6"/>
          </reference>
          <reference field="0" count="1" selected="0">
            <x v="4"/>
          </reference>
          <reference field="4" count="2" selected="0">
            <x v="6"/>
            <x v="7"/>
          </reference>
          <reference field="43" count="1" selected="0">
            <x v="1"/>
          </reference>
        </references>
      </pivotArea>
    </format>
    <format dxfId="520">
      <pivotArea outline="0" collapsedLevelsAreSubtotals="1" fieldPosition="0">
        <references count="4">
          <reference field="4294967294" count="1" selected="0">
            <x v="6"/>
          </reference>
          <reference field="0" count="1" selected="0">
            <x v="5"/>
          </reference>
          <reference field="4" count="1" selected="0">
            <x v="11"/>
          </reference>
          <reference field="43" count="1" selected="0">
            <x v="3"/>
          </reference>
        </references>
      </pivotArea>
    </format>
    <format dxfId="519">
      <pivotArea outline="0" collapsedLevelsAreSubtotals="1" fieldPosition="0">
        <references count="4">
          <reference field="4294967294" count="1" selected="0">
            <x v="6"/>
          </reference>
          <reference field="0" count="1" selected="0">
            <x v="5"/>
          </reference>
          <reference field="4" count="2" selected="0">
            <x v="8"/>
            <x v="9"/>
          </reference>
          <reference field="43" count="1" selected="0">
            <x v="1"/>
          </reference>
        </references>
      </pivotArea>
    </format>
    <format dxfId="518">
      <pivotArea outline="0" collapsedLevelsAreSubtotals="1" fieldPosition="0">
        <references count="4">
          <reference field="4294967294" count="1" selected="0">
            <x v="6"/>
          </reference>
          <reference field="0" count="1" selected="0">
            <x v="10"/>
          </reference>
          <reference field="4" count="1" selected="0">
            <x v="8"/>
          </reference>
          <reference field="43" count="1" selected="0">
            <x v="1"/>
          </reference>
        </references>
      </pivotArea>
    </format>
    <format dxfId="517">
      <pivotArea outline="0" collapsedLevelsAreSubtotals="1" fieldPosition="0">
        <references count="4">
          <reference field="4294967294" count="1" selected="0">
            <x v="6"/>
          </reference>
          <reference field="0" count="1" selected="0">
            <x v="3"/>
          </reference>
          <reference field="4" count="1" selected="0">
            <x v="8"/>
          </reference>
          <reference field="43" count="1" selected="0">
            <x v="1"/>
          </reference>
        </references>
      </pivotArea>
    </format>
    <format dxfId="516">
      <pivotArea outline="0" collapsedLevelsAreSubtotals="1" fieldPosition="0">
        <references count="4">
          <reference field="4294967294" count="1" selected="0">
            <x v="6"/>
          </reference>
          <reference field="0" count="1" selected="0">
            <x v="13"/>
          </reference>
          <reference field="4" count="1" selected="0">
            <x v="10"/>
          </reference>
          <reference field="43" count="1" selected="0">
            <x v="2"/>
          </reference>
        </references>
      </pivotArea>
    </format>
    <format dxfId="515">
      <pivotArea outline="0" collapsedLevelsAreSubtotals="1" fieldPosition="0">
        <references count="4">
          <reference field="4294967294" count="1" selected="0">
            <x v="6"/>
          </reference>
          <reference field="0" count="1" selected="0">
            <x v="14"/>
          </reference>
          <reference field="4" count="1" selected="0">
            <x v="10"/>
          </reference>
          <reference field="43" count="1" selected="0">
            <x v="2"/>
          </reference>
        </references>
      </pivotArea>
    </format>
    <format dxfId="514">
      <pivotArea field="0" dataOnly="0" labelOnly="1" grandRow="1" outline="0" offset="A256" axis="axisRow" fieldPosition="0">
        <references count="1">
          <reference field="4294967294" count="1" selected="0">
            <x v="0"/>
          </reference>
        </references>
      </pivotArea>
    </format>
    <format dxfId="513">
      <pivotArea field="0" dataOnly="0" labelOnly="1" grandRow="1" outline="0" offset="A256" axis="axisRow" fieldPosition="0">
        <references count="1">
          <reference field="4294967294" count="1" selected="0">
            <x v="1"/>
          </reference>
        </references>
      </pivotArea>
    </format>
    <format dxfId="512">
      <pivotArea field="0" dataOnly="0" labelOnly="1" grandRow="1" outline="0" offset="A256" axis="axisRow" fieldPosition="0">
        <references count="1">
          <reference field="4294967294" count="1" selected="0">
            <x v="2"/>
          </reference>
        </references>
      </pivotArea>
    </format>
    <format dxfId="511">
      <pivotArea field="0" dataOnly="0" labelOnly="1" grandRow="1" outline="0" offset="A256" axis="axisRow" fieldPosition="0">
        <references count="1">
          <reference field="4294967294" count="1" selected="0">
            <x v="3"/>
          </reference>
        </references>
      </pivotArea>
    </format>
    <format dxfId="510">
      <pivotArea field="0" dataOnly="0" labelOnly="1" grandRow="1" outline="0" offset="A256" axis="axisRow" fieldPosition="0">
        <references count="1">
          <reference field="4294967294" count="1" selected="0">
            <x v="4"/>
          </reference>
        </references>
      </pivotArea>
    </format>
    <format dxfId="509">
      <pivotArea field="0" dataOnly="0" labelOnly="1" grandRow="1" outline="0" offset="A256" axis="axisRow" fieldPosition="0">
        <references count="1">
          <reference field="4294967294" count="1" selected="0">
            <x v="5"/>
          </reference>
        </references>
      </pivotArea>
    </format>
    <format dxfId="508">
      <pivotArea field="0" dataOnly="0" labelOnly="1" grandRow="1" outline="0" offset="A256" axis="axisRow" fieldPosition="0">
        <references count="1">
          <reference field="4294967294" count="1" selected="0">
            <x v="6"/>
          </reference>
        </references>
      </pivotArea>
    </format>
    <format dxfId="507">
      <pivotArea field="43" grandRow="1" outline="0" collapsedLevelsAreSubtotals="1" axis="axisCol" fieldPosition="0">
        <references count="2">
          <reference field="4294967294" count="7" selected="0">
            <x v="0"/>
            <x v="1"/>
            <x v="2"/>
            <x v="3"/>
            <x v="4"/>
            <x v="5"/>
            <x v="6"/>
          </reference>
          <reference field="43" count="4" selected="0" defaultSubtotal="1">
            <x v="0"/>
            <x v="1"/>
            <x v="2"/>
            <x v="3"/>
          </reference>
        </references>
      </pivotArea>
    </format>
    <format dxfId="506">
      <pivotArea field="0" dataOnly="0" labelOnly="1" grandRow="1" outline="0" axis="axisRow" fieldPosition="0">
        <references count="1">
          <reference field="4294967294" count="1" selected="0">
            <x v="0"/>
          </reference>
        </references>
      </pivotArea>
    </format>
    <format dxfId="505">
      <pivotArea field="0" dataOnly="0" labelOnly="1" grandRow="1" outline="0" axis="axisRow" fieldPosition="0">
        <references count="1">
          <reference field="4294967294" count="1" selected="0">
            <x v="1"/>
          </reference>
        </references>
      </pivotArea>
    </format>
    <format dxfId="504">
      <pivotArea field="0" dataOnly="0" labelOnly="1" grandRow="1" outline="0" axis="axisRow" fieldPosition="0">
        <references count="1">
          <reference field="4294967294" count="1" selected="0">
            <x v="2"/>
          </reference>
        </references>
      </pivotArea>
    </format>
    <format dxfId="503">
      <pivotArea field="0" dataOnly="0" labelOnly="1" grandRow="1" outline="0" axis="axisRow" fieldPosition="0">
        <references count="1">
          <reference field="4294967294" count="1" selected="0">
            <x v="3"/>
          </reference>
        </references>
      </pivotArea>
    </format>
    <format dxfId="502">
      <pivotArea field="0" dataOnly="0" labelOnly="1" grandRow="1" outline="0" axis="axisRow" fieldPosition="0">
        <references count="1">
          <reference field="4294967294" count="1" selected="0">
            <x v="4"/>
          </reference>
        </references>
      </pivotArea>
    </format>
    <format dxfId="501">
      <pivotArea field="0" dataOnly="0" labelOnly="1" grandRow="1" outline="0" axis="axisRow" fieldPosition="0">
        <references count="1">
          <reference field="4294967294" count="1" selected="0">
            <x v="5"/>
          </reference>
        </references>
      </pivotArea>
    </format>
    <format dxfId="500">
      <pivotArea field="0" dataOnly="0" labelOnly="1" grandRow="1" outline="0" axis="axisRow" fieldPosition="0">
        <references count="1">
          <reference field="4294967294" count="1" selected="0">
            <x v="6"/>
          </reference>
        </references>
      </pivotArea>
    </format>
    <format dxfId="499">
      <pivotArea outline="0" collapsedLevelsAreSubtotals="1" fieldPosition="0">
        <references count="3">
          <reference field="4294967294" count="7" selected="0">
            <x v="0"/>
            <x v="1"/>
            <x v="2"/>
            <x v="3"/>
            <x v="4"/>
            <x v="5"/>
            <x v="6"/>
          </reference>
          <reference field="0" count="1" selected="0">
            <x v="12"/>
          </reference>
          <reference field="43" count="4" selected="0" defaultSubtotal="1">
            <x v="5"/>
            <x v="6"/>
            <x v="7"/>
            <x v="8"/>
          </reference>
        </references>
      </pivotArea>
    </format>
    <format dxfId="498">
      <pivotArea outline="0" collapsedLevelsAreSubtotals="1" fieldPosition="0">
        <references count="4">
          <reference field="4294967294" count="1" selected="0">
            <x v="6"/>
          </reference>
          <reference field="0" count="1" selected="0">
            <x v="6"/>
          </reference>
          <reference field="4" count="4" selected="0">
            <x v="2"/>
            <x v="3"/>
            <x v="4"/>
            <x v="5"/>
          </reference>
          <reference field="43" count="1" selected="0">
            <x v="0"/>
          </reference>
        </references>
      </pivotArea>
    </format>
    <format dxfId="497">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496">
      <pivotArea outline="0" collapsedLevelsAreSubtotals="1" fieldPosition="0">
        <references count="4">
          <reference field="4294967294" count="1" selected="0">
            <x v="5"/>
          </reference>
          <reference field="0" count="1" selected="0">
            <x v="1"/>
          </reference>
          <reference field="4" count="1" selected="0">
            <x v="0"/>
          </reference>
          <reference field="43" count="1" selected="0">
            <x v="0"/>
          </reference>
        </references>
      </pivotArea>
    </format>
    <format dxfId="495">
      <pivotArea outline="0" collapsedLevelsAreSubtotals="1" fieldPosition="0">
        <references count="4">
          <reference field="4294967294" count="1" selected="0">
            <x v="5"/>
          </reference>
          <reference field="0" count="1" selected="0">
            <x v="9"/>
          </reference>
          <reference field="4" count="1" selected="0">
            <x v="0"/>
          </reference>
          <reference field="43" count="1" selected="0">
            <x v="0"/>
          </reference>
        </references>
      </pivotArea>
    </format>
    <format dxfId="494">
      <pivotArea outline="0" collapsedLevelsAreSubtotals="1" fieldPosition="0">
        <references count="4">
          <reference field="4294967294" count="1" selected="0">
            <x v="5"/>
          </reference>
          <reference field="0" count="1" selected="0">
            <x v="13"/>
          </reference>
          <reference field="4" count="1" selected="0">
            <x v="0"/>
          </reference>
          <reference field="43" count="1" selected="0">
            <x v="0"/>
          </reference>
        </references>
      </pivotArea>
    </format>
    <format dxfId="493">
      <pivotArea outline="0" collapsedLevelsAreSubtotals="1" fieldPosition="0">
        <references count="4">
          <reference field="4294967294" count="1" selected="0">
            <x v="5"/>
          </reference>
          <reference field="0" count="1" selected="0">
            <x v="14"/>
          </reference>
          <reference field="4" count="1" selected="0">
            <x v="3"/>
          </reference>
          <reference field="43" count="1" selected="0">
            <x v="0"/>
          </reference>
        </references>
      </pivotArea>
    </format>
    <format dxfId="492">
      <pivotArea outline="0" collapsedLevelsAreSubtotals="1" fieldPosition="0">
        <references count="4">
          <reference field="4294967294" count="1" selected="0">
            <x v="5"/>
          </reference>
          <reference field="0" count="1" selected="0">
            <x v="14"/>
          </reference>
          <reference field="4" count="1" selected="0">
            <x v="4"/>
          </reference>
          <reference field="43" count="1" selected="0">
            <x v="0"/>
          </reference>
        </references>
      </pivotArea>
    </format>
    <format dxfId="491">
      <pivotArea outline="0" collapsedLevelsAreSubtotals="1" fieldPosition="0">
        <references count="4">
          <reference field="4294967294" count="1" selected="0">
            <x v="5"/>
          </reference>
          <reference field="0" count="1" selected="0">
            <x v="14"/>
          </reference>
          <reference field="4" count="1" selected="0">
            <x v="5"/>
          </reference>
          <reference field="43" count="1" selected="0">
            <x v="0"/>
          </reference>
        </references>
      </pivotArea>
    </format>
    <format dxfId="490">
      <pivotArea outline="0" collapsedLevelsAreSubtotals="1" fieldPosition="0">
        <references count="4">
          <reference field="4294967294" count="1" selected="0">
            <x v="5"/>
          </reference>
          <reference field="0" count="1" selected="0">
            <x v="15"/>
          </reference>
          <reference field="4" count="1" selected="0">
            <x v="4"/>
          </reference>
          <reference field="43" count="1" selected="0">
            <x v="0"/>
          </reference>
        </references>
      </pivotArea>
    </format>
    <format dxfId="489">
      <pivotArea outline="0" collapsedLevelsAreSubtotals="1" fieldPosition="0">
        <references count="4">
          <reference field="4294967294" count="1" selected="0">
            <x v="2"/>
          </reference>
          <reference field="0" count="1" selected="0">
            <x v="15"/>
          </reference>
          <reference field="4" count="1" selected="0">
            <x v="4"/>
          </reference>
          <reference field="43" count="1" selected="0">
            <x v="0"/>
          </reference>
        </references>
      </pivotArea>
    </format>
    <format dxfId="488">
      <pivotArea outline="0" collapsedLevelsAreSubtotals="1" fieldPosition="0">
        <references count="3">
          <reference field="4294967294" count="7" selected="0">
            <x v="0"/>
            <x v="1"/>
            <x v="2"/>
            <x v="3"/>
            <x v="4"/>
            <x v="5"/>
            <x v="6"/>
          </reference>
          <reference field="0" count="0" selected="0"/>
          <reference field="43" count="4" selected="0" defaultSubtotal="1">
            <x v="0"/>
            <x v="1"/>
            <x v="2"/>
            <x v="3"/>
          </reference>
        </references>
      </pivotArea>
    </format>
    <format dxfId="487">
      <pivotArea field="43" type="button" dataOnly="0" labelOnly="1" outline="0" axis="axisCol" fieldPosition="0"/>
    </format>
    <format dxfId="486">
      <pivotArea field="4" type="button" dataOnly="0" labelOnly="1" outline="0" axis="axisCol" fieldPosition="1"/>
    </format>
    <format dxfId="485">
      <pivotArea type="topRight" dataOnly="0" labelOnly="1" outline="0" fieldPosition="0"/>
    </format>
    <format dxfId="484">
      <pivotArea dataOnly="0" labelOnly="1" outline="0" fieldPosition="0">
        <references count="1">
          <reference field="43" count="4">
            <x v="0"/>
            <x v="1"/>
            <x v="2"/>
            <x v="3"/>
          </reference>
        </references>
      </pivotArea>
    </format>
    <format dxfId="483">
      <pivotArea dataOnly="0" labelOnly="1" outline="0" fieldPosition="0">
        <references count="1">
          <reference field="43" count="4" defaultSubtotal="1">
            <x v="0"/>
            <x v="1"/>
            <x v="2"/>
            <x v="3"/>
          </reference>
        </references>
      </pivotArea>
    </format>
    <format dxfId="482">
      <pivotArea dataOnly="0" labelOnly="1" outline="0" fieldPosition="0">
        <references count="2">
          <reference field="4" count="6">
            <x v="0"/>
            <x v="1"/>
            <x v="2"/>
            <x v="3"/>
            <x v="4"/>
            <x v="5"/>
          </reference>
          <reference field="43" count="1" selected="0">
            <x v="0"/>
          </reference>
        </references>
      </pivotArea>
    </format>
    <format dxfId="481">
      <pivotArea dataOnly="0" labelOnly="1" outline="0" fieldPosition="0">
        <references count="2">
          <reference field="4" count="4">
            <x v="6"/>
            <x v="7"/>
            <x v="8"/>
            <x v="9"/>
          </reference>
          <reference field="43" count="1" selected="0">
            <x v="1"/>
          </reference>
        </references>
      </pivotArea>
    </format>
    <format dxfId="480">
      <pivotArea dataOnly="0" labelOnly="1" outline="0" fieldPosition="0">
        <references count="2">
          <reference field="4" count="1">
            <x v="10"/>
          </reference>
          <reference field="43" count="1" selected="0">
            <x v="2"/>
          </reference>
        </references>
      </pivotArea>
    </format>
    <format dxfId="479">
      <pivotArea dataOnly="0" labelOnly="1" outline="0" fieldPosition="0">
        <references count="2">
          <reference field="4" count="2">
            <x v="11"/>
            <x v="12"/>
          </reference>
          <reference field="43" count="1" selected="0">
            <x v="3"/>
          </reference>
        </references>
      </pivotArea>
    </format>
    <format dxfId="478">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477">
      <pivotArea outline="0" collapsedLevelsAreSubtotals="1" fieldPosition="0">
        <references count="4">
          <reference field="4294967294" count="1" selected="0">
            <x v="6"/>
          </reference>
          <reference field="0" count="1" selected="0">
            <x v="1"/>
          </reference>
          <reference field="4" count="1" selected="0">
            <x v="5"/>
          </reference>
          <reference field="43" count="1" selected="0">
            <x v="0"/>
          </reference>
        </references>
      </pivotArea>
    </format>
    <format dxfId="476">
      <pivotArea outline="0" collapsedLevelsAreSubtotals="1" fieldPosition="0">
        <references count="4">
          <reference field="4294967294" count="1" selected="0">
            <x v="6"/>
          </reference>
          <reference field="0" count="1" selected="0">
            <x v="1"/>
          </reference>
          <reference field="4" count="1" selected="0">
            <x v="9"/>
          </reference>
          <reference field="43" count="1" selected="0">
            <x v="1"/>
          </reference>
        </references>
      </pivotArea>
    </format>
    <format dxfId="475">
      <pivotArea outline="0" collapsedLevelsAreSubtotals="1" fieldPosition="0">
        <references count="4">
          <reference field="4294967294" count="1" selected="0">
            <x v="6"/>
          </reference>
          <reference field="0" count="1" selected="0">
            <x v="1"/>
          </reference>
          <reference field="4" count="1" selected="0">
            <x v="8"/>
          </reference>
          <reference field="43" count="1" selected="0">
            <x v="1"/>
          </reference>
        </references>
      </pivotArea>
    </format>
    <format dxfId="474">
      <pivotArea outline="0" collapsedLevelsAreSubtotals="1" fieldPosition="0">
        <references count="4">
          <reference field="4294967294" count="1" selected="0">
            <x v="6"/>
          </reference>
          <reference field="0" count="1" selected="0">
            <x v="1"/>
          </reference>
          <reference field="4" count="1" selected="0">
            <x v="7"/>
          </reference>
          <reference field="43" count="1" selected="0">
            <x v="1"/>
          </reference>
        </references>
      </pivotArea>
    </format>
    <format dxfId="473">
      <pivotArea outline="0" collapsedLevelsAreSubtotals="1" fieldPosition="0">
        <references count="4">
          <reference field="4294967294" count="1" selected="0">
            <x v="6"/>
          </reference>
          <reference field="0" count="1" selected="0">
            <x v="6"/>
          </reference>
          <reference field="4" count="2" selected="0">
            <x v="8"/>
            <x v="9"/>
          </reference>
          <reference field="43" count="1" selected="0">
            <x v="1"/>
          </reference>
        </references>
      </pivotArea>
    </format>
    <format dxfId="472">
      <pivotArea outline="0" collapsedLevelsAreSubtotals="1" fieldPosition="0">
        <references count="4">
          <reference field="4294967294" count="1" selected="0">
            <x v="6"/>
          </reference>
          <reference field="0" count="1" selected="0">
            <x v="6"/>
          </reference>
          <reference field="4" count="1" selected="0">
            <x v="2"/>
          </reference>
          <reference field="43" count="1" selected="0">
            <x v="0"/>
          </reference>
        </references>
      </pivotArea>
    </format>
    <format dxfId="471">
      <pivotArea outline="0" collapsedLevelsAreSubtotals="1" fieldPosition="0">
        <references count="4">
          <reference field="4294967294" count="1" selected="0">
            <x v="6"/>
          </reference>
          <reference field="0" count="1" selected="0">
            <x v="9"/>
          </reference>
          <reference field="4" count="1" selected="0">
            <x v="9"/>
          </reference>
          <reference field="43" count="1" selected="0">
            <x v="1"/>
          </reference>
        </references>
      </pivotArea>
    </format>
    <format dxfId="470">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469">
      <pivotArea outline="0" collapsedLevelsAreSubtotals="1" fieldPosition="0">
        <references count="4">
          <reference field="4294967294" count="1" selected="0">
            <x v="6"/>
          </reference>
          <reference field="0" count="1" selected="0">
            <x v="11"/>
          </reference>
          <reference field="4" count="1" selected="0">
            <x v="9"/>
          </reference>
          <reference field="43" count="1" selected="0">
            <x v="1"/>
          </reference>
        </references>
      </pivotArea>
    </format>
    <format dxfId="468">
      <pivotArea outline="0" collapsedLevelsAreSubtotals="1" fieldPosition="0">
        <references count="4">
          <reference field="4294967294" count="1" selected="0">
            <x v="6"/>
          </reference>
          <reference field="0" count="1" selected="0">
            <x v="11"/>
          </reference>
          <reference field="4" count="1" selected="0">
            <x v="8"/>
          </reference>
          <reference field="43" count="1" selected="0">
            <x v="1"/>
          </reference>
        </references>
      </pivotArea>
    </format>
    <format dxfId="467">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466">
      <pivotArea outline="0" collapsedLevelsAreSubtotals="1" fieldPosition="0">
        <references count="4">
          <reference field="4294967294" count="1" selected="0">
            <x v="6"/>
          </reference>
          <reference field="0" count="1" selected="0">
            <x v="13"/>
          </reference>
          <reference field="4" count="1" selected="0">
            <x v="6"/>
          </reference>
          <reference field="43" count="1" selected="0">
            <x v="1"/>
          </reference>
        </references>
      </pivotArea>
    </format>
    <format dxfId="465">
      <pivotArea outline="0" collapsedLevelsAreSubtotals="1" fieldPosition="0">
        <references count="4">
          <reference field="4294967294" count="1" selected="0">
            <x v="6"/>
          </reference>
          <reference field="0" count="1" selected="0">
            <x v="13"/>
          </reference>
          <reference field="4" count="1" selected="0">
            <x v="9"/>
          </reference>
          <reference field="43" count="1" selected="0">
            <x v="1"/>
          </reference>
        </references>
      </pivotArea>
    </format>
    <format dxfId="464">
      <pivotArea outline="0" collapsedLevelsAreSubtotals="1" fieldPosition="0">
        <references count="4">
          <reference field="4294967294" count="1" selected="0">
            <x v="6"/>
          </reference>
          <reference field="0" count="1" selected="0">
            <x v="14"/>
          </reference>
          <reference field="4" count="2" selected="0">
            <x v="8"/>
            <x v="9"/>
          </reference>
          <reference field="43" count="1" selected="0">
            <x v="1"/>
          </reference>
        </references>
      </pivotArea>
    </format>
  </formats>
  <pivotTableStyleInfo showRowHeaders="1" showColHeaders="1" showRowStripes="0" showColStripes="0" showLastColumn="1"/>
</pivotTableDefinition>
</file>

<file path=xl/queryTables/queryTable1.xml><?xml version="1.0" encoding="utf-8"?>
<queryTable xmlns="http://schemas.openxmlformats.org/spreadsheetml/2006/main" name="CH13ug2_1" connectionId="6" autoFormatId="16" applyNumberFormats="0" applyBorderFormats="0" applyFontFormats="0" applyPatternFormats="0" applyAlignmentFormats="0" applyWidthHeightFormats="0"/>
</file>

<file path=xl/queryTables/queryTable10.xml><?xml version="1.0" encoding="utf-8"?>
<queryTable xmlns="http://schemas.openxmlformats.org/spreadsheetml/2006/main" name="Dual07_3" connectionId="9"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CH13ug2" connectionId="12"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Dual13" connectionId="11" autoFormatId="16" applyNumberFormats="0" applyBorderFormats="0" applyFontFormats="0" applyPatternFormats="0" applyAlignmentFormats="0" applyWidthHeightFormats="0"/>
</file>

<file path=xl/queryTables/queryTable4.xml><?xml version="1.0" encoding="utf-8"?>
<queryTable xmlns="http://schemas.openxmlformats.org/spreadsheetml/2006/main" name="SCH13ug4" connectionId="14" autoFormatId="16" applyNumberFormats="0" applyBorderFormats="0" applyFontFormats="0" applyPatternFormats="0" applyAlignmentFormats="0" applyWidthHeightFormats="0"/>
</file>

<file path=xl/queryTables/queryTable5.xml><?xml version="1.0" encoding="utf-8"?>
<queryTable xmlns="http://schemas.openxmlformats.org/spreadsheetml/2006/main" name="CH13ug4" connectionId="8" autoFormatId="16" applyNumberFormats="0" applyBorderFormats="0" applyFontFormats="0" applyPatternFormats="0" applyAlignmentFormats="0" applyWidthHeightFormats="0"/>
</file>

<file path=xl/queryTables/queryTable6.xml><?xml version="1.0" encoding="utf-8"?>
<queryTable xmlns="http://schemas.openxmlformats.org/spreadsheetml/2006/main" name="CH13ug3" connectionId="7" autoFormatId="16" applyNumberFormats="0" applyBorderFormats="0" applyFontFormats="0" applyPatternFormats="0" applyAlignmentFormats="0" applyWidthHeightFormats="0"/>
</file>

<file path=xl/queryTables/queryTable7.xml><?xml version="1.0" encoding="utf-8"?>
<queryTable xmlns="http://schemas.openxmlformats.org/spreadsheetml/2006/main" name="CH13ug1_1" connectionId="5" autoFormatId="16" applyNumberFormats="0" applyBorderFormats="0" applyFontFormats="0" applyPatternFormats="0" applyAlignmentFormats="0" applyWidthHeightFormats="0"/>
</file>

<file path=xl/queryTables/queryTable8.xml><?xml version="1.0" encoding="utf-8"?>
<queryTable xmlns="http://schemas.openxmlformats.org/spreadsheetml/2006/main" name="Dual07_1"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SCH13ug3" connectionId="13"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8" Type="http://schemas.openxmlformats.org/officeDocument/2006/relationships/queryTable" Target="../queryTables/queryTable6.xml"/><Relationship Id="rId13" Type="http://schemas.openxmlformats.org/officeDocument/2006/relationships/comments" Target="../comments3.xml"/><Relationship Id="rId3" Type="http://schemas.openxmlformats.org/officeDocument/2006/relationships/queryTable" Target="../queryTables/queryTable1.xml"/><Relationship Id="rId7" Type="http://schemas.openxmlformats.org/officeDocument/2006/relationships/queryTable" Target="../queryTables/queryTable5.xml"/><Relationship Id="rId12" Type="http://schemas.openxmlformats.org/officeDocument/2006/relationships/queryTable" Target="../queryTables/queryTable10.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6" Type="http://schemas.openxmlformats.org/officeDocument/2006/relationships/queryTable" Target="../queryTables/queryTable4.xml"/><Relationship Id="rId11" Type="http://schemas.openxmlformats.org/officeDocument/2006/relationships/queryTable" Target="../queryTables/queryTable9.xml"/><Relationship Id="rId5" Type="http://schemas.openxmlformats.org/officeDocument/2006/relationships/queryTable" Target="../queryTables/queryTable3.xml"/><Relationship Id="rId10" Type="http://schemas.openxmlformats.org/officeDocument/2006/relationships/queryTable" Target="../queryTables/queryTable8.xml"/><Relationship Id="rId4" Type="http://schemas.openxmlformats.org/officeDocument/2006/relationships/queryTable" Target="../queryTables/queryTable2.xml"/><Relationship Id="rId9" Type="http://schemas.openxmlformats.org/officeDocument/2006/relationships/queryTable" Target="../queryTables/query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16"/>
  </sheetPr>
  <dimension ref="A1:CJ266"/>
  <sheetViews>
    <sheetView showZeros="0" tabSelected="1" view="pageBreakPreview" topLeftCell="AN1" zoomScaleNormal="80" zoomScaleSheetLayoutView="100" workbookViewId="0">
      <selection activeCell="AT28" sqref="AT28"/>
    </sheetView>
  </sheetViews>
  <sheetFormatPr defaultRowHeight="12.75"/>
  <cols>
    <col min="1" max="1" width="16.83203125" style="1" customWidth="1"/>
    <col min="2" max="2" width="12.1640625" style="1" customWidth="1"/>
    <col min="3" max="3" width="12" style="1" customWidth="1"/>
    <col min="4" max="4" width="12.1640625" style="1" customWidth="1"/>
    <col min="5" max="5" width="11.6640625" style="1" customWidth="1"/>
    <col min="6" max="6" width="12.83203125" style="1" customWidth="1"/>
    <col min="7" max="7" width="11.6640625" style="1" customWidth="1"/>
    <col min="8" max="8" width="11.83203125" style="4" customWidth="1"/>
    <col min="9" max="9" width="11.6640625" style="1" customWidth="1"/>
    <col min="10" max="10" width="11.1640625" style="4" customWidth="1"/>
    <col min="11" max="11" width="11.6640625" style="4" customWidth="1"/>
    <col min="12" max="12" width="9" style="4" customWidth="1"/>
    <col min="13" max="13" width="9.6640625" style="73" customWidth="1"/>
    <col min="14" max="14" width="12.1640625" style="1" bestFit="1" customWidth="1"/>
    <col min="15" max="15" width="9.6640625" style="1" customWidth="1"/>
    <col min="16" max="16" width="12" style="1" customWidth="1"/>
    <col min="17" max="17" width="12.33203125" style="1" customWidth="1"/>
    <col min="18" max="18" width="14.6640625" style="1" customWidth="1"/>
    <col min="19" max="19" width="15.6640625" style="1" customWidth="1"/>
    <col min="20" max="20" width="13.6640625" style="1" customWidth="1"/>
    <col min="21" max="21" width="13.83203125" style="1" customWidth="1"/>
    <col min="22" max="22" width="12.33203125" style="1" customWidth="1"/>
    <col min="23" max="23" width="12.83203125" style="1" customWidth="1"/>
    <col min="24" max="24" width="11.33203125" style="1" customWidth="1"/>
    <col min="25" max="26" width="13.33203125" style="1" customWidth="1"/>
    <col min="27" max="27" width="12.1640625" style="1" customWidth="1"/>
    <col min="28" max="28" width="12.5" style="1" customWidth="1"/>
    <col min="29" max="29" width="16.33203125" style="1" customWidth="1"/>
    <col min="30" max="30" width="9.83203125" style="1" customWidth="1"/>
    <col min="31" max="31" width="11.5" style="1" customWidth="1"/>
    <col min="32" max="32" width="10.83203125" style="1" customWidth="1"/>
    <col min="33" max="33" width="10" style="1" customWidth="1"/>
    <col min="34" max="34" width="11.1640625" style="1" customWidth="1"/>
    <col min="35" max="35" width="13.1640625" style="1" customWidth="1"/>
    <col min="36" max="36" width="13.5" style="1" customWidth="1"/>
    <col min="37" max="37" width="9.5" style="1" customWidth="1"/>
    <col min="38" max="38" width="12.5" style="1" customWidth="1"/>
    <col min="39" max="39" width="10" style="1" customWidth="1"/>
    <col min="40" max="40" width="11.5" style="1" customWidth="1"/>
    <col min="41" max="41" width="13.5" style="1" customWidth="1"/>
    <col min="42" max="42" width="12" style="1" customWidth="1"/>
    <col min="43" max="43" width="13" style="1" customWidth="1"/>
    <col min="44" max="44" width="17.5" style="1" customWidth="1"/>
    <col min="45" max="45" width="9.5" style="1" bestFit="1" customWidth="1"/>
    <col min="46" max="46" width="11" style="1" customWidth="1"/>
    <col min="47" max="48" width="9.33203125" style="1"/>
    <col min="49" max="49" width="11.1640625" style="1" customWidth="1"/>
    <col min="50" max="50" width="9.33203125" style="1"/>
    <col min="51" max="52" width="15.1640625" style="1" customWidth="1"/>
    <col min="53" max="56" width="9.33203125" style="1"/>
    <col min="57" max="57" width="12.33203125" style="1" customWidth="1"/>
    <col min="58" max="16384" width="9.33203125" style="1"/>
  </cols>
  <sheetData>
    <row r="1" spans="1:50" ht="18">
      <c r="A1" s="41" t="s">
        <v>163</v>
      </c>
      <c r="B1" s="20"/>
      <c r="C1" s="20"/>
      <c r="D1" s="20"/>
      <c r="E1" s="20"/>
      <c r="F1" s="20"/>
      <c r="G1" s="20"/>
      <c r="H1" s="104"/>
      <c r="I1" s="20"/>
      <c r="J1" s="104"/>
      <c r="K1" s="104"/>
      <c r="L1" s="104"/>
      <c r="M1" s="225"/>
      <c r="N1" s="17"/>
      <c r="O1" s="22"/>
    </row>
    <row r="2" spans="1:50" ht="13.5" customHeight="1">
      <c r="A2" s="21"/>
      <c r="B2" s="21"/>
      <c r="C2" s="21"/>
      <c r="D2" s="21"/>
      <c r="E2" s="21"/>
      <c r="F2" s="21"/>
      <c r="G2" s="21"/>
      <c r="H2" s="105"/>
      <c r="I2" s="21"/>
      <c r="J2" s="105"/>
      <c r="K2" s="105"/>
      <c r="L2" s="105"/>
      <c r="M2" s="198"/>
      <c r="N2" s="226"/>
      <c r="O2" s="22"/>
    </row>
    <row r="3" spans="1:50" ht="15.75">
      <c r="A3" s="110" t="s">
        <v>32</v>
      </c>
      <c r="B3" s="22"/>
      <c r="C3" s="22"/>
      <c r="D3" s="22"/>
      <c r="E3" s="22"/>
      <c r="F3" s="22"/>
      <c r="G3" s="22"/>
      <c r="H3" s="106"/>
      <c r="I3" s="22"/>
      <c r="J3" s="106"/>
      <c r="K3" s="106"/>
      <c r="L3" s="106"/>
      <c r="M3" s="170"/>
      <c r="N3" s="22"/>
      <c r="O3" s="226"/>
    </row>
    <row r="4" spans="1:50" ht="15.75">
      <c r="A4" s="43" t="s">
        <v>965</v>
      </c>
      <c r="B4" s="22"/>
      <c r="C4" s="22"/>
      <c r="D4" s="22"/>
      <c r="E4" s="22"/>
      <c r="F4" s="22"/>
      <c r="G4" s="22"/>
      <c r="H4" s="106"/>
      <c r="I4" s="22"/>
      <c r="J4" s="106"/>
      <c r="K4" s="106"/>
      <c r="L4" s="106"/>
      <c r="M4" s="170"/>
      <c r="N4" s="227"/>
      <c r="O4" s="22"/>
    </row>
    <row r="5" spans="1:50" ht="12.75" customHeight="1">
      <c r="B5" s="2"/>
      <c r="C5" s="2"/>
      <c r="D5" s="2"/>
      <c r="E5" s="2"/>
      <c r="F5" s="2"/>
      <c r="G5" s="2"/>
      <c r="H5" s="107"/>
      <c r="I5" s="2"/>
      <c r="J5" s="107"/>
      <c r="K5" s="107"/>
      <c r="L5" s="107"/>
      <c r="M5" s="191"/>
      <c r="Q5" s="126" t="s">
        <v>38</v>
      </c>
      <c r="AI5" s="228" t="s">
        <v>985</v>
      </c>
      <c r="AR5" s="228" t="s">
        <v>985</v>
      </c>
    </row>
    <row r="6" spans="1:50" ht="15" customHeight="1">
      <c r="A6" s="61"/>
      <c r="B6" s="413" t="s">
        <v>62</v>
      </c>
      <c r="C6" s="414"/>
      <c r="D6" s="414"/>
      <c r="E6" s="414"/>
      <c r="F6" s="414"/>
      <c r="G6" s="414"/>
      <c r="H6" s="91"/>
      <c r="I6" s="412"/>
      <c r="J6" s="412"/>
      <c r="K6" s="412"/>
      <c r="L6" s="412"/>
      <c r="M6" s="412"/>
      <c r="N6" s="412"/>
      <c r="O6" s="412"/>
      <c r="Q6" s="228" t="s">
        <v>153</v>
      </c>
      <c r="AI6" s="857" t="s">
        <v>144</v>
      </c>
      <c r="AR6" s="857" t="s">
        <v>144</v>
      </c>
    </row>
    <row r="7" spans="1:50" ht="17.25" customHeight="1">
      <c r="A7" s="45"/>
      <c r="B7" s="189">
        <v>1</v>
      </c>
      <c r="C7" s="22"/>
      <c r="D7" s="190">
        <v>2</v>
      </c>
      <c r="E7" s="22"/>
      <c r="F7" s="190">
        <v>3</v>
      </c>
      <c r="G7" s="22"/>
      <c r="H7" s="190">
        <v>4</v>
      </c>
      <c r="I7" s="65"/>
      <c r="J7" s="190">
        <v>5</v>
      </c>
      <c r="K7" s="65"/>
      <c r="L7" s="190">
        <v>6</v>
      </c>
      <c r="M7" s="192"/>
      <c r="N7" s="190" t="s">
        <v>30</v>
      </c>
      <c r="O7" s="65"/>
      <c r="P7" s="209"/>
      <c r="Q7" s="36"/>
      <c r="R7" s="36" t="s">
        <v>155</v>
      </c>
      <c r="S7" s="36"/>
      <c r="T7" s="233">
        <v>2</v>
      </c>
      <c r="U7" s="36"/>
      <c r="V7" s="233">
        <v>3</v>
      </c>
      <c r="W7" s="36"/>
      <c r="X7" s="233">
        <v>4</v>
      </c>
      <c r="Y7" s="36"/>
      <c r="Z7" s="233">
        <v>5</v>
      </c>
      <c r="AA7" s="36"/>
      <c r="AB7" s="233">
        <v>6</v>
      </c>
      <c r="AC7" s="36"/>
      <c r="AD7" s="233" t="s">
        <v>3</v>
      </c>
      <c r="AE7" s="36"/>
      <c r="AI7" s="852" t="s">
        <v>155</v>
      </c>
      <c r="AJ7" s="852">
        <v>2</v>
      </c>
      <c r="AK7" s="852">
        <v>3</v>
      </c>
      <c r="AL7" s="852">
        <v>4</v>
      </c>
      <c r="AM7" s="852">
        <v>5</v>
      </c>
      <c r="AN7" s="852">
        <v>6</v>
      </c>
      <c r="AO7" s="852" t="s">
        <v>30</v>
      </c>
      <c r="AR7" s="852" t="s">
        <v>155</v>
      </c>
      <c r="AS7" s="852">
        <v>2</v>
      </c>
      <c r="AT7" s="852">
        <v>3</v>
      </c>
      <c r="AU7" s="852">
        <v>4</v>
      </c>
      <c r="AV7" s="852">
        <v>5</v>
      </c>
      <c r="AW7" s="852">
        <v>6</v>
      </c>
      <c r="AX7" s="852" t="s">
        <v>30</v>
      </c>
    </row>
    <row r="8" spans="1:50" ht="77.25" customHeight="1">
      <c r="A8" s="188"/>
      <c r="B8" s="194" t="s">
        <v>143</v>
      </c>
      <c r="C8" s="166" t="s">
        <v>22</v>
      </c>
      <c r="D8" s="195" t="s">
        <v>143</v>
      </c>
      <c r="E8" s="166" t="s">
        <v>22</v>
      </c>
      <c r="F8" s="195" t="s">
        <v>143</v>
      </c>
      <c r="G8" s="166" t="s">
        <v>22</v>
      </c>
      <c r="H8" s="195" t="s">
        <v>143</v>
      </c>
      <c r="I8" s="166" t="s">
        <v>22</v>
      </c>
      <c r="J8" s="195" t="s">
        <v>143</v>
      </c>
      <c r="K8" s="166" t="s">
        <v>22</v>
      </c>
      <c r="L8" s="195" t="s">
        <v>143</v>
      </c>
      <c r="M8" s="121" t="s">
        <v>22</v>
      </c>
      <c r="N8" s="195" t="s">
        <v>143</v>
      </c>
      <c r="O8" s="166" t="s">
        <v>22</v>
      </c>
      <c r="P8" s="42"/>
      <c r="Q8" s="231"/>
      <c r="R8" s="232" t="s">
        <v>151</v>
      </c>
      <c r="S8" s="232" t="s">
        <v>4</v>
      </c>
      <c r="T8" s="234" t="s">
        <v>151</v>
      </c>
      <c r="U8" s="232" t="s">
        <v>4</v>
      </c>
      <c r="V8" s="234" t="s">
        <v>151</v>
      </c>
      <c r="W8" s="232" t="s">
        <v>4</v>
      </c>
      <c r="X8" s="234" t="s">
        <v>151</v>
      </c>
      <c r="Y8" s="232" t="s">
        <v>4</v>
      </c>
      <c r="Z8" s="234" t="s">
        <v>151</v>
      </c>
      <c r="AA8" s="232" t="s">
        <v>4</v>
      </c>
      <c r="AB8" s="234" t="s">
        <v>151</v>
      </c>
      <c r="AC8" s="232" t="s">
        <v>4</v>
      </c>
      <c r="AD8" s="234" t="s">
        <v>151</v>
      </c>
      <c r="AE8" s="232" t="s">
        <v>4</v>
      </c>
      <c r="AI8" s="851" t="s">
        <v>984</v>
      </c>
      <c r="AJ8" s="851" t="s">
        <v>984</v>
      </c>
      <c r="AK8" s="851" t="s">
        <v>984</v>
      </c>
      <c r="AL8" s="851" t="s">
        <v>984</v>
      </c>
      <c r="AM8" s="851" t="s">
        <v>984</v>
      </c>
      <c r="AN8" s="851" t="s">
        <v>984</v>
      </c>
      <c r="AO8" s="851" t="s">
        <v>984</v>
      </c>
      <c r="AR8" s="851" t="s">
        <v>984</v>
      </c>
      <c r="AS8" s="851" t="s">
        <v>984</v>
      </c>
      <c r="AT8" s="851" t="s">
        <v>984</v>
      </c>
      <c r="AU8" s="851" t="s">
        <v>984</v>
      </c>
      <c r="AV8" s="851" t="s">
        <v>984</v>
      </c>
      <c r="AW8" s="851" t="s">
        <v>984</v>
      </c>
      <c r="AX8" s="851" t="s">
        <v>984</v>
      </c>
    </row>
    <row r="9" spans="1:50" ht="15" customHeight="1">
      <c r="A9" s="1" t="s">
        <v>64</v>
      </c>
      <c r="B9" s="207">
        <f>+GETPIVOTDATA("Undergrad Student Credit Hour FTE - New",'FTE Pivot for regular counts'!$A$2,"Category",1,"Category2","Group1")</f>
        <v>872703.49999999988</v>
      </c>
      <c r="C9" s="256"/>
      <c r="D9" s="208">
        <f>+GETPIVOTDATA("Undergrad Student Credit Hour FTE - New",'FTE Pivot for regular counts'!$A$2,"Category",2,"Category2","Four-Year")</f>
        <v>231084.91333333333</v>
      </c>
      <c r="E9" s="256"/>
      <c r="F9" s="186">
        <f>+GETPIVOTDATA("Undergrad Student Credit Hour FTE - New",'FTE Pivot for regular counts'!$A$2,"Category",3,"Category2","Four-Year")</f>
        <v>580249</v>
      </c>
      <c r="G9" s="256"/>
      <c r="H9" s="186">
        <f>+GETPIVOTDATA("Undergrad Student Credit Hour FTE - New",'FTE Pivot for regular counts'!$A$2,"Category",4,"Category2","Four-Year")</f>
        <v>151118.61666666664</v>
      </c>
      <c r="I9" s="256"/>
      <c r="J9" s="186">
        <f>+GETPIVOTDATA("Undergrad Student Credit Hour FTE - New",'FTE Pivot for regular counts'!$A$2,"Category",5,"Category2","Four-Year")</f>
        <v>96744.05</v>
      </c>
      <c r="K9" s="256"/>
      <c r="L9" s="186">
        <f>+GETPIVOTDATA("Undergrad Student Credit Hour FTE - New",'FTE Pivot for regular counts'!$A$2,"Category",6,"Category2","Four-Year")</f>
        <v>72227.436666666661</v>
      </c>
      <c r="M9" s="256"/>
      <c r="N9" s="186">
        <f>+GETPIVOTDATA("Undergrad Student Credit Hour FTE - New",'FTE Pivot for regular counts'!$A$2,"Category2","Four-Year")</f>
        <v>2004127.5166666664</v>
      </c>
      <c r="O9" s="256"/>
      <c r="Q9" s="1" t="s">
        <v>64</v>
      </c>
      <c r="R9" s="428"/>
      <c r="S9" s="465">
        <f>(C9-R9)*100</f>
        <v>0</v>
      </c>
      <c r="T9" s="240"/>
      <c r="U9" s="465">
        <f>(E9-T9)*100</f>
        <v>0</v>
      </c>
      <c r="V9" s="240"/>
      <c r="W9" s="465">
        <f>(G9-V9)*100</f>
        <v>0</v>
      </c>
      <c r="X9" s="240"/>
      <c r="Y9" s="465">
        <f>(I9-X9)*100</f>
        <v>0</v>
      </c>
      <c r="Z9" s="240"/>
      <c r="AA9" s="465">
        <f>(K9-Z9)*100</f>
        <v>0</v>
      </c>
      <c r="AB9" s="240"/>
      <c r="AC9" s="465">
        <f>(M9-AB9)*100</f>
        <v>0</v>
      </c>
      <c r="AD9" s="240"/>
      <c r="AE9" s="465">
        <f>(O9-AD9)*100</f>
        <v>0</v>
      </c>
      <c r="AF9" s="1" t="s">
        <v>64</v>
      </c>
      <c r="AH9" s="853" t="s">
        <v>64</v>
      </c>
      <c r="AQ9" s="853" t="s">
        <v>64</v>
      </c>
    </row>
    <row r="10" spans="1:50" ht="12.75" customHeight="1">
      <c r="B10" s="415"/>
      <c r="C10" s="257" t="s">
        <v>171</v>
      </c>
      <c r="D10" s="416"/>
      <c r="E10" s="257" t="s">
        <v>172</v>
      </c>
      <c r="F10" s="416"/>
      <c r="G10" s="257" t="s">
        <v>173</v>
      </c>
      <c r="H10" s="416"/>
      <c r="I10" s="257" t="s">
        <v>174</v>
      </c>
      <c r="J10" s="416"/>
      <c r="K10" s="257" t="s">
        <v>175</v>
      </c>
      <c r="L10" s="416"/>
      <c r="M10" s="257" t="s">
        <v>176</v>
      </c>
      <c r="N10" s="416"/>
      <c r="O10" s="257" t="s">
        <v>177</v>
      </c>
      <c r="R10" s="429" t="s">
        <v>208</v>
      </c>
      <c r="S10" s="466"/>
      <c r="T10" s="430" t="s">
        <v>209</v>
      </c>
      <c r="U10" s="466"/>
      <c r="V10" s="430" t="s">
        <v>210</v>
      </c>
      <c r="W10" s="466"/>
      <c r="X10" s="430" t="s">
        <v>211</v>
      </c>
      <c r="Y10" s="466"/>
      <c r="Z10" s="430" t="s">
        <v>212</v>
      </c>
      <c r="AA10" s="466"/>
      <c r="AB10" s="430" t="s">
        <v>213</v>
      </c>
      <c r="AC10" s="466"/>
      <c r="AD10" s="430" t="s">
        <v>214</v>
      </c>
      <c r="AE10" s="466"/>
      <c r="AH10" s="853"/>
      <c r="AQ10" s="853"/>
    </row>
    <row r="11" spans="1:50" ht="15" customHeight="1">
      <c r="A11" s="1" t="s">
        <v>65</v>
      </c>
      <c r="B11" s="5">
        <f>+GETPIVOTDATA("Undergrad Student Credit Hour FTE - New",'FTE Pivot for regular counts'!$A$2,"State","AL","Category",1,"Category2","Four-Year")</f>
        <v>46879.266666666663</v>
      </c>
      <c r="C11" s="167">
        <f>+GETPIVOTDATA("Sum of New-HS % of Total",'Pivot-HS Student % of Undergrad'!$A$3,"State","AL","Category",1,"Category2","Four-Year")</f>
        <v>2.5192373600838465E-3</v>
      </c>
      <c r="D11" s="186">
        <f>+GETPIVOTDATA("Undergrad Student Credit Hour FTE - New",'FTE Pivot for regular counts'!$A$2,"State","AL","Category",2,"Category2","Four-Year")</f>
        <v>13835.5</v>
      </c>
      <c r="E11" s="167">
        <f>+GETPIVOTDATA("Sum of New-HS % of Total",'Pivot-HS Student % of Undergrad'!$A$3,"State","AL","Category",2,"Category2","Four-Year")</f>
        <v>1.0022526592220495E-3</v>
      </c>
      <c r="F11" s="186">
        <f>+GETPIVOTDATA("Undergrad Student Credit Hour FTE - New",'FTE Pivot for regular counts'!$A$2,"State","AL","Category",3,"Category2","Four-Year")</f>
        <v>28689.633333333331</v>
      </c>
      <c r="G11" s="167">
        <f>+GETPIVOTDATA("Sum of New-HS % of Total",'Pivot-HS Student % of Undergrad'!$A$3,"State","AL","Category",3,"Category2","Four-Year")</f>
        <v>3.0173500532712744E-3</v>
      </c>
      <c r="H11" s="186">
        <f>+GETPIVOTDATA("Undergrad Student Credit Hour FTE - New",'FTE Pivot for regular counts'!$A$2,"State","AL","Category",4,"Category2","Four-Year")</f>
        <v>14164.3</v>
      </c>
      <c r="I11" s="167">
        <f>+GETPIVOTDATA("Sum of New-HS % of Total",'Pivot-HS Student % of Undergrad'!$A$3,"State","AL","Category",4,"Category2","Four-Year")</f>
        <v>7.0176429474100377E-3</v>
      </c>
      <c r="J11" s="186">
        <f>+GETPIVOTDATA("Undergrad Student Credit Hour FTE - New",'FTE Pivot for regular counts'!$A$2,"State","AL","Category",5,"Category2","Four-Year")</f>
        <v>4217.6666666666661</v>
      </c>
      <c r="K11" s="167">
        <f>+GETPIVOTDATA("Sum of New-HS % of Total",'Pivot-HS Student % of Undergrad'!$A$3,"State","AL","Category",5,"Category2","Four-Year")</f>
        <v>6.330514502489528E-3</v>
      </c>
      <c r="L11" s="186">
        <f>+GETPIVOTDATA("Undergrad Student Credit Hour FTE - New",'FTE Pivot for regular counts'!$A$2,"State","AL","Category",6,"Category2","Four-Year")</f>
        <v>2657.6333333333332</v>
      </c>
      <c r="M11" s="167">
        <f>+GETPIVOTDATA("Sum of New-HS % of Total",'Pivot-HS Student % of Undergrad'!$A$3,"State","AL","Category",6,"Category2","Four-Year")</f>
        <v>0</v>
      </c>
      <c r="N11" s="186">
        <f>+GETPIVOTDATA("Undergrad Student Credit Hour FTE - New",'FTE Pivot for regular counts'!$A$2,"State","AL","Category2","Four-Year")</f>
        <v>110444</v>
      </c>
      <c r="O11" s="167">
        <f>+GETPIVOTDATA("Sum of New-HS % of Total",'Pivot-HS Student % of Undergrad'!$A$3,"State","AL","Category2","Group1")</f>
        <v>3.1204350922941341E-3</v>
      </c>
      <c r="Q11" s="1" t="s">
        <v>65</v>
      </c>
      <c r="R11" s="239">
        <f>+GETPIVOTDATA("Sum of Old-HS % of Total",'Pivot-HS Student % of Undergrad'!$A$3,"State","AL","Category",1,"Category2","Four-Year")</f>
        <v>1.6705999164336076E-3</v>
      </c>
      <c r="S11" s="467">
        <f>(C11-R11)*100</f>
        <v>8.4863744365023891E-2</v>
      </c>
      <c r="T11" s="240">
        <f>+GETPIVOTDATA("Sum of Old-HS % of Total",'Pivot-HS Student % of Undergrad'!$A$3,"State","AL","Category",2,"Category2","Four-Year")</f>
        <v>1.1420610173346855E-3</v>
      </c>
      <c r="U11" s="467">
        <f t="shared" ref="U11:U29" si="0">(E11-T11)*100</f>
        <v>-1.3980835811263605E-2</v>
      </c>
      <c r="V11" s="240">
        <f>GETPIVOTDATA("Sum of Old-HS % of Total",'Pivot-HS Student % of Undergrad'!$A$3,"State","AL","Category",3,"Category2","Four-Year")</f>
        <v>2.6505899446266235E-3</v>
      </c>
      <c r="W11" s="467">
        <f t="shared" ref="W11:W29" si="1">(G11-V11)*100</f>
        <v>3.6676010864465085E-2</v>
      </c>
      <c r="X11" s="240">
        <f>+GETPIVOTDATA("Sum of Old-HS % of Total",'Pivot-HS Student % of Undergrad'!$A$3,"State","AL","Category",4,"Category2","Four-Year")</f>
        <v>7.1133563810503219E-3</v>
      </c>
      <c r="Y11" s="467">
        <f t="shared" ref="Y11:Y29" si="2">(I11-X11)*100</f>
        <v>-9.5713433640284146E-3</v>
      </c>
      <c r="Z11" s="240">
        <f>+GETPIVOTDATA("Sum of Old-HS % of Total",'Pivot-HS Student % of Undergrad'!$A$3,"State","AL","Category",5,"Category2","Four-Year")</f>
        <v>1.5189833150419112E-3</v>
      </c>
      <c r="AA11" s="467">
        <f t="shared" ref="AA11:AA29" si="3">(K11-Z11)*100</f>
        <v>0.48115311874476174</v>
      </c>
      <c r="AB11" s="240">
        <f>+GETPIVOTDATA("Sum of Old-HS % of Total",'Pivot-HS Student % of Undergrad'!$A$3,"State","AL","Category",6,"Category2","Four-Year")</f>
        <v>0</v>
      </c>
      <c r="AC11" s="467">
        <f t="shared" ref="AC11:AC29" si="4">(M11-AB11)*100</f>
        <v>0</v>
      </c>
      <c r="AD11" s="240">
        <f>+GETPIVOTDATA("Sum of Old-HS % of Total",'Pivot-HS Student % of Undergrad'!$A$3,"State","AL","Category2","Four-Year")</f>
        <v>2.5108634722886851E-3</v>
      </c>
      <c r="AE11" s="467">
        <f t="shared" ref="AE11:AE29" si="5">(O11-AD11)*100</f>
        <v>6.0957162000544907E-2</v>
      </c>
      <c r="AF11" s="1" t="s">
        <v>65</v>
      </c>
      <c r="AH11" s="853" t="s">
        <v>65</v>
      </c>
      <c r="AI11" s="850">
        <f>C11*100</f>
        <v>0.25192373600838464</v>
      </c>
      <c r="AJ11" s="850">
        <f>E11*100</f>
        <v>0.10022526592220495</v>
      </c>
      <c r="AK11" s="850">
        <f>G11*100</f>
        <v>0.30173500532712744</v>
      </c>
      <c r="AL11" s="850">
        <f>I11*100</f>
        <v>0.70176429474100377</v>
      </c>
      <c r="AM11" s="850">
        <f>K11*100</f>
        <v>0.63305145024895282</v>
      </c>
      <c r="AN11" s="850">
        <f>M11*100</f>
        <v>0</v>
      </c>
      <c r="AO11" s="850">
        <f>O11*100</f>
        <v>0.31204350922941343</v>
      </c>
      <c r="AQ11" s="853" t="s">
        <v>65</v>
      </c>
      <c r="AR11" s="850">
        <f>R11*100</f>
        <v>0.16705999164336077</v>
      </c>
      <c r="AS11" s="850">
        <f>T11*100</f>
        <v>0.11420610173346855</v>
      </c>
      <c r="AT11" s="850">
        <f>V11*100</f>
        <v>0.26505899446266235</v>
      </c>
      <c r="AU11" s="850">
        <f>X11*100</f>
        <v>0.7113356381050322</v>
      </c>
      <c r="AV11" s="850">
        <f>Z11*100</f>
        <v>0.15189833150419113</v>
      </c>
      <c r="AW11" s="850">
        <f>AB11*100</f>
        <v>0</v>
      </c>
      <c r="AX11" s="850">
        <f>AD11*100</f>
        <v>0.25108634722886852</v>
      </c>
    </row>
    <row r="12" spans="1:50" ht="15" customHeight="1">
      <c r="A12" s="4" t="s">
        <v>66</v>
      </c>
      <c r="B12" s="5">
        <f>+GETPIVOTDATA("Undergrad Student Credit Hour FTE - New",'FTE Pivot for regular counts'!$A$2,"State","AR","Category",1,"Category2","Four-Year")</f>
        <v>20021.333333333332</v>
      </c>
      <c r="C12" s="211">
        <f>+GETPIVOTDATA("Sum of New-HS % of Total",'Pivot-HS Student % of Undergrad'!$A$3,"State","AR","Category",1,"Category2","Four-Year")</f>
        <v>2.5306339904102292E-4</v>
      </c>
      <c r="D12" s="186">
        <f>+GETPIVOTDATA("Undergrad Student Credit Hour FTE - New",'FTE Pivot for regular counts'!$A$2,"State","AR","Category",2,"Category2","Four-Year")</f>
        <v>0</v>
      </c>
      <c r="E12" s="167">
        <f>+GETPIVOTDATA("Sum of New-HS % of Total",'Pivot-HS Student % of Undergrad'!$A$3,"State","AR","Category",2,"Category2","Four-Year")</f>
        <v>0</v>
      </c>
      <c r="F12" s="186">
        <f>+GETPIVOTDATA("Undergrad Student Credit Hour FTE - New",'FTE Pivot for regular counts'!$A$2,"State","AR","Category",3,"Category2","Four-Year")</f>
        <v>33303.266666666663</v>
      </c>
      <c r="G12" s="167">
        <f>+GETPIVOTDATA("Sum of New-HS % of Total",'Pivot-HS Student % of Undergrad'!$A$3,"State","AR","Category",3,"Category2","Four-Year")</f>
        <v>2.9465577951312084E-2</v>
      </c>
      <c r="H12" s="186">
        <f>+GETPIVOTDATA("Undergrad Student Credit Hour FTE - New",'FTE Pivot for regular counts'!$A$2,"State","AR","Category",4,"Category2","Four-Year")</f>
        <v>5862.6666666666661</v>
      </c>
      <c r="I12" s="167">
        <f>+GETPIVOTDATA("Sum of New-HS % of Total",'Pivot-HS Student % of Undergrad'!$A$3,"State","AR","Category",4,"Category2","Four-Year")</f>
        <v>8.8298840118262445E-3</v>
      </c>
      <c r="J12" s="186">
        <f>+GETPIVOTDATA("Undergrad Student Credit Hour FTE - New",'FTE Pivot for regular counts'!$A$2,"State","AR","Category",5,"Category2","Four-Year")</f>
        <v>2283.1</v>
      </c>
      <c r="K12" s="167">
        <f>+GETPIVOTDATA("Sum of New-HS % of Total",'Pivot-HS Student % of Undergrad'!$A$3,"State","AR","Category",5,"Category2","Four-Year")</f>
        <v>6.653234637116201E-2</v>
      </c>
      <c r="L12" s="186">
        <f>+GETPIVOTDATA("Undergrad Student Credit Hour FTE - New",'FTE Pivot for regular counts'!$A$2,"State","AR","Category",6,"Category2","Four-Year")</f>
        <v>8466.7666666666664</v>
      </c>
      <c r="M12" s="167">
        <f>+GETPIVOTDATA("Sum of New-HS % of Total",'Pivot-HS Student % of Undergrad'!$A$3,"State","AR","Category",6,"Category2","Four-Year")</f>
        <v>3.0176808935327537E-2</v>
      </c>
      <c r="N12" s="186">
        <f>+GETPIVOTDATA("Undergrad Student Credit Hour FTE - New",'FTE Pivot for regular counts'!$A$2,"State","AR","Category2","Four-Year")</f>
        <v>69937.133333333317</v>
      </c>
      <c r="O12" s="167">
        <f>+GETPIVOTDATA("Sum of New-HS % of Total",'Pivot-HS Student % of Undergrad'!$A$3,"State","AR","Category2","Group1")</f>
        <v>2.0669038955938523E-2</v>
      </c>
      <c r="Q12" s="4" t="s">
        <v>66</v>
      </c>
      <c r="R12" s="239">
        <f>+GETPIVOTDATA("Sum of Old-HS % of Total",'Pivot-HS Student % of Undergrad'!$A$3,"State","AR","Category",1,"Category2","Four-Year")</f>
        <v>2.2646120140300613E-4</v>
      </c>
      <c r="S12" s="832">
        <f t="shared" ref="S12:S14" si="6">(C12-R12)*100</f>
        <v>2.6602197638016791E-3</v>
      </c>
      <c r="T12" s="240">
        <f>+GETPIVOTDATA("Sum of Old-HS % of Total",'Pivot-HS Student % of Undergrad'!$A$3,"State","AR","Category",2,"Category2","Four-Year")</f>
        <v>0</v>
      </c>
      <c r="U12" s="467">
        <f t="shared" si="0"/>
        <v>0</v>
      </c>
      <c r="V12" s="240">
        <f>+GETPIVOTDATA("Sum of Old-HS % of Total",'Pivot-HS Student % of Undergrad'!$A$3,"State","AR","Category",3,"Category2","Four-Year")</f>
        <v>2.7171644263891907E-2</v>
      </c>
      <c r="W12" s="467">
        <f t="shared" si="1"/>
        <v>0.22939336874201777</v>
      </c>
      <c r="X12" s="240">
        <f>+GETPIVOTDATA("Sum of Old-HS % of Total",'Pivot-HS Student % of Undergrad'!$A$3,"State","AR","Category",4,"Category2","Four-Year")</f>
        <v>5.8803630828212208E-3</v>
      </c>
      <c r="Y12" s="467">
        <f t="shared" si="2"/>
        <v>0.29495209290050239</v>
      </c>
      <c r="Z12" s="240">
        <f>+GETPIVOTDATA("Sum of Old-HS % of Total",'Pivot-HS Student % of Undergrad'!$A$3,"State","AR","Category",5,"Category2","Four-Year")</f>
        <v>6.2177780295733953E-2</v>
      </c>
      <c r="AA12" s="467">
        <f t="shared" si="3"/>
        <v>0.43545660754280568</v>
      </c>
      <c r="AB12" s="240">
        <f>+GETPIVOTDATA("Sum of Old-HS % of Total",'Pivot-HS Student % of Undergrad'!$A$3,"State","AR","Category",6,"Category2","Four-Year")</f>
        <v>5.9159242761692649E-3</v>
      </c>
      <c r="AC12" s="467">
        <f t="shared" si="4"/>
        <v>2.4260884659158273</v>
      </c>
      <c r="AD12" s="240">
        <f>+GETPIVOTDATA("Sum of Old-HS % of Total",'Pivot-HS Student % of Undergrad'!$A$3,"State","AR","Category2","Four-Year")</f>
        <v>1.6497192238985207E-2</v>
      </c>
      <c r="AE12" s="467">
        <f t="shared" si="5"/>
        <v>0.41718467169533158</v>
      </c>
      <c r="AF12" s="4" t="s">
        <v>66</v>
      </c>
      <c r="AH12" s="854" t="s">
        <v>66</v>
      </c>
      <c r="AI12" s="850">
        <f t="shared" ref="AI12:AI29" si="7">C12*100</f>
        <v>2.5306339904102294E-2</v>
      </c>
      <c r="AJ12" s="850">
        <f t="shared" ref="AJ12:AJ29" si="8">E12*100</f>
        <v>0</v>
      </c>
      <c r="AK12" s="850">
        <f t="shared" ref="AK12:AK29" si="9">G12*100</f>
        <v>2.9465577951312083</v>
      </c>
      <c r="AL12" s="850">
        <f t="shared" ref="AL12:AL29" si="10">I12*100</f>
        <v>0.88298840118262445</v>
      </c>
      <c r="AM12" s="850">
        <f t="shared" ref="AM12:AM29" si="11">K12*100</f>
        <v>6.653234637116201</v>
      </c>
      <c r="AN12" s="850">
        <f t="shared" ref="AN12:AN29" si="12">M12*100</f>
        <v>3.0176808935327539</v>
      </c>
      <c r="AO12" s="850">
        <f t="shared" ref="AO12:AO29" si="13">O12*100</f>
        <v>2.0669038955938523</v>
      </c>
      <c r="AQ12" s="854" t="s">
        <v>66</v>
      </c>
      <c r="AR12" s="850">
        <f t="shared" ref="AR12:AR29" si="14">R12*100</f>
        <v>2.2646120140300614E-2</v>
      </c>
      <c r="AS12" s="850">
        <f t="shared" ref="AS12:AS29" si="15">T12*100</f>
        <v>0</v>
      </c>
      <c r="AT12" s="850">
        <f t="shared" ref="AT12:AT29" si="16">V12*100</f>
        <v>2.7171644263891905</v>
      </c>
      <c r="AU12" s="850">
        <f t="shared" ref="AU12:AU29" si="17">X12*100</f>
        <v>0.58803630828212206</v>
      </c>
      <c r="AV12" s="850">
        <f t="shared" ref="AV12:AV29" si="18">Z12*100</f>
        <v>6.2177780295733953</v>
      </c>
      <c r="AW12" s="850">
        <f t="shared" ref="AW12:AW29" si="19">AB12*100</f>
        <v>0.59159242761692654</v>
      </c>
      <c r="AX12" s="850">
        <f t="shared" ref="AX12:AX29" si="20">AD12*100</f>
        <v>1.6497192238985208</v>
      </c>
    </row>
    <row r="13" spans="1:50" ht="15" customHeight="1">
      <c r="A13" s="1" t="s">
        <v>102</v>
      </c>
      <c r="B13" s="5">
        <f>+GETPIVOTDATA("Undergrad Student Credit Hour FTE - New",'FTE Pivot for regular counts'!$A$2,"State","DE","Category",1,"Category2","Four-Year")</f>
        <v>17994.599999999999</v>
      </c>
      <c r="C13" s="167">
        <f>+GETPIVOTDATA("Sum of New-HS % of Total",'Pivot-HS Student % of Undergrad'!$A$3,"State","DE","Category",1,"Category2","Four-Year")</f>
        <v>0</v>
      </c>
      <c r="D13" s="186">
        <f>+GETPIVOTDATA("Undergrad Student Credit Hour FTE - New",'FTE Pivot for regular counts'!$A$2,"State","DE","Category",2,"Category2","Four-Year")</f>
        <v>0</v>
      </c>
      <c r="E13" s="167">
        <f>+GETPIVOTDATA("Sum of New-HS % of Total",'Pivot-HS Student % of Undergrad'!$A$3,"State","DE","Category",2,"Category2","Four-Year")</f>
        <v>0</v>
      </c>
      <c r="F13" s="186">
        <f>+GETPIVOTDATA("Undergrad Student Credit Hour FTE - New",'FTE Pivot for regular counts'!$A$2,"State","DE","Category",3,"Category2","Four-Year")</f>
        <v>3837.0666666666666</v>
      </c>
      <c r="G13" s="167">
        <f>+GETPIVOTDATA("Sum of New-HS % of Total",'Pivot-HS Student % of Undergrad'!$A$3,"State","DE","Category",3,"Category2","Four-Year")</f>
        <v>0</v>
      </c>
      <c r="H13" s="186">
        <f>+GETPIVOTDATA("Undergrad Student Credit Hour FTE - New",'FTE Pivot for regular counts'!$A$2,"State","DE","Category",4,"Category2","Four-Year")</f>
        <v>0</v>
      </c>
      <c r="I13" s="167">
        <f>GETPIVOTDATA("Sum of New-HS % of Total",'Pivot-HS Student % of Undergrad'!$A$3,"State","DE","Category",4,"Category2","Four-Year")</f>
        <v>0</v>
      </c>
      <c r="J13" s="186">
        <f>+GETPIVOTDATA("Undergrad Student Credit Hour FTE - New",'FTE Pivot for regular counts'!$A$2,"State","DE","Category",5,"Category2","Four-Year")</f>
        <v>0</v>
      </c>
      <c r="K13" s="167">
        <f>+GETPIVOTDATA("Sum of New-HS % of Total",'Pivot-HS Student % of Undergrad'!$A$3,"State","FL","Category",5,"Category2","Four-Year")</f>
        <v>0</v>
      </c>
      <c r="L13" s="186">
        <f>+GETPIVOTDATA("Undergrad Student Credit Hour FTE - New",'FTE Pivot for regular counts'!$A$2,"State","DE","Category",6,"Category2","Four-Year")</f>
        <v>0</v>
      </c>
      <c r="M13" s="167">
        <f>+GETPIVOTDATA("Sum of New-HS % of Total",'Pivot-HS Student % of Undergrad'!$A$3,"State","FL","Category",6,"Category2","Four-Year")</f>
        <v>5.7645193831964265E-4</v>
      </c>
      <c r="N13" s="186">
        <f>+GETPIVOTDATA("Undergrad Student Credit Hour FTE - New",'FTE Pivot for regular counts'!$A$2,"State","DE","Category2","Four-Year")</f>
        <v>21831.666666666664</v>
      </c>
      <c r="O13" s="167">
        <f>+GETPIVOTDATA("Sum of New-HS % of Total",'Pivot-HS Student % of Undergrad'!$A$3,"State","DE","Category2","Group1")</f>
        <v>0</v>
      </c>
      <c r="Q13" s="1" t="s">
        <v>102</v>
      </c>
      <c r="R13" s="239">
        <f>+GETPIVOTDATA("Sum of Old-HS % of Total",'Pivot-HS Student % of Undergrad'!$A$3,"State","DE","Category",1,"Category2","Four-Year")</f>
        <v>0</v>
      </c>
      <c r="S13" s="467">
        <f t="shared" si="6"/>
        <v>0</v>
      </c>
      <c r="T13" s="240">
        <f>+GETPIVOTDATA("Sum of Old-HS % of Total",'Pivot-HS Student % of Undergrad'!$A$3,"State","DE","Category",2,"Category2","Four-Year")</f>
        <v>0</v>
      </c>
      <c r="U13" s="467">
        <f t="shared" si="0"/>
        <v>0</v>
      </c>
      <c r="V13" s="240">
        <f>+GETPIVOTDATA("Sum of Old-HS % of Total",'Pivot-HS Student % of Undergrad'!$A$3,"State","DE","Category",3,"Category2","Four-Year")</f>
        <v>0</v>
      </c>
      <c r="W13" s="467">
        <f t="shared" si="1"/>
        <v>0</v>
      </c>
      <c r="X13" s="240">
        <f>+GETPIVOTDATA("Sum of Old-HS % of Total",'Pivot-HS Student % of Undergrad'!$A$3,"State","DE","Category",4,"Category2","Four-Year")</f>
        <v>0</v>
      </c>
      <c r="Y13" s="467">
        <f t="shared" si="2"/>
        <v>0</v>
      </c>
      <c r="Z13" s="240">
        <f>+GETPIVOTDATA("Sum of Old-HS % of Total",'Pivot-HS Student % of Undergrad'!$A$3,"State","DE","Category",5,"Category2","Four-Year")</f>
        <v>0</v>
      </c>
      <c r="AA13" s="467">
        <f t="shared" si="3"/>
        <v>0</v>
      </c>
      <c r="AB13" s="240">
        <f>+GETPIVOTDATA("Sum of Old-HS % of Total",'Pivot-HS Student % of Undergrad'!$A$3,"State","DE","Category",6,"Category2","Four-Year")</f>
        <v>0</v>
      </c>
      <c r="AC13" s="467">
        <f t="shared" si="4"/>
        <v>5.7645193831964266E-2</v>
      </c>
      <c r="AD13" s="240">
        <f>+GETPIVOTDATA("Sum of Old-HS % of Total",'Pivot-HS Student % of Undergrad'!$A$3,"State","DE","Category2","Four-Year")</f>
        <v>0</v>
      </c>
      <c r="AE13" s="467">
        <f t="shared" si="5"/>
        <v>0</v>
      </c>
      <c r="AF13" s="1" t="s">
        <v>102</v>
      </c>
      <c r="AH13" s="853" t="s">
        <v>102</v>
      </c>
      <c r="AI13" s="850">
        <f t="shared" si="7"/>
        <v>0</v>
      </c>
      <c r="AJ13" s="850">
        <f t="shared" si="8"/>
        <v>0</v>
      </c>
      <c r="AK13" s="850">
        <f t="shared" si="9"/>
        <v>0</v>
      </c>
      <c r="AL13" s="850">
        <f t="shared" si="10"/>
        <v>0</v>
      </c>
      <c r="AM13" s="850">
        <f t="shared" si="11"/>
        <v>0</v>
      </c>
      <c r="AN13" s="850">
        <f t="shared" si="12"/>
        <v>5.7645193831964266E-2</v>
      </c>
      <c r="AO13" s="850">
        <f t="shared" si="13"/>
        <v>0</v>
      </c>
      <c r="AQ13" s="853" t="s">
        <v>102</v>
      </c>
      <c r="AR13" s="850">
        <f t="shared" si="14"/>
        <v>0</v>
      </c>
      <c r="AS13" s="850">
        <f t="shared" si="15"/>
        <v>0</v>
      </c>
      <c r="AT13" s="850">
        <f t="shared" si="16"/>
        <v>0</v>
      </c>
      <c r="AU13" s="850">
        <f t="shared" si="17"/>
        <v>0</v>
      </c>
      <c r="AV13" s="850">
        <f t="shared" si="18"/>
        <v>0</v>
      </c>
      <c r="AW13" s="850">
        <f t="shared" si="19"/>
        <v>0</v>
      </c>
      <c r="AX13" s="850">
        <f t="shared" si="20"/>
        <v>0</v>
      </c>
    </row>
    <row r="14" spans="1:50" ht="15" customHeight="1">
      <c r="A14" s="1" t="s">
        <v>67</v>
      </c>
      <c r="B14" s="5">
        <f>+GETPIVOTDATA("Undergrad Student Credit Hour FTE - New",'FTE Pivot for regular counts'!$A$2,"State","FL","Category",1,"Category2","Four-Year")</f>
        <v>177068.39999999997</v>
      </c>
      <c r="C14" s="167">
        <f>+GETPIVOTDATA("Sum of New-HS % of Total",'Pivot-HS Student % of Undergrad'!$A$3,"State","FL","Category",1,"Category2","Four-Year")</f>
        <v>8.1947616476645939E-3</v>
      </c>
      <c r="D14" s="186">
        <f>+GETPIVOTDATA("Undergrad Student Credit Hour FTE - New",'FTE Pivot for regular counts'!$A$2,"State","FL","Category",2,"Category2","Four-Year")</f>
        <v>20915.633333333335</v>
      </c>
      <c r="E14" s="167">
        <f>+GETPIVOTDATA("Sum of New-HS % of Total",'Pivot-HS Student % of Undergrad'!$A$3,"State","FL","Category",2,"Category2","Four-Year")</f>
        <v>1.7288503495790232E-2</v>
      </c>
      <c r="F14" s="186">
        <f>+GETPIVOTDATA("Undergrad Student Credit Hour FTE - New",'FTE Pivot for regular counts'!$A$2,"State","FL","Category",3,"Category2","Four-Year")</f>
        <v>30476.133333333335</v>
      </c>
      <c r="G14" s="167">
        <f>+GETPIVOTDATA("Sum of New-HS % of Total",'Pivot-HS Student % of Undergrad'!$A$3,"State","FL","Category",3,"Category2","Four-Year")</f>
        <v>1.6898469184629722E-3</v>
      </c>
      <c r="H14" s="186">
        <f>+GETPIVOTDATA("Undergrad Student Credit Hour FTE - New",'FTE Pivot for regular counts'!$A$2,"State","FL","Category",4,"Category2","Four-Year")</f>
        <v>10677.733333333334</v>
      </c>
      <c r="I14" s="167">
        <f>+GETPIVOTDATA("Sum of New-HS % of Total",'Pivot-HS Student % of Undergrad'!$A$3,"State","FL","Category",4,"Category2","Four-Year")</f>
        <v>6.8179264013585907E-3</v>
      </c>
      <c r="J14" s="186">
        <f>+GETPIVOTDATA("Undergrad Student Credit Hour FTE - New",'FTE Pivot for regular counts'!$A$2,"State","FL","Category",5,"Category2","Four-Year")</f>
        <v>0</v>
      </c>
      <c r="K14" s="167">
        <f>+GETPIVOTDATA("Sum of New-HS % of Total",'Pivot-HS Student % of Undergrad'!$A$3,"State","FL","Category",5,"Category2","Four-Year")</f>
        <v>0</v>
      </c>
      <c r="L14" s="186">
        <f>+GETPIVOTDATA("Undergrad Student Credit Hour FTE - New",'FTE Pivot for regular counts'!$A$2,"State","FL","Category",6,"Category2","Four-Year")</f>
        <v>925.2</v>
      </c>
      <c r="M14" s="167">
        <f>+GETPIVOTDATA("Sum of New-HS % of Total",'Pivot-HS Student % of Undergrad'!$A$3,"State","FL","Category",6,"Category2","Four-Year")</f>
        <v>5.7645193831964265E-4</v>
      </c>
      <c r="N14" s="186">
        <f>+GETPIVOTDATA("Undergrad Student Credit Hour FTE - New",'FTE Pivot for regular counts'!$A$2,"State","FL","Category2","Four-Year")</f>
        <v>240063.09999999998</v>
      </c>
      <c r="O14" s="167">
        <f>+GETPIVOTDATA("Sum of New-HS % of Total",'Pivot-HS Student % of Undergrad'!$A$3,"State","FL","Category2","Group1")</f>
        <v>8.0706558678391924E-3</v>
      </c>
      <c r="Q14" s="1" t="s">
        <v>67</v>
      </c>
      <c r="R14" s="239">
        <f>+GETPIVOTDATA("Sum of Old-HS % of Total",'Pivot-HS Student % of Undergrad'!$A$3,"State","FL","Category",1,"Category2","Four-Year")</f>
        <v>7.0305517230619032E-3</v>
      </c>
      <c r="S14" s="467">
        <f t="shared" si="6"/>
        <v>0.11642099246026907</v>
      </c>
      <c r="T14" s="240">
        <f>+GETPIVOTDATA("Sum of Old-HS % of Total",'Pivot-HS Student % of Undergrad'!$A$3,"State","FL","Category",2,"Category2","Four-Year")</f>
        <v>1.3085172785564319E-2</v>
      </c>
      <c r="U14" s="467">
        <f t="shared" si="0"/>
        <v>0.42033307102259126</v>
      </c>
      <c r="V14" s="240">
        <f>+GETPIVOTDATA("Sum of Old-HS % of Total",'Pivot-HS Student % of Undergrad'!$A$3,"State","FL","Category",3,"Category2","Four-Year")</f>
        <v>1.6444553578736671E-3</v>
      </c>
      <c r="W14" s="832">
        <f t="shared" si="1"/>
        <v>4.5391560589305106E-3</v>
      </c>
      <c r="X14" s="240">
        <f>+GETPIVOTDATA("Sum of Old-HS % of Total",'Pivot-HS Student % of Undergrad'!$A$3,"State","FL","Category",4,"Category2","Four-Year")</f>
        <v>1.0627079836142583E-2</v>
      </c>
      <c r="Y14" s="467">
        <f t="shared" si="2"/>
        <v>-0.38091534347839928</v>
      </c>
      <c r="Z14" s="240">
        <f>+GETPIVOTDATA("Sum of Old-HS % of Total",'Pivot-HS Student % of Undergrad'!$A$3,"State","FL","Category",5,"Category2","Four-Year")</f>
        <v>0</v>
      </c>
      <c r="AA14" s="467">
        <f t="shared" si="3"/>
        <v>0</v>
      </c>
      <c r="AB14" s="240">
        <f>+GETPIVOTDATA("Sum of Old-HS % of Total",'Pivot-HS Student % of Undergrad'!$A$3,"State","FL","Category",6,"Category2","Four-Year")</f>
        <v>7.0126227208976155E-4</v>
      </c>
      <c r="AC14" s="467">
        <f t="shared" si="4"/>
        <v>-1.2481033377011889E-2</v>
      </c>
      <c r="AD14" s="240">
        <f>+GETPIVOTDATA("Sum of Old-HS % of Total",'Pivot-HS Student % of Undergrad'!$A$3,"State","FL","Category2","Four-Year")</f>
        <v>6.973079464704387E-3</v>
      </c>
      <c r="AE14" s="467">
        <f t="shared" si="5"/>
        <v>0.10975764031348054</v>
      </c>
      <c r="AF14" s="1" t="s">
        <v>67</v>
      </c>
      <c r="AH14" s="853" t="s">
        <v>67</v>
      </c>
      <c r="AI14" s="850">
        <f t="shared" si="7"/>
        <v>0.81947616476645935</v>
      </c>
      <c r="AJ14" s="850">
        <f t="shared" si="8"/>
        <v>1.7288503495790233</v>
      </c>
      <c r="AK14" s="850">
        <f t="shared" si="9"/>
        <v>0.16898469184629722</v>
      </c>
      <c r="AL14" s="850">
        <f t="shared" si="10"/>
        <v>0.68179264013585905</v>
      </c>
      <c r="AM14" s="850">
        <f t="shared" si="11"/>
        <v>0</v>
      </c>
      <c r="AN14" s="850">
        <f t="shared" si="12"/>
        <v>5.7645193831964266E-2</v>
      </c>
      <c r="AO14" s="850">
        <f t="shared" si="13"/>
        <v>0.80706558678391926</v>
      </c>
      <c r="AQ14" s="853" t="s">
        <v>67</v>
      </c>
      <c r="AR14" s="850">
        <f t="shared" si="14"/>
        <v>0.7030551723061903</v>
      </c>
      <c r="AS14" s="850">
        <f t="shared" si="15"/>
        <v>1.3085172785564319</v>
      </c>
      <c r="AT14" s="850">
        <f t="shared" si="16"/>
        <v>0.1644455357873667</v>
      </c>
      <c r="AU14" s="850">
        <f t="shared" si="17"/>
        <v>1.0627079836142583</v>
      </c>
      <c r="AV14" s="850">
        <f t="shared" si="18"/>
        <v>0</v>
      </c>
      <c r="AW14" s="850">
        <f t="shared" si="19"/>
        <v>7.0126227208976155E-2</v>
      </c>
      <c r="AX14" s="850">
        <f t="shared" si="20"/>
        <v>0.6973079464704387</v>
      </c>
    </row>
    <row r="15" spans="1:50" ht="15" customHeight="1">
      <c r="B15" s="5"/>
      <c r="C15" s="167"/>
      <c r="D15" s="186"/>
      <c r="E15" s="167"/>
      <c r="F15" s="186"/>
      <c r="G15" s="167"/>
      <c r="H15" s="186"/>
      <c r="I15" s="167"/>
      <c r="J15" s="186"/>
      <c r="K15" s="167"/>
      <c r="L15" s="186"/>
      <c r="M15" s="167"/>
      <c r="N15" s="186"/>
      <c r="O15" s="167"/>
      <c r="R15" s="239"/>
      <c r="S15" s="467"/>
      <c r="T15" s="240"/>
      <c r="U15" s="467"/>
      <c r="V15" s="240"/>
      <c r="W15" s="467"/>
      <c r="X15" s="240"/>
      <c r="Y15" s="467"/>
      <c r="Z15" s="240"/>
      <c r="AA15" s="467"/>
      <c r="AB15" s="240"/>
      <c r="AC15" s="467"/>
      <c r="AD15" s="240"/>
      <c r="AE15" s="467"/>
      <c r="AH15" s="853"/>
      <c r="AI15" s="850">
        <f t="shared" si="7"/>
        <v>0</v>
      </c>
      <c r="AJ15" s="850">
        <f t="shared" si="8"/>
        <v>0</v>
      </c>
      <c r="AK15" s="850">
        <f t="shared" si="9"/>
        <v>0</v>
      </c>
      <c r="AL15" s="850">
        <f t="shared" si="10"/>
        <v>0</v>
      </c>
      <c r="AM15" s="850">
        <f t="shared" si="11"/>
        <v>0</v>
      </c>
      <c r="AN15" s="850">
        <f t="shared" si="12"/>
        <v>0</v>
      </c>
      <c r="AO15" s="850">
        <f t="shared" si="13"/>
        <v>0</v>
      </c>
      <c r="AQ15" s="853"/>
      <c r="AR15" s="850">
        <f t="shared" si="14"/>
        <v>0</v>
      </c>
      <c r="AS15" s="850">
        <f t="shared" si="15"/>
        <v>0</v>
      </c>
      <c r="AT15" s="850">
        <f t="shared" si="16"/>
        <v>0</v>
      </c>
      <c r="AU15" s="850">
        <f t="shared" si="17"/>
        <v>0</v>
      </c>
      <c r="AV15" s="850">
        <f t="shared" si="18"/>
        <v>0</v>
      </c>
      <c r="AW15" s="850">
        <f t="shared" si="19"/>
        <v>0</v>
      </c>
      <c r="AX15" s="850">
        <f t="shared" si="20"/>
        <v>0</v>
      </c>
    </row>
    <row r="16" spans="1:50" ht="15" customHeight="1">
      <c r="A16" s="1" t="s">
        <v>68</v>
      </c>
      <c r="B16" s="5">
        <f>+GETPIVOTDATA("Undergrad Student Credit Hour FTE - New",'FTE Pivot for regular counts'!$A$2,"State","GA","Category",1,"Category2","Four-Year")</f>
        <v>47084.899999999994</v>
      </c>
      <c r="C16" s="167">
        <f>+GETPIVOTDATA("Sum of New-HS % of Total",'Pivot-HS Student % of Undergrad'!$A$3,"State","GA","Category",1,"Category2","Four-Year")</f>
        <v>2.193201358963631E-3</v>
      </c>
      <c r="D16" s="186">
        <f>+GETPIVOTDATA("Undergrad Student Credit Hour FTE - New",'FTE Pivot for regular counts'!$A$2,"State","GA","Category",2,"Category2","Four-Year")</f>
        <v>14387.866666666667</v>
      </c>
      <c r="E16" s="167">
        <f>+GETPIVOTDATA("Sum of New-HS % of Total",'Pivot-HS Student % of Undergrad'!$A$3,"State","GA","Category",2,"Category2","Four-Year")</f>
        <v>6.144065833248385E-3</v>
      </c>
      <c r="F16" s="186">
        <f>+GETPIVOTDATA("Undergrad Student Credit Hour FTE - New",'FTE Pivot for regular counts'!$A$2,"State","GA","Category",3,"Category2","Four-Year")</f>
        <v>54760.333333333328</v>
      </c>
      <c r="G16" s="167">
        <f>+GETPIVOTDATA("Sum of New-HS % of Total",'Pivot-HS Student % of Undergrad'!$A$3,"State","GA","Category",3,"Category2","Four-Year")</f>
        <v>5.8947778501470044E-3</v>
      </c>
      <c r="H16" s="186">
        <f>+GETPIVOTDATA("Undergrad Student Credit Hour FTE - New",'FTE Pivot for regular counts'!$A$2,"State","GA","Category",4,"Category2","Four-Year")</f>
        <v>37719.800000000003</v>
      </c>
      <c r="I16" s="167">
        <f>+GETPIVOTDATA("Sum of New-HS % of Total",'Pivot-HS Student % of Undergrad'!$A$3,"State","GA","Category",4,"Category2","Four-Year")</f>
        <v>7.5150628228852394E-3</v>
      </c>
      <c r="J16" s="186">
        <f>+GETPIVOTDATA("Undergrad Student Credit Hour FTE - New",'FTE Pivot for regular counts'!$A$2,"State","GA","Category",5,"Category2","Four-Year")</f>
        <v>14929.466666666667</v>
      </c>
      <c r="K16" s="167">
        <f>+GETPIVOTDATA("Sum of New-HS % of Total",'Pivot-HS Student % of Undergrad'!$A$3,"State","GA","Category",5,"Category2","Four-Year")</f>
        <v>1.6794527154352465E-2</v>
      </c>
      <c r="L16" s="186">
        <f>+GETPIVOTDATA("Undergrad Student Credit Hour FTE - New",'FTE Pivot for regular counts'!$A$2,"State","GA","Category",6,"Category2","Four-Year")</f>
        <v>18620.099999999999</v>
      </c>
      <c r="M16" s="167">
        <f>+GETPIVOTDATA("Sum of New-HS % of Total",'Pivot-HS Student % of Undergrad'!$A$3,"State","GA","Category",6,"Category2","Four-Year")</f>
        <v>2.1326416077249853E-2</v>
      </c>
      <c r="N16" s="186">
        <f>+GETPIVOTDATA("Undergrad Student Credit Hour FTE - New",'FTE Pivot for regular counts'!$A$2,"State","GA","Category2","Four-Year")</f>
        <v>187502.46666666667</v>
      </c>
      <c r="O16" s="167">
        <f>+GETPIVOTDATA("Sum of New-HS % of Total",'Pivot-HS Student % of Undergrad'!$A$3,"State","GA","Category2","Group1")</f>
        <v>7.7106541176169413E-3</v>
      </c>
      <c r="Q16" s="1" t="s">
        <v>68</v>
      </c>
      <c r="R16" s="239">
        <f>+GETPIVOTDATA("Sum of Old-HS % of Total",'Pivot-HS Student % of Undergrad'!$A$3,"State","GA","Category",1,"Category2","Four-Year")</f>
        <v>1.7350402085066952E-3</v>
      </c>
      <c r="S16" s="467">
        <f t="shared" ref="S16:S19" si="21">(C16-R16)*100</f>
        <v>4.5816115045693585E-2</v>
      </c>
      <c r="T16" s="240">
        <f>+GETPIVOTDATA("Sum of Old-HS % of Total",'Pivot-HS Student % of Undergrad'!$A$3,"State","GA","Category",2,"Category2","Four-Year")</f>
        <v>5.8736389198165723E-3</v>
      </c>
      <c r="U16" s="467">
        <f t="shared" si="0"/>
        <v>2.7042691343181265E-2</v>
      </c>
      <c r="V16" s="240">
        <f>+GETPIVOTDATA("Sum of Old-HS % of Total",'Pivot-HS Student % of Undergrad'!$A$3,"State","GA","Category",3,"Category2","Four-Year")</f>
        <v>5.4095300059680647E-3</v>
      </c>
      <c r="W16" s="467">
        <f t="shared" si="1"/>
        <v>4.8524784417893971E-2</v>
      </c>
      <c r="X16" s="240">
        <f>+GETPIVOTDATA("Sum of Old-HS % of Total",'Pivot-HS Student % of Undergrad'!$A$3,"State","GA","Category",4,"Category2","Four-Year")</f>
        <v>5.3333802485480107E-3</v>
      </c>
      <c r="Y16" s="467">
        <f t="shared" si="2"/>
        <v>0.21816825743372287</v>
      </c>
      <c r="Z16" s="240">
        <f>+GETPIVOTDATA("Sum of Old-HS % of Total",'Pivot-HS Student % of Undergrad'!$A$3,"State","GA","Category",5,"Category2","Four-Year")</f>
        <v>1.3894093695281048E-2</v>
      </c>
      <c r="AA16" s="467">
        <f t="shared" si="3"/>
        <v>0.2900433459071417</v>
      </c>
      <c r="AB16" s="240">
        <f>+GETPIVOTDATA("Sum of Old-HS % of Total",'Pivot-HS Student % of Undergrad'!$A$3,"State","GA","Category",6,"Category2","Four-Year")</f>
        <v>1.7382291290720022E-2</v>
      </c>
      <c r="AC16" s="467">
        <f t="shared" si="4"/>
        <v>0.39441247865298312</v>
      </c>
      <c r="AD16" s="240">
        <f>+GETPIVOTDATA("Sum of Old-HS % of Total",'Pivot-HS Student % of Undergrad'!$A$3,"State","GA","Category2","Four-Year")</f>
        <v>6.3916104901332593E-3</v>
      </c>
      <c r="AE16" s="467">
        <f t="shared" si="5"/>
        <v>0.1319043627483682</v>
      </c>
      <c r="AF16" s="1" t="s">
        <v>68</v>
      </c>
      <c r="AH16" s="853" t="s">
        <v>68</v>
      </c>
      <c r="AI16" s="850">
        <f t="shared" si="7"/>
        <v>0.21932013589636309</v>
      </c>
      <c r="AJ16" s="850">
        <f t="shared" si="8"/>
        <v>0.61440658332483855</v>
      </c>
      <c r="AK16" s="850">
        <f t="shared" si="9"/>
        <v>0.58947778501470038</v>
      </c>
      <c r="AL16" s="850">
        <f t="shared" si="10"/>
        <v>0.7515062822885239</v>
      </c>
      <c r="AM16" s="850">
        <f t="shared" si="11"/>
        <v>1.6794527154352465</v>
      </c>
      <c r="AN16" s="850">
        <f t="shared" si="12"/>
        <v>2.1326416077249855</v>
      </c>
      <c r="AO16" s="850">
        <f t="shared" si="13"/>
        <v>0.77106541176169419</v>
      </c>
      <c r="AQ16" s="853" t="s">
        <v>68</v>
      </c>
      <c r="AR16" s="850">
        <f t="shared" si="14"/>
        <v>0.17350402085066952</v>
      </c>
      <c r="AS16" s="850">
        <f t="shared" si="15"/>
        <v>0.58736389198165728</v>
      </c>
      <c r="AT16" s="850">
        <f t="shared" si="16"/>
        <v>0.54095300059680651</v>
      </c>
      <c r="AU16" s="850">
        <f t="shared" si="17"/>
        <v>0.53333802485480108</v>
      </c>
      <c r="AV16" s="850">
        <f t="shared" si="18"/>
        <v>1.3894093695281047</v>
      </c>
      <c r="AW16" s="850">
        <f t="shared" si="19"/>
        <v>1.7382291290720022</v>
      </c>
      <c r="AX16" s="850">
        <f t="shared" si="20"/>
        <v>0.63916104901332593</v>
      </c>
    </row>
    <row r="17" spans="1:50" ht="15" customHeight="1">
      <c r="A17" s="1" t="s">
        <v>69</v>
      </c>
      <c r="B17" s="5">
        <f>+GETPIVOTDATA("Undergrad Student Credit Hour FTE - New",'FTE Pivot for regular counts'!$A$2,"State","KY","Category",1,"Category2","Four-Year")</f>
        <v>33109.266666666663</v>
      </c>
      <c r="C17" s="167">
        <f>+GETPIVOTDATA("Sum of New-HS % of Total",'Pivot-HS Student % of Undergrad'!$A$3,"State","KY","Category",1,"Category2","Four-Year")</f>
        <v>1.7719107842920109E-3</v>
      </c>
      <c r="D17" s="186">
        <f>+GETPIVOTDATA("Undergrad Student Credit Hour FTE - New",'FTE Pivot for regular counts'!$A$2,"State","KY","Category",2,"Category2","Four-Year")</f>
        <v>0</v>
      </c>
      <c r="E17" s="167">
        <f>+GETPIVOTDATA("Sum of New-HS % of Total",'Pivot-HS Student % of Undergrad'!$A$3,"State","KY","Category",2,"Category2","Four-Year")</f>
        <v>0</v>
      </c>
      <c r="F17" s="186">
        <f>+GETPIVOTDATA("Undergrad Student Credit Hour FTE - New",'FTE Pivot for regular counts'!$A$2,"State","KY","Category",3,"Category2","Four-Year")</f>
        <v>41215.466666666667</v>
      </c>
      <c r="G17" s="167">
        <f>+GETPIVOTDATA("Sum of New-HS % of Total",'Pivot-HS Student % of Undergrad'!$A$3,"State","KY","Category",3,"Category2","Four-Year")</f>
        <v>2.9799492747059356E-2</v>
      </c>
      <c r="H17" s="186">
        <f>+GETPIVOTDATA("Undergrad Student Credit Hour FTE - New",'FTE Pivot for regular counts'!$A$2,"State","KY","Category",4,"Category2","Four-Year")</f>
        <v>12903.7</v>
      </c>
      <c r="I17" s="167">
        <f>+GETPIVOTDATA("Sum of New-HS % of Total",'Pivot-HS Student % of Undergrad'!$A$3,"State","KY","Category",4,"Category2","Four-Year")</f>
        <v>1.7263782222669985E-2</v>
      </c>
      <c r="J17" s="186">
        <f>+GETPIVOTDATA("Undergrad Student Credit Hour FTE - New",'FTE Pivot for regular counts'!$A$2,"State","KY","Category",5,"Category2","Four-Year")</f>
        <v>0</v>
      </c>
      <c r="K17" s="167">
        <f>+GETPIVOTDATA("Sum of New-HS % of Total",'Pivot-HS Student % of Undergrad'!$A$3,"State","KY","Category",5,"Category2","Four-Year")</f>
        <v>0</v>
      </c>
      <c r="L17" s="186">
        <f>+GETPIVOTDATA("Undergrad Student Credit Hour FTE - New",'FTE Pivot for regular counts'!$A$2,"State","KY","Category",6,"Category2","Four-Year")</f>
        <v>0</v>
      </c>
      <c r="M17" s="167">
        <f>+GETPIVOTDATA("Sum of New-HS % of Total",'Pivot-HS Student % of Undergrad'!$A$3,"State","KY","Category",6,"Category2","Four-Year")</f>
        <v>0</v>
      </c>
      <c r="N17" s="186">
        <f>+GETPIVOTDATA("Undergrad Student Credit Hour FTE - New",'FTE Pivot for regular counts'!$A$2,"State","KY","Category2","Four-Year")</f>
        <v>87228.433333333334</v>
      </c>
      <c r="O17" s="167">
        <f>+GETPIVOTDATA("Sum of New-HS % of Total",'Pivot-HS Student % of Undergrad'!$A$3,"State","KY","Category2","Group1")</f>
        <v>1.7306665678202025E-2</v>
      </c>
      <c r="Q17" s="1" t="s">
        <v>69</v>
      </c>
      <c r="R17" s="239">
        <f>+GETPIVOTDATA("Sum of Old-HS % of Total",'Pivot-HS Student % of Undergrad'!$A$3,"State","KY","Category",1,"Category2","Four-Year")</f>
        <v>1.6037564274258883E-3</v>
      </c>
      <c r="S17" s="467">
        <f t="shared" si="21"/>
        <v>1.681543568661226E-2</v>
      </c>
      <c r="T17" s="240">
        <f>+GETPIVOTDATA("Sum of Old-HS % of Total",'Pivot-HS Student % of Undergrad'!$A$3,"State","KY","Category",2,"Category2","Four-Year")</f>
        <v>0</v>
      </c>
      <c r="U17" s="467">
        <f t="shared" si="0"/>
        <v>0</v>
      </c>
      <c r="V17" s="240">
        <f>+GETPIVOTDATA("Sum of Old-HS % of Total",'Pivot-HS Student % of Undergrad'!$A$3,"State","KY","Category",3,"Category2","Four-Year")</f>
        <v>2.7879932292282913E-2</v>
      </c>
      <c r="W17" s="467">
        <f t="shared" si="1"/>
        <v>0.19195604547764428</v>
      </c>
      <c r="X17" s="240">
        <f>+GETPIVOTDATA("Sum of Old-HS % of Total",'Pivot-HS Student % of Undergrad'!$A$3,"State","KY","Category",4,"Category2","Four-Year")</f>
        <v>1.4008919861337165E-2</v>
      </c>
      <c r="Y17" s="467">
        <f t="shared" si="2"/>
        <v>0.32548623613328204</v>
      </c>
      <c r="Z17" s="240">
        <f>+GETPIVOTDATA("Sum of Old-HS % of Total",'Pivot-HS Student % of Undergrad'!$A$3,"State","KY","Category",5,"Category2","Four-Year")</f>
        <v>0</v>
      </c>
      <c r="AA17" s="467">
        <f t="shared" si="3"/>
        <v>0</v>
      </c>
      <c r="AB17" s="240">
        <f>+GETPIVOTDATA("Sum of Old-HS % of Total",'Pivot-HS Student % of Undergrad'!$A$3,"State","KY","Category",6,"Category2","Four-Year")</f>
        <v>0</v>
      </c>
      <c r="AC17" s="467">
        <f t="shared" si="4"/>
        <v>0</v>
      </c>
      <c r="AD17" s="240">
        <f>+GETPIVOTDATA("Sum of Old-HS % of Total",'Pivot-HS Student % of Undergrad'!$A$3,"State","KY","Category2","Four-Year")</f>
        <v>1.6017772081203842E-2</v>
      </c>
      <c r="AE17" s="467">
        <f t="shared" si="5"/>
        <v>0.1288893596998183</v>
      </c>
      <c r="AF17" s="1" t="s">
        <v>69</v>
      </c>
      <c r="AH17" s="853" t="s">
        <v>69</v>
      </c>
      <c r="AI17" s="850">
        <f t="shared" si="7"/>
        <v>0.17719107842920109</v>
      </c>
      <c r="AJ17" s="850">
        <f t="shared" si="8"/>
        <v>0</v>
      </c>
      <c r="AK17" s="850">
        <f t="shared" si="9"/>
        <v>2.9799492747059357</v>
      </c>
      <c r="AL17" s="850">
        <f t="shared" si="10"/>
        <v>1.7263782222669986</v>
      </c>
      <c r="AM17" s="850">
        <f t="shared" si="11"/>
        <v>0</v>
      </c>
      <c r="AN17" s="850">
        <f t="shared" si="12"/>
        <v>0</v>
      </c>
      <c r="AO17" s="850">
        <f t="shared" si="13"/>
        <v>1.7306665678202025</v>
      </c>
      <c r="AQ17" s="853" t="s">
        <v>69</v>
      </c>
      <c r="AR17" s="850">
        <f t="shared" si="14"/>
        <v>0.16037564274258884</v>
      </c>
      <c r="AS17" s="850">
        <f t="shared" si="15"/>
        <v>0</v>
      </c>
      <c r="AT17" s="850">
        <f t="shared" si="16"/>
        <v>2.7879932292282912</v>
      </c>
      <c r="AU17" s="850">
        <f t="shared" si="17"/>
        <v>1.4008919861337166</v>
      </c>
      <c r="AV17" s="850">
        <f t="shared" si="18"/>
        <v>0</v>
      </c>
      <c r="AW17" s="850">
        <f t="shared" si="19"/>
        <v>0</v>
      </c>
      <c r="AX17" s="850">
        <f t="shared" si="20"/>
        <v>1.6017772081203843</v>
      </c>
    </row>
    <row r="18" spans="1:50" ht="15" customHeight="1">
      <c r="A18" s="1" t="s">
        <v>70</v>
      </c>
      <c r="B18" s="5">
        <f>+GETPIVOTDATA("Undergrad Student Credit Hour FTE - New",'FTE Pivot for regular counts'!$A$2,"State","LA","Category",1,"Category2","Four-Year")</f>
        <v>23878.066666666666</v>
      </c>
      <c r="C18" s="167">
        <f>+GETPIVOTDATA("Sum of New-HS % of Total",'Pivot-HS Student % of Undergrad'!$A$3,"State","LA","Category",1,"Category2","Four-Year")</f>
        <v>4.7630880222016862E-3</v>
      </c>
      <c r="D18" s="186">
        <f>+GETPIVOTDATA("Undergrad Student Credit Hour FTE - New",'FTE Pivot for regular counts'!$A$2,"State","LA","Category",2,"Category2","Four-Year")</f>
        <v>27187.133333333331</v>
      </c>
      <c r="E18" s="167">
        <f>+GETPIVOTDATA("Sum of New-HS % of Total",'Pivot-HS Student % of Undergrad'!$A$3,"State","LA","Category",2,"Category2","Four-Year")</f>
        <v>2.1629103963394448E-2</v>
      </c>
      <c r="F18" s="186">
        <f>+GETPIVOTDATA("Undergrad Student Credit Hour FTE - New",'FTE Pivot for regular counts'!$A$2,"State","LA","Category",3,"Category2","Four-Year")</f>
        <v>22508.033333333333</v>
      </c>
      <c r="G18" s="167">
        <f>+GETPIVOTDATA("Sum of New-HS % of Total",'Pivot-HS Student % of Undergrad'!$A$3,"State","LA","Category",3,"Category2","Four-Year")</f>
        <v>4.4295296049854792E-2</v>
      </c>
      <c r="H18" s="186">
        <f>+GETPIVOTDATA("Undergrad Student Credit Hour FTE - New",'FTE Pivot for regular counts'!$A$2,"State","LA","Category",4,"Category2","Four-Year")</f>
        <v>28124.699999999997</v>
      </c>
      <c r="I18" s="167">
        <f>+GETPIVOTDATA("Sum of New-HS % of Total",'Pivot-HS Student % of Undergrad'!$A$3,"State","LA","Category",4,"Category2","Four-Year")</f>
        <v>2.9966541865335452E-2</v>
      </c>
      <c r="J18" s="186">
        <f>+GETPIVOTDATA("Undergrad Student Credit Hour FTE - New",'FTE Pivot for regular counts'!$A$2,"State","LA","Category",5,"Category2","Four-Year")</f>
        <v>0</v>
      </c>
      <c r="K18" s="167">
        <f>+GETPIVOTDATA("Sum of New-HS % of Total",'Pivot-HS Student % of Undergrad'!$A$3,"State","LA","Category",5,"Category2","Four-Year")</f>
        <v>0</v>
      </c>
      <c r="L18" s="186">
        <f>+GETPIVOTDATA("Undergrad Student Credit Hour FTE - New",'FTE Pivot for regular counts'!$A$2,"State","LA","Category",6,"Category2","Four-Year")</f>
        <v>1640.1666666666667</v>
      </c>
      <c r="M18" s="167">
        <f>+GETPIVOTDATA("Sum of New-HS % of Total",'Pivot-HS Student % of Undergrad'!$A$3,"State","LA","Category",6,"Category2","Four-Year")</f>
        <v>4.8084544253632761E-2</v>
      </c>
      <c r="N18" s="186">
        <f>+GETPIVOTDATA("Undergrad Student Credit Hour FTE - New",'FTE Pivot for regular counts'!$A$2,"State","LA","Category2","Four-Year")</f>
        <v>103338.1</v>
      </c>
      <c r="O18" s="167">
        <f>+GETPIVOTDATA("Sum of New-HS % of Total",'Pivot-HS Student % of Undergrad'!$A$3,"State","LA","Category2","Group1")</f>
        <v>2.5357862524406131E-2</v>
      </c>
      <c r="Q18" s="1" t="s">
        <v>70</v>
      </c>
      <c r="R18" s="239">
        <f>+GETPIVOTDATA("Sum of Old-HS % of Total",'Pivot-HS Student % of Undergrad'!$A$3,"State","LA","Category",1,"Category2","Four-Year")</f>
        <v>2.8234210152453701E-3</v>
      </c>
      <c r="S18" s="467">
        <f t="shared" si="21"/>
        <v>0.1939667006956316</v>
      </c>
      <c r="T18" s="240">
        <f>+GETPIVOTDATA("Sum of Old-HS % of Total",'Pivot-HS Student % of Undergrad'!$A$3,"State","LA","Category",2,"Category2","Four-Year")</f>
        <v>1.7151167273404481E-2</v>
      </c>
      <c r="U18" s="467">
        <f t="shared" si="0"/>
        <v>0.44779366899899664</v>
      </c>
      <c r="V18" s="240">
        <f>+GETPIVOTDATA("Sum of Old-HS % of Total",'Pivot-HS Student % of Undergrad'!$A$3,"State","LA","Category",3,"Category2","Four-Year")</f>
        <v>3.2729901917887612E-2</v>
      </c>
      <c r="W18" s="467">
        <f t="shared" si="1"/>
        <v>1.1565394131967179</v>
      </c>
      <c r="X18" s="240">
        <f>+GETPIVOTDATA("Sum of Old-HS % of Total",'Pivot-HS Student % of Undergrad'!$A$3,"State","LA","Category",4,"Category2","Four-Year")</f>
        <v>2.7969895024260234E-2</v>
      </c>
      <c r="Y18" s="467">
        <f t="shared" si="2"/>
        <v>0.19966468410752175</v>
      </c>
      <c r="Z18" s="240">
        <f>+GETPIVOTDATA("Sum of Old-HS % of Total",'Pivot-HS Student % of Undergrad'!$A$3,"State","LA","Category",5,"Category2","Four-Year")</f>
        <v>0</v>
      </c>
      <c r="AA18" s="467">
        <f t="shared" si="3"/>
        <v>0</v>
      </c>
      <c r="AB18" s="240">
        <f>+GETPIVOTDATA("Sum of Old-HS % of Total",'Pivot-HS Student % of Undergrad'!$A$3,"State","LA","Category",6,"Category2","Four-Year")</f>
        <v>5.5462119894063293E-2</v>
      </c>
      <c r="AC18" s="467">
        <f t="shared" si="4"/>
        <v>-0.73775756404305326</v>
      </c>
      <c r="AD18" s="240">
        <f>+GETPIVOTDATA("Sum of Old-HS % of Total",'Pivot-HS Student % of Undergrad'!$A$3,"State","LA","Category2","Four-Year")</f>
        <v>2.091548168690328E-2</v>
      </c>
      <c r="AE18" s="467">
        <f t="shared" si="5"/>
        <v>0.44423808375028512</v>
      </c>
      <c r="AF18" s="1" t="s">
        <v>70</v>
      </c>
      <c r="AH18" s="853" t="s">
        <v>70</v>
      </c>
      <c r="AI18" s="850">
        <f t="shared" si="7"/>
        <v>0.47630880222016864</v>
      </c>
      <c r="AJ18" s="850">
        <f t="shared" si="8"/>
        <v>2.1629103963394449</v>
      </c>
      <c r="AK18" s="850">
        <f t="shared" si="9"/>
        <v>4.4295296049854791</v>
      </c>
      <c r="AL18" s="850">
        <f t="shared" si="10"/>
        <v>2.996654186533545</v>
      </c>
      <c r="AM18" s="850">
        <f t="shared" si="11"/>
        <v>0</v>
      </c>
      <c r="AN18" s="850">
        <f t="shared" si="12"/>
        <v>4.8084544253632764</v>
      </c>
      <c r="AO18" s="850">
        <f t="shared" si="13"/>
        <v>2.5357862524406132</v>
      </c>
      <c r="AQ18" s="853" t="s">
        <v>70</v>
      </c>
      <c r="AR18" s="850">
        <f t="shared" si="14"/>
        <v>0.28234210152453698</v>
      </c>
      <c r="AS18" s="850">
        <f t="shared" si="15"/>
        <v>1.7151167273404482</v>
      </c>
      <c r="AT18" s="850">
        <f t="shared" si="16"/>
        <v>3.2729901917887614</v>
      </c>
      <c r="AU18" s="850">
        <f t="shared" si="17"/>
        <v>2.7969895024260234</v>
      </c>
      <c r="AV18" s="850">
        <f t="shared" si="18"/>
        <v>0</v>
      </c>
      <c r="AW18" s="850">
        <f t="shared" si="19"/>
        <v>5.5462119894063289</v>
      </c>
      <c r="AX18" s="850">
        <f t="shared" si="20"/>
        <v>2.0915481686903279</v>
      </c>
    </row>
    <row r="19" spans="1:50" ht="15" customHeight="1">
      <c r="A19" s="1" t="s">
        <v>71</v>
      </c>
      <c r="B19" s="5">
        <f>+GETPIVOTDATA("Undergrad Student Credit Hour FTE - New",'FTE Pivot for regular counts'!$A$2,"State","MD","Category",1,"Category2","Four-Year")</f>
        <v>26229.133333333335</v>
      </c>
      <c r="C19" s="167">
        <f>+GETPIVOTDATA("Sum of New-HS % of Total",'Pivot-HS Student % of Undergrad'!$A$3,"State","MD","Category",1,"Category2","Four-Year")</f>
        <v>0</v>
      </c>
      <c r="D19" s="186">
        <f>+GETPIVOTDATA("Undergrad Student Credit Hour FTE - New",'FTE Pivot for regular counts'!$A$2,"State","MD","Category",2,"Category2","Four-Year")</f>
        <v>16510.583333333332</v>
      </c>
      <c r="E19" s="167">
        <f>+GETPIVOTDATA("Sum of New-HS % of Total",'Pivot-HS Student % of Undergrad'!$A$3,"State","MD","Category",2,"Category2","Four-Year")</f>
        <v>0</v>
      </c>
      <c r="F19" s="186">
        <f>+GETPIVOTDATA("Undergrad Student Credit Hour FTE - New",'FTE Pivot for regular counts'!$A$2,"State","MD","Category",3,"Category2","Four-Year")</f>
        <v>17750.099999999999</v>
      </c>
      <c r="G19" s="167">
        <f>+GETPIVOTDATA("Sum of New-HS % of Total",'Pivot-HS Student % of Undergrad'!$A$3,"State","MD","Category",3,"Category2","Four-Year")</f>
        <v>0</v>
      </c>
      <c r="H19" s="186">
        <f>+GETPIVOTDATA("Undergrad Student Credit Hour FTE - New",'FTE Pivot for regular counts'!$A$2,"State","MD","Category",4,"Category2","Four-Year")</f>
        <v>22334.683333333334</v>
      </c>
      <c r="I19" s="167">
        <f>+GETPIVOTDATA("Sum of New-HS % of Total",'Pivot-HS Student % of Undergrad'!$A$3,"State","MD","Category",4,"Category2","Four-Year")</f>
        <v>0</v>
      </c>
      <c r="J19" s="186">
        <f>+GETPIVOTDATA("Undergrad Student Credit Hour FTE - New",'FTE Pivot for regular counts'!$A$2,"State","MD","Category",5,"Category2","Four-Year")</f>
        <v>2689.0333333333333</v>
      </c>
      <c r="K19" s="167">
        <f>+GETPIVOTDATA("Sum of New-HS % of Total",'Pivot-HS Student % of Undergrad'!$A$3,"State","MD","Category",5,"Category2","Four-Year")</f>
        <v>0</v>
      </c>
      <c r="L19" s="186">
        <f>+GETPIVOTDATA("Undergrad Student Credit Hour FTE - New",'FTE Pivot for regular counts'!$A$2,"State","MD","Category",6,"Category2","Four-Year")</f>
        <v>1865.8666666666666</v>
      </c>
      <c r="M19" s="167">
        <f>+GETPIVOTDATA("Sum of New-HS % of Total",'Pivot-HS Student % of Undergrad'!$A$3,"State","MD","Category",6,"Category2","Four-Year")</f>
        <v>0</v>
      </c>
      <c r="N19" s="186">
        <f>+GETPIVOTDATA("Undergrad Student Credit Hour FTE - New",'FTE Pivot for regular counts'!$A$2,"State","MD","Category2","Four-Year")</f>
        <v>87379.400000000009</v>
      </c>
      <c r="O19" s="167">
        <f>+GETPIVOTDATA("Sum of New-HS % of Total",'Pivot-HS Student % of Undergrad'!$A$3,"State","MD","Category2","Group1")</f>
        <v>0</v>
      </c>
      <c r="Q19" s="1" t="s">
        <v>71</v>
      </c>
      <c r="R19" s="239">
        <f>+GETPIVOTDATA("Sum of Old-HS % of Total",'Pivot-HS Student % of Undergrad'!$A$3,"State","MD","Category",1,"Category2","Four-Year")</f>
        <v>0</v>
      </c>
      <c r="S19" s="467">
        <f t="shared" si="21"/>
        <v>0</v>
      </c>
      <c r="T19" s="240">
        <f>+GETPIVOTDATA("Sum of Old-HS % of Total",'Pivot-HS Student % of Undergrad'!$A$3,"State","MD","Category",2,"Category2","Four-Year")</f>
        <v>0</v>
      </c>
      <c r="U19" s="467">
        <f t="shared" si="0"/>
        <v>0</v>
      </c>
      <c r="V19" s="240">
        <f>+GETPIVOTDATA("Sum of Old-HS % of Total",'Pivot-HS Student % of Undergrad'!$A$3,"State","MD","Category",3,"Category2","Four-Year")</f>
        <v>0</v>
      </c>
      <c r="W19" s="467">
        <f t="shared" si="1"/>
        <v>0</v>
      </c>
      <c r="X19" s="240">
        <f>+GETPIVOTDATA("Sum of Old-HS % of Total",'Pivot-HS Student % of Undergrad'!$A$3,"State","MD","Category",4,"Category2","Four-Year")</f>
        <v>0</v>
      </c>
      <c r="Y19" s="467">
        <f t="shared" si="2"/>
        <v>0</v>
      </c>
      <c r="Z19" s="240">
        <f>+GETPIVOTDATA("Sum of Old-HS % of Total",'Pivot-HS Student % of Undergrad'!$A$3,"State","MD","Category",5,"Category2","Four-Year")</f>
        <v>0</v>
      </c>
      <c r="AA19" s="467">
        <f t="shared" si="3"/>
        <v>0</v>
      </c>
      <c r="AB19" s="240">
        <f>+GETPIVOTDATA("Sum of Old-HS % of Total",'Pivot-HS Student % of Undergrad'!$A$3,"State","MD","Category",6,"Category2","Four-Year")</f>
        <v>0</v>
      </c>
      <c r="AC19" s="467">
        <f t="shared" si="4"/>
        <v>0</v>
      </c>
      <c r="AD19" s="240">
        <f>+GETPIVOTDATA("Sum of Old-HS % of Total",'Pivot-HS Student % of Undergrad'!$A$3,"State","MD","Category2","Four-Year")</f>
        <v>0</v>
      </c>
      <c r="AE19" s="467">
        <f t="shared" si="5"/>
        <v>0</v>
      </c>
      <c r="AF19" s="1" t="s">
        <v>71</v>
      </c>
      <c r="AH19" s="853" t="s">
        <v>71</v>
      </c>
      <c r="AI19" s="850">
        <f t="shared" si="7"/>
        <v>0</v>
      </c>
      <c r="AJ19" s="850">
        <f t="shared" si="8"/>
        <v>0</v>
      </c>
      <c r="AK19" s="850">
        <f t="shared" si="9"/>
        <v>0</v>
      </c>
      <c r="AL19" s="850">
        <f t="shared" si="10"/>
        <v>0</v>
      </c>
      <c r="AM19" s="850">
        <f t="shared" si="11"/>
        <v>0</v>
      </c>
      <c r="AN19" s="850">
        <f t="shared" si="12"/>
        <v>0</v>
      </c>
      <c r="AO19" s="850">
        <f t="shared" si="13"/>
        <v>0</v>
      </c>
      <c r="AQ19" s="853" t="s">
        <v>71</v>
      </c>
      <c r="AR19" s="850">
        <f t="shared" si="14"/>
        <v>0</v>
      </c>
      <c r="AS19" s="850">
        <f t="shared" si="15"/>
        <v>0</v>
      </c>
      <c r="AT19" s="850">
        <f t="shared" si="16"/>
        <v>0</v>
      </c>
      <c r="AU19" s="850">
        <f t="shared" si="17"/>
        <v>0</v>
      </c>
      <c r="AV19" s="850">
        <f t="shared" si="18"/>
        <v>0</v>
      </c>
      <c r="AW19" s="850">
        <f t="shared" si="19"/>
        <v>0</v>
      </c>
      <c r="AX19" s="850">
        <f t="shared" si="20"/>
        <v>0</v>
      </c>
    </row>
    <row r="20" spans="1:50" ht="15" customHeight="1">
      <c r="B20" s="5"/>
      <c r="C20" s="167"/>
      <c r="D20" s="186"/>
      <c r="E20" s="167"/>
      <c r="F20" s="186"/>
      <c r="G20" s="167"/>
      <c r="H20" s="186"/>
      <c r="I20" s="167"/>
      <c r="J20" s="186"/>
      <c r="K20" s="167"/>
      <c r="L20" s="186"/>
      <c r="M20" s="167"/>
      <c r="N20" s="186"/>
      <c r="O20" s="167"/>
      <c r="R20" s="239"/>
      <c r="S20" s="467"/>
      <c r="T20" s="240"/>
      <c r="U20" s="467"/>
      <c r="V20" s="240"/>
      <c r="W20" s="467"/>
      <c r="X20" s="240"/>
      <c r="Y20" s="467"/>
      <c r="Z20" s="240"/>
      <c r="AA20" s="467"/>
      <c r="AB20" s="240"/>
      <c r="AC20" s="467"/>
      <c r="AD20" s="240"/>
      <c r="AE20" s="467"/>
      <c r="AH20" s="853"/>
      <c r="AI20" s="850">
        <f t="shared" si="7"/>
        <v>0</v>
      </c>
      <c r="AJ20" s="850">
        <f t="shared" si="8"/>
        <v>0</v>
      </c>
      <c r="AK20" s="850">
        <f t="shared" si="9"/>
        <v>0</v>
      </c>
      <c r="AL20" s="850">
        <f t="shared" si="10"/>
        <v>0</v>
      </c>
      <c r="AM20" s="850">
        <f t="shared" si="11"/>
        <v>0</v>
      </c>
      <c r="AN20" s="850">
        <f t="shared" si="12"/>
        <v>0</v>
      </c>
      <c r="AO20" s="850">
        <f t="shared" si="13"/>
        <v>0</v>
      </c>
      <c r="AQ20" s="853"/>
      <c r="AR20" s="850">
        <f t="shared" si="14"/>
        <v>0</v>
      </c>
      <c r="AS20" s="850">
        <f t="shared" si="15"/>
        <v>0</v>
      </c>
      <c r="AT20" s="850">
        <f t="shared" si="16"/>
        <v>0</v>
      </c>
      <c r="AU20" s="850">
        <f t="shared" si="17"/>
        <v>0</v>
      </c>
      <c r="AV20" s="850">
        <f t="shared" si="18"/>
        <v>0</v>
      </c>
      <c r="AW20" s="850">
        <f t="shared" si="19"/>
        <v>0</v>
      </c>
      <c r="AX20" s="850">
        <f t="shared" si="20"/>
        <v>0</v>
      </c>
    </row>
    <row r="21" spans="1:50" ht="15" customHeight="1">
      <c r="A21" s="1" t="s">
        <v>72</v>
      </c>
      <c r="B21" s="5">
        <f>+GETPIVOTDATA("Undergrad Student Credit Hour FTE - New",'FTE Pivot for regular counts'!$A$2,"State","MS","Category",1,"Category2","Four-Year")</f>
        <v>27037.533333333333</v>
      </c>
      <c r="C21" s="167">
        <f>+GETPIVOTDATA("Sum of New-HS % of Total",'Pivot-HS Student % of Undergrad'!$A$3,"State","MS","Category",1,"Category2","Four-Year")</f>
        <v>0</v>
      </c>
      <c r="D21" s="186">
        <f>+GETPIVOTDATA("Undergrad Student Credit Hour FTE - New",'FTE Pivot for regular counts'!$A$2,"State","MS","Category",2,"Category2","Four-Year")</f>
        <v>21215.766666666666</v>
      </c>
      <c r="E21" s="167">
        <f>+GETPIVOTDATA("Sum of New-HS % of Total",'Pivot-HS Student % of Undergrad'!$A$3,"State","MS","Category",2,"Category2","Four-Year")</f>
        <v>0</v>
      </c>
      <c r="F21" s="186">
        <f>+GETPIVOTDATA("Undergrad Student Credit Hour FTE - New",'FTE Pivot for regular counts'!$A$2,"State","MS","Category",3,"Category2","Four-Year")</f>
        <v>0</v>
      </c>
      <c r="G21" s="167">
        <f>+GETPIVOTDATA("Sum of New-HS % of Total",'Pivot-HS Student % of Undergrad'!$A$3,"State","MS","Category",3,"Category2","Four-Year")</f>
        <v>0</v>
      </c>
      <c r="H21" s="186">
        <f>+GETPIVOTDATA("Undergrad Student Credit Hour FTE - New",'FTE Pivot for regular counts'!$A$2,"State","MS","Category",4,"Category2","Four-Year")</f>
        <v>6972.1666666666661</v>
      </c>
      <c r="I21" s="167">
        <f>+GETPIVOTDATA("Sum of New-HS % of Total",'Pivot-HS Student % of Undergrad'!$A$3,"State","MS","Category",4,"Category2","Four-Year")</f>
        <v>0</v>
      </c>
      <c r="J21" s="186">
        <f>+GETPIVOTDATA("Undergrad Student Credit Hour FTE - New",'FTE Pivot for regular counts'!$A$2,"State","MS","Category",5,"Category2","Four-Year")</f>
        <v>2269.3000000000002</v>
      </c>
      <c r="K21" s="167">
        <f>+GETPIVOTDATA("Sum of New-HS % of Total",'Pivot-HS Student % of Undergrad'!$A$3,"State","MS","Category",5,"Category2","Four-Year")</f>
        <v>0</v>
      </c>
      <c r="L21" s="186">
        <f>+GETPIVOTDATA("Undergrad Student Credit Hour FTE - New",'FTE Pivot for regular counts'!$A$2,"State","MS","Category",6,"Category2","Four-Year")</f>
        <v>0</v>
      </c>
      <c r="M21" s="167">
        <f>+GETPIVOTDATA("Sum of New-HS % of Total",'Pivot-HS Student % of Undergrad'!$A$3,"State","MS","Category",6,"Category2","Four-Year")</f>
        <v>0</v>
      </c>
      <c r="N21" s="186">
        <f>+GETPIVOTDATA("Undergrad Student Credit Hour FTE - New",'FTE Pivot for regular counts'!$A$2,"State","MS","Category2","Four-Year")</f>
        <v>57494.76666666667</v>
      </c>
      <c r="O21" s="167">
        <f>+GETPIVOTDATA("Sum of New-HS % of Total",'Pivot-HS Student % of Undergrad'!$A$3,"State","MS","Category2","Group1")</f>
        <v>0</v>
      </c>
      <c r="Q21" s="1" t="s">
        <v>72</v>
      </c>
      <c r="R21" s="239">
        <f>+GETPIVOTDATA("Sum of Old-HS % of Total",'Pivot-HS Student % of Undergrad'!$A$3,"State","MS","Category",1,"Category2","Four-Year")</f>
        <v>0</v>
      </c>
      <c r="S21" s="467">
        <f t="shared" ref="S21:S24" si="22">(C21-R21)*100</f>
        <v>0</v>
      </c>
      <c r="T21" s="240">
        <f>+GETPIVOTDATA("Sum of Old-HS % of Total",'Pivot-HS Student % of Undergrad'!$A$3,"State","MS","Category",2,"Category2","Four-Year")</f>
        <v>0</v>
      </c>
      <c r="U21" s="467">
        <f t="shared" si="0"/>
        <v>0</v>
      </c>
      <c r="V21" s="240">
        <f>+GETPIVOTDATA("Sum of Old-HS % of Total",'Pivot-HS Student % of Undergrad'!$A$3,"State","MS","Category",3,"Category2","Four-Year")</f>
        <v>0</v>
      </c>
      <c r="W21" s="467">
        <f t="shared" si="1"/>
        <v>0</v>
      </c>
      <c r="X21" s="240">
        <f>+GETPIVOTDATA("Sum of Old-HS % of Total",'Pivot-HS Student % of Undergrad'!$A$3,"State","MS","Category",4,"Category2","Four-Year")</f>
        <v>0</v>
      </c>
      <c r="Y21" s="467">
        <f t="shared" si="2"/>
        <v>0</v>
      </c>
      <c r="Z21" s="240">
        <f>+GETPIVOTDATA("Sum of Old-HS % of Total",'Pivot-HS Student % of Undergrad'!$A$3,"State","MS","Category",5,"Category2","Four-Year")</f>
        <v>0</v>
      </c>
      <c r="AA21" s="467">
        <f t="shared" si="3"/>
        <v>0</v>
      </c>
      <c r="AB21" s="240">
        <f>+GETPIVOTDATA("Sum of Old-HS % of Total",'Pivot-HS Student % of Undergrad'!$A$3,"State","MS","Category",6,"Category2","Four-Year")</f>
        <v>0</v>
      </c>
      <c r="AC21" s="467">
        <f t="shared" si="4"/>
        <v>0</v>
      </c>
      <c r="AD21" s="240">
        <f>+GETPIVOTDATA("Sum of Old-HS % of Total",'Pivot-HS Student % of Undergrad'!$A$3,"State","MS","Category2","Four-Year")</f>
        <v>0</v>
      </c>
      <c r="AE21" s="467">
        <f t="shared" si="5"/>
        <v>0</v>
      </c>
      <c r="AF21" s="1" t="s">
        <v>72</v>
      </c>
      <c r="AH21" s="853" t="s">
        <v>72</v>
      </c>
      <c r="AI21" s="850">
        <f t="shared" si="7"/>
        <v>0</v>
      </c>
      <c r="AJ21" s="850">
        <f t="shared" si="8"/>
        <v>0</v>
      </c>
      <c r="AK21" s="850">
        <f t="shared" si="9"/>
        <v>0</v>
      </c>
      <c r="AL21" s="850">
        <f t="shared" si="10"/>
        <v>0</v>
      </c>
      <c r="AM21" s="850">
        <f t="shared" si="11"/>
        <v>0</v>
      </c>
      <c r="AN21" s="850">
        <f t="shared" si="12"/>
        <v>0</v>
      </c>
      <c r="AO21" s="850">
        <f t="shared" si="13"/>
        <v>0</v>
      </c>
      <c r="AQ21" s="853" t="s">
        <v>72</v>
      </c>
      <c r="AR21" s="850">
        <f t="shared" si="14"/>
        <v>0</v>
      </c>
      <c r="AS21" s="850">
        <f t="shared" si="15"/>
        <v>0</v>
      </c>
      <c r="AT21" s="850">
        <f t="shared" si="16"/>
        <v>0</v>
      </c>
      <c r="AU21" s="850">
        <f t="shared" si="17"/>
        <v>0</v>
      </c>
      <c r="AV21" s="850">
        <f t="shared" si="18"/>
        <v>0</v>
      </c>
      <c r="AW21" s="850">
        <f t="shared" si="19"/>
        <v>0</v>
      </c>
      <c r="AX21" s="850">
        <f t="shared" si="20"/>
        <v>0</v>
      </c>
    </row>
    <row r="22" spans="1:50" ht="15" customHeight="1">
      <c r="A22" s="1" t="s">
        <v>73</v>
      </c>
      <c r="B22" s="5">
        <f>+GETPIVOTDATA("Undergrad Student Credit Hour FTE - New",'FTE Pivot for regular counts'!$A$2,"State","NC","Category",1,"Category2","Four-Year")</f>
        <v>54253.533333333333</v>
      </c>
      <c r="C22" s="469">
        <f>+GETPIVOTDATA("Sum of New-HS % of Total",'Pivot-HS Student % of Undergrad'!$A$3,"State","NC","Category",1,"Category2","Four-Year")</f>
        <v>6.8628402696967205E-4</v>
      </c>
      <c r="D22" s="186">
        <f>+GETPIVOTDATA("Undergrad Student Credit Hour FTE - New",'FTE Pivot for regular counts'!$A$2,"State","NC","Category",2,"Category2","Four-Year")</f>
        <v>39325.599999999999</v>
      </c>
      <c r="E22" s="167">
        <f>+GETPIVOTDATA("Sum of New-HS % of Total",'Pivot-HS Student % of Undergrad'!$A$3,"State","NC","Category",2,"Category2","Four-Year")</f>
        <v>1.0629208454543606E-3</v>
      </c>
      <c r="F22" s="186">
        <f>+GETPIVOTDATA("Undergrad Student Credit Hour FTE - New",'FTE Pivot for regular counts'!$A$2,"State","NC","Category",3,"Category2","Four-Year")</f>
        <v>50798.9</v>
      </c>
      <c r="G22" s="167">
        <f>+GETPIVOTDATA("Sum of New-HS % of Total",'Pivot-HS Student % of Undergrad'!$A$3,"State","NC","Category",3,"Category2","Four-Year")</f>
        <v>3.9239694822788161E-3</v>
      </c>
      <c r="H22" s="186">
        <f>+GETPIVOTDATA("Undergrad Student Credit Hour FTE - New",'FTE Pivot for regular counts'!$A$2,"State","NC","Category",4,"Category2","Four-Year")</f>
        <v>4966.7</v>
      </c>
      <c r="I22" s="167">
        <f>+GETPIVOTDATA("Sum of New-HS % of Total",'Pivot-HS Student % of Undergrad'!$A$3,"State","NC","Category",4,"Category2","Four-Year")</f>
        <v>2.1476365930429998E-2</v>
      </c>
      <c r="J22" s="186">
        <f>+GETPIVOTDATA("Undergrad Student Credit Hour FTE - New",'FTE Pivot for regular counts'!$A$2,"State","NC","Category",5,"Category2","Four-Year")</f>
        <v>9916.4</v>
      </c>
      <c r="K22" s="167">
        <f>+GETPIVOTDATA("Sum of New-HS % of Total",'Pivot-HS Student % of Undergrad'!$A$3,"State","NC","Category",5,"Category2","Four-Year")</f>
        <v>0</v>
      </c>
      <c r="L22" s="186">
        <f>+GETPIVOTDATA("Undergrad Student Credit Hour FTE - New",'FTE Pivot for regular counts'!$A$2,"State","NC","Category",6,"Category2","Four-Year")</f>
        <v>5801.2000000000007</v>
      </c>
      <c r="M22" s="167">
        <f>+GETPIVOTDATA("Sum of New-HS % of Total",'Pivot-HS Student % of Undergrad'!$A$3,"State","NC","Category",6,"Category2","Four-Year")</f>
        <v>0</v>
      </c>
      <c r="N22" s="186">
        <f>+GETPIVOTDATA("Undergrad Student Credit Hour FTE - New",'FTE Pivot for regular counts'!$A$2,"State","NC","Category2","Four-Year")</f>
        <v>165062.33333333334</v>
      </c>
      <c r="O22" s="167">
        <f>+GETPIVOTDATA("Sum of New-HS % of Total",'Pivot-HS Student % of Undergrad'!$A$3,"State","NC","Category2","Group1")</f>
        <v>2.3326541286423108E-3</v>
      </c>
      <c r="Q22" s="1" t="s">
        <v>73</v>
      </c>
      <c r="R22" s="239">
        <f>+GETPIVOTDATA("Sum of Old-HS % of Total",'Pivot-HS Student % of Undergrad'!$A$3,"State","NC","Category",1,"Category2","Four-Year")</f>
        <v>5.5039913110323834E-6</v>
      </c>
      <c r="S22" s="467">
        <f t="shared" si="22"/>
        <v>6.8078003565863965E-2</v>
      </c>
      <c r="T22" s="240">
        <f>+GETPIVOTDATA("Sum of Old-HS % of Total",'Pivot-HS Student % of Undergrad'!$A$3,"State","NC","Category",2,"Category2","Four-Year")</f>
        <v>5.2053646488070602E-4</v>
      </c>
      <c r="U22" s="467">
        <f t="shared" si="0"/>
        <v>5.4238438057365453E-2</v>
      </c>
      <c r="V22" s="240">
        <f>+GETPIVOTDATA("Sum of Old-HS % of Total",'Pivot-HS Student % of Undergrad'!$A$3,"State","NC","Category",3,"Category2","Four-Year")</f>
        <v>4.3286815926193416E-3</v>
      </c>
      <c r="W22" s="467">
        <f t="shared" si="1"/>
        <v>-4.0471211034052559E-2</v>
      </c>
      <c r="X22" s="240">
        <f>+GETPIVOTDATA("Sum of Old-HS % of Total",'Pivot-HS Student % of Undergrad'!$A$3,"State","NC","Category",4,"Category2","Four-Year")</f>
        <v>1.7053930198492159E-2</v>
      </c>
      <c r="Y22" s="467">
        <f t="shared" si="2"/>
        <v>0.44224357319378393</v>
      </c>
      <c r="Z22" s="240">
        <f>+GETPIVOTDATA("Sum of Old-HS % of Total",'Pivot-HS Student % of Undergrad'!$A$3,"State","NC","Category",5,"Category2","Four-Year")</f>
        <v>0</v>
      </c>
      <c r="AA22" s="467">
        <f t="shared" si="3"/>
        <v>0</v>
      </c>
      <c r="AB22" s="240">
        <f>+GETPIVOTDATA("Sum of Old-HS % of Total",'Pivot-HS Student % of Undergrad'!$A$3,"State","NC","Category",6,"Category2","Four-Year")</f>
        <v>0</v>
      </c>
      <c r="AC22" s="467">
        <f t="shared" si="4"/>
        <v>0</v>
      </c>
      <c r="AD22" s="240">
        <f>+GETPIVOTDATA("Sum of Old-HS % of Total",'Pivot-HS Student % of Undergrad'!$A$3,"State","NC","Category2","Four-Year")</f>
        <v>1.9576919440875066E-3</v>
      </c>
      <c r="AE22" s="467">
        <f t="shared" si="5"/>
        <v>3.7496218455480415E-2</v>
      </c>
      <c r="AF22" s="1" t="s">
        <v>73</v>
      </c>
      <c r="AH22" s="853" t="s">
        <v>73</v>
      </c>
      <c r="AI22" s="850">
        <f t="shared" si="7"/>
        <v>6.8628402696967211E-2</v>
      </c>
      <c r="AJ22" s="850">
        <f t="shared" si="8"/>
        <v>0.10629208454543605</v>
      </c>
      <c r="AK22" s="850">
        <f t="shared" si="9"/>
        <v>0.39239694822788163</v>
      </c>
      <c r="AL22" s="850">
        <f t="shared" si="10"/>
        <v>2.1476365930429999</v>
      </c>
      <c r="AM22" s="850">
        <f t="shared" si="11"/>
        <v>0</v>
      </c>
      <c r="AN22" s="850">
        <f t="shared" si="12"/>
        <v>0</v>
      </c>
      <c r="AO22" s="850">
        <f t="shared" si="13"/>
        <v>0.23326541286423108</v>
      </c>
      <c r="AQ22" s="853" t="s">
        <v>73</v>
      </c>
      <c r="AR22" s="850">
        <f t="shared" si="14"/>
        <v>5.5039913110323832E-4</v>
      </c>
      <c r="AS22" s="850">
        <f t="shared" si="15"/>
        <v>5.20536464880706E-2</v>
      </c>
      <c r="AT22" s="850">
        <f t="shared" si="16"/>
        <v>0.43286815926193417</v>
      </c>
      <c r="AU22" s="850">
        <f t="shared" si="17"/>
        <v>1.7053930198492158</v>
      </c>
      <c r="AV22" s="850">
        <f t="shared" si="18"/>
        <v>0</v>
      </c>
      <c r="AW22" s="850">
        <f t="shared" si="19"/>
        <v>0</v>
      </c>
      <c r="AX22" s="850">
        <f t="shared" si="20"/>
        <v>0.19576919440875065</v>
      </c>
    </row>
    <row r="23" spans="1:50" ht="15" customHeight="1">
      <c r="A23" s="1" t="s">
        <v>74</v>
      </c>
      <c r="B23" s="5">
        <f>+GETPIVOTDATA("Undergrad Student Credit Hour FTE - New",'FTE Pivot for regular counts'!$A$2,"State","OK","Category",1,"Category2","Four-Year")</f>
        <v>43883.5</v>
      </c>
      <c r="C23" s="167">
        <f>+GETPIVOTDATA("Sum of New-HS % of Total",'Pivot-HS Student % of Undergrad'!$A$3,"State","OK","Category",1,"Category2","Four-Year")</f>
        <v>1.0869689063087494E-3</v>
      </c>
      <c r="D23" s="186">
        <f>+GETPIVOTDATA("Undergrad Student Credit Hour FTE - New",'FTE Pivot for regular counts'!$A$2,"State","OK","Category",2,"Category2","Four-Year")</f>
        <v>0</v>
      </c>
      <c r="E23" s="167">
        <f>+GETPIVOTDATA("Sum of New-HS % of Total",'Pivot-HS Student % of Undergrad'!$A$3,"State","OK","Category",2,"Category2","Four-Year")</f>
        <v>0</v>
      </c>
      <c r="F23" s="186">
        <f>+GETPIVOTDATA("Undergrad Student Credit Hour FTE - New",'FTE Pivot for regular counts'!$A$2,"State","OK","Category",3,"Category2","Four-Year")</f>
        <v>18722.033333333333</v>
      </c>
      <c r="G23" s="167">
        <f>+GETPIVOTDATA("Sum of New-HS % of Total",'Pivot-HS Student % of Undergrad'!$A$3,"State","OK","Category",3,"Category2","Four-Year")</f>
        <v>1.0518800486414404E-2</v>
      </c>
      <c r="H23" s="186">
        <f>+GETPIVOTDATA("Undergrad Student Credit Hour FTE - New",'FTE Pivot for regular counts'!$A$2,"State","OK","Category",4,"Category2","Four-Year")</f>
        <v>2992.2333333333331</v>
      </c>
      <c r="I23" s="167">
        <f>+GETPIVOTDATA("Sum of New-HS % of Total",'Pivot-HS Student % of Undergrad'!$A$3,"State","OK","Category",4,"Category2","Four-Year")</f>
        <v>1.7812781980014927E-2</v>
      </c>
      <c r="J23" s="186">
        <f>+GETPIVOTDATA("Undergrad Student Credit Hour FTE - New",'FTE Pivot for regular counts'!$A$2,"State","OK","Category",5,"Category2","Four-Year")</f>
        <v>15082.033333333333</v>
      </c>
      <c r="K23" s="167">
        <f>+GETPIVOTDATA("Sum of New-HS % of Total",'Pivot-HS Student % of Undergrad'!$A$3,"State","OK","Category",5,"Category2","Four-Year")</f>
        <v>1.2916030331896009E-2</v>
      </c>
      <c r="L23" s="186">
        <f>+GETPIVOTDATA("Undergrad Student Credit Hour FTE - New",'FTE Pivot for regular counts'!$A$2,"State","OK","Category",6,"Category2","Four-Year")</f>
        <v>5451.8333333333339</v>
      </c>
      <c r="M23" s="167">
        <f>+GETPIVOTDATA("Sum of New-HS % of Total",'Pivot-HS Student % of Undergrad'!$A$3,"State","OK","Category",6,"Category2","Four-Year")</f>
        <v>3.3022530647182906E-2</v>
      </c>
      <c r="N23" s="186">
        <f>+GETPIVOTDATA("Undergrad Student Credit Hour FTE - New",'FTE Pivot for regular counts'!$A$2,"State","OK","Category2","Four-Year")</f>
        <v>86131.633333333317</v>
      </c>
      <c r="O23" s="167">
        <f>+GETPIVOTDATA("Sum of New-HS % of Total",'Pivot-HS Student % of Undergrad'!$A$3,"State","OK","Category2","Group1")</f>
        <v>7.8109126766820859E-3</v>
      </c>
      <c r="Q23" s="1" t="s">
        <v>74</v>
      </c>
      <c r="R23" s="239">
        <f>+GETPIVOTDATA("Sum of Old-HS % of Total",'Pivot-HS Student % of Undergrad'!$A$3,"State","OK","Category",1,"Category2","Four-Year")</f>
        <v>1.249477449022249E-3</v>
      </c>
      <c r="S23" s="467">
        <f t="shared" si="22"/>
        <v>-1.6250854271349958E-2</v>
      </c>
      <c r="T23" s="240">
        <f>+GETPIVOTDATA("Sum of Old-HS % of Total",'Pivot-HS Student % of Undergrad'!$A$3,"State","OK","Category",2,"Category2","Four-Year")</f>
        <v>0</v>
      </c>
      <c r="U23" s="467">
        <f t="shared" si="0"/>
        <v>0</v>
      </c>
      <c r="V23" s="240">
        <f>+GETPIVOTDATA("Sum of Old-HS % of Total",'Pivot-HS Student % of Undergrad'!$A$3,"State","OK","Category",3,"Category2","Four-Year")</f>
        <v>6.7432395448004312E-3</v>
      </c>
      <c r="W23" s="467">
        <f t="shared" si="1"/>
        <v>0.37755609416139724</v>
      </c>
      <c r="X23" s="240">
        <f>+GETPIVOTDATA("Sum of Old-HS % of Total",'Pivot-HS Student % of Undergrad'!$A$3,"State","OK","Category",4,"Category2","Four-Year")</f>
        <v>1.5205931153256464E-2</v>
      </c>
      <c r="Y23" s="467">
        <f t="shared" si="2"/>
        <v>0.26068508267584628</v>
      </c>
      <c r="Z23" s="240">
        <f>+GETPIVOTDATA("Sum of Old-HS % of Total",'Pivot-HS Student % of Undergrad'!$A$3,"State","OK","Category",5,"Category2","Four-Year")</f>
        <v>1.1785424294556339E-2</v>
      </c>
      <c r="AA23" s="467">
        <f t="shared" si="3"/>
        <v>0.11306060373396706</v>
      </c>
      <c r="AB23" s="240">
        <f>+GETPIVOTDATA("Sum of Old-HS % of Total",'Pivot-HS Student % of Undergrad'!$A$3,"State","OK","Category",6,"Category2","Four-Year")</f>
        <v>2.7869074645071663E-2</v>
      </c>
      <c r="AC23" s="467">
        <f t="shared" si="4"/>
        <v>0.5153456002111243</v>
      </c>
      <c r="AD23" s="240">
        <f>+GETPIVOTDATA("Sum of Old-HS % of Total",'Pivot-HS Student % of Undergrad'!$A$3,"State","OK","Category2","Four-Year")</f>
        <v>6.6676882985670458E-3</v>
      </c>
      <c r="AE23" s="467">
        <f t="shared" si="5"/>
        <v>0.11432243781150402</v>
      </c>
      <c r="AF23" s="1" t="s">
        <v>74</v>
      </c>
      <c r="AH23" s="853" t="s">
        <v>74</v>
      </c>
      <c r="AI23" s="850">
        <f t="shared" si="7"/>
        <v>0.10869689063087494</v>
      </c>
      <c r="AJ23" s="850">
        <f t="shared" si="8"/>
        <v>0</v>
      </c>
      <c r="AK23" s="850">
        <f t="shared" si="9"/>
        <v>1.0518800486414404</v>
      </c>
      <c r="AL23" s="850">
        <f t="shared" si="10"/>
        <v>1.7812781980014927</v>
      </c>
      <c r="AM23" s="850">
        <f t="shared" si="11"/>
        <v>1.2916030331896009</v>
      </c>
      <c r="AN23" s="850">
        <f t="shared" si="12"/>
        <v>3.3022530647182906</v>
      </c>
      <c r="AO23" s="850">
        <f t="shared" si="13"/>
        <v>0.78109126766820858</v>
      </c>
      <c r="AQ23" s="853" t="s">
        <v>74</v>
      </c>
      <c r="AR23" s="850">
        <f t="shared" si="14"/>
        <v>0.12494774490222491</v>
      </c>
      <c r="AS23" s="850">
        <f t="shared" si="15"/>
        <v>0</v>
      </c>
      <c r="AT23" s="850">
        <f t="shared" si="16"/>
        <v>0.67432395448004312</v>
      </c>
      <c r="AU23" s="850">
        <f t="shared" si="17"/>
        <v>1.5205931153256464</v>
      </c>
      <c r="AV23" s="850">
        <f t="shared" si="18"/>
        <v>1.1785424294556339</v>
      </c>
      <c r="AW23" s="850">
        <f t="shared" si="19"/>
        <v>2.7869074645071663</v>
      </c>
      <c r="AX23" s="850">
        <f t="shared" si="20"/>
        <v>0.6667688298567046</v>
      </c>
    </row>
    <row r="24" spans="1:50" ht="15" customHeight="1">
      <c r="A24" s="1" t="s">
        <v>75</v>
      </c>
      <c r="B24" s="5">
        <f>+GETPIVOTDATA("Undergrad Student Credit Hour FTE - New",'FTE Pivot for regular counts'!$A$2,"State","SC","Category",1,"Category2","Four-Year")</f>
        <v>40585.600000000006</v>
      </c>
      <c r="C24" s="211">
        <f>+GETPIVOTDATA("Sum of New-HS % of Total",'Pivot-HS Student % of Undergrad'!$A$3,"State","SC","Category",1,"Category2","Four-Year")</f>
        <v>1.544061604772793E-4</v>
      </c>
      <c r="D24" s="186">
        <f>+GETPIVOTDATA("Undergrad Student Credit Hour FTE - New",'FTE Pivot for regular counts'!$A$2,"State","SC","Category",2,"Category2","Four-Year")</f>
        <v>0</v>
      </c>
      <c r="E24" s="167">
        <f>+GETPIVOTDATA("Sum of New-HS % of Total",'Pivot-HS Student % of Undergrad'!$A$3,"State","SC","Category",2,"Category2","Four-Year")</f>
        <v>0</v>
      </c>
      <c r="F24" s="186">
        <f>+GETPIVOTDATA("Undergrad Student Credit Hour FTE - New",'FTE Pivot for regular counts'!$A$2,"State","SC","Category",3,"Category2","Four-Year")</f>
        <v>18188.5</v>
      </c>
      <c r="G24" s="167">
        <f>+GETPIVOTDATA("Sum of New-HS % of Total",'Pivot-HS Student % of Undergrad'!$A$3,"State","SC","Category",3,"Category2","Four-Year")</f>
        <v>5.9872996673722405E-3</v>
      </c>
      <c r="H24" s="186">
        <f>+GETPIVOTDATA("Undergrad Student Credit Hour FTE - New",'FTE Pivot for regular counts'!$A$2,"State","SC","Category",4,"Category2","Four-Year")</f>
        <v>0</v>
      </c>
      <c r="I24" s="167">
        <f>+GETPIVOTDATA("Sum of New-HS % of Total",'Pivot-HS Student % of Undergrad'!$A$3,"State","SC","Category",4,"Category2","Four-Year")</f>
        <v>0</v>
      </c>
      <c r="J24" s="186">
        <f>+GETPIVOTDATA("Undergrad Student Credit Hour FTE - New",'FTE Pivot for regular counts'!$A$2,"State","SC","Category",5,"Category2","Four-Year")</f>
        <v>14730.966666666665</v>
      </c>
      <c r="K24" s="167">
        <f>+GETPIVOTDATA("Sum of New-HS % of Total",'Pivot-HS Student % of Undergrad'!$A$3,"State","SC","Category",5,"Category2","Four-Year")</f>
        <v>1.4026664550432505E-2</v>
      </c>
      <c r="L24" s="186">
        <f>+GETPIVOTDATA("Undergrad Student Credit Hour FTE - New",'FTE Pivot for regular counts'!$A$2,"State","SC","Category",6,"Category2","Four-Year")</f>
        <v>12017.166666666668</v>
      </c>
      <c r="M24" s="167">
        <f>+GETPIVOTDATA("Sum of New-HS % of Total",'Pivot-HS Student % of Undergrad'!$A$3,"State","SC","Category",6,"Category2","Four-Year")</f>
        <v>4.3382383534665689E-3</v>
      </c>
      <c r="N24" s="186">
        <f>+GETPIVOTDATA("Undergrad Student Credit Hour FTE - New",'FTE Pivot for regular counts'!$A$2,"State","SC","Category2","Four-Year")</f>
        <v>85522.233333333337</v>
      </c>
      <c r="O24" s="167">
        <f>+GETPIVOTDATA("Sum of New-HS % of Total",'Pivot-HS Student % of Undergrad'!$A$3,"State","SC","Category2","Group1")</f>
        <v>2.8918260175334652E-3</v>
      </c>
      <c r="Q24" s="1" t="s">
        <v>75</v>
      </c>
      <c r="R24" s="239">
        <f>+GETPIVOTDATA("Sum of Old-HS % of Total",'Pivot-HS Student % of Undergrad'!$A$3,"State","SC","Category",1,"Category2","Four-Year")</f>
        <v>1.957804242779328E-4</v>
      </c>
      <c r="S24" s="832">
        <f t="shared" si="22"/>
        <v>-4.1374263800653495E-3</v>
      </c>
      <c r="T24" s="240">
        <f>+GETPIVOTDATA("Sum of Old-HS % of Total",'Pivot-HS Student % of Undergrad'!$A$3,"State","SC","Category",2,"Category2","Four-Year")</f>
        <v>0</v>
      </c>
      <c r="U24" s="467">
        <f t="shared" si="0"/>
        <v>0</v>
      </c>
      <c r="V24" s="240">
        <f>+GETPIVOTDATA("Sum of Old-HS % of Total",'Pivot-HS Student % of Undergrad'!$A$3,"State","SC","Category",3,"Category2","Four-Year")</f>
        <v>2.7847771670432334E-3</v>
      </c>
      <c r="W24" s="467">
        <f t="shared" si="1"/>
        <v>0.3202522500329007</v>
      </c>
      <c r="X24" s="240">
        <f>+GETPIVOTDATA("Sum of Old-HS % of Total",'Pivot-HS Student % of Undergrad'!$A$3,"State","SC","Category",4,"Category2","Four-Year")</f>
        <v>0</v>
      </c>
      <c r="Y24" s="467">
        <f t="shared" si="2"/>
        <v>0</v>
      </c>
      <c r="Z24" s="240">
        <f>+GETPIVOTDATA("Sum of Old-HS % of Total",'Pivot-HS Student % of Undergrad'!$A$3,"State","SC","Category",5,"Category2","Four-Year")</f>
        <v>6.8085189756852604E-3</v>
      </c>
      <c r="AA24" s="467">
        <f t="shared" si="3"/>
        <v>0.72181455747472445</v>
      </c>
      <c r="AB24" s="240">
        <f>+GETPIVOTDATA("Sum of Old-HS % of Total",'Pivot-HS Student % of Undergrad'!$A$3,"State","SC","Category",6,"Category2","Four-Year")</f>
        <v>8.2523228019298657E-3</v>
      </c>
      <c r="AC24" s="467">
        <f t="shared" si="4"/>
        <v>-0.3914084448463297</v>
      </c>
      <c r="AD24" s="240">
        <f>+GETPIVOTDATA("Sum of Old-HS % of Total",'Pivot-HS Student % of Undergrad'!$A$3,"State","SC","Category2","Four-Year")</f>
        <v>3.1461525604268314E-3</v>
      </c>
      <c r="AE24" s="467">
        <f t="shared" si="5"/>
        <v>-2.5432654289336616E-2</v>
      </c>
      <c r="AF24" s="1" t="s">
        <v>75</v>
      </c>
      <c r="AH24" s="853" t="s">
        <v>75</v>
      </c>
      <c r="AI24" s="850">
        <f t="shared" si="7"/>
        <v>1.544061604772793E-2</v>
      </c>
      <c r="AJ24" s="850">
        <f t="shared" si="8"/>
        <v>0</v>
      </c>
      <c r="AK24" s="850">
        <f t="shared" si="9"/>
        <v>0.59872996673722401</v>
      </c>
      <c r="AL24" s="850">
        <f t="shared" si="10"/>
        <v>0</v>
      </c>
      <c r="AM24" s="850">
        <f t="shared" si="11"/>
        <v>1.4026664550432504</v>
      </c>
      <c r="AN24" s="850">
        <f t="shared" si="12"/>
        <v>0.43382383534665686</v>
      </c>
      <c r="AO24" s="850">
        <f t="shared" si="13"/>
        <v>0.28918260175334654</v>
      </c>
      <c r="AQ24" s="853" t="s">
        <v>75</v>
      </c>
      <c r="AR24" s="850">
        <f t="shared" si="14"/>
        <v>1.957804242779328E-2</v>
      </c>
      <c r="AS24" s="850">
        <f t="shared" si="15"/>
        <v>0</v>
      </c>
      <c r="AT24" s="850">
        <f t="shared" si="16"/>
        <v>0.27847771670432336</v>
      </c>
      <c r="AU24" s="850">
        <f t="shared" si="17"/>
        <v>0</v>
      </c>
      <c r="AV24" s="850">
        <f t="shared" si="18"/>
        <v>0.68085189756852604</v>
      </c>
      <c r="AW24" s="850">
        <f t="shared" si="19"/>
        <v>0.82523228019298656</v>
      </c>
      <c r="AX24" s="850">
        <f t="shared" si="20"/>
        <v>0.31461525604268314</v>
      </c>
    </row>
    <row r="25" spans="1:50" ht="15" customHeight="1">
      <c r="B25" s="5"/>
      <c r="C25" s="211"/>
      <c r="D25" s="186"/>
      <c r="E25" s="167"/>
      <c r="F25" s="186"/>
      <c r="G25" s="167"/>
      <c r="H25" s="186"/>
      <c r="I25" s="167"/>
      <c r="J25" s="186"/>
      <c r="K25" s="167"/>
      <c r="L25" s="186"/>
      <c r="M25" s="167"/>
      <c r="N25" s="186"/>
      <c r="O25" s="167"/>
      <c r="R25" s="239"/>
      <c r="S25" s="467"/>
      <c r="T25" s="240"/>
      <c r="U25" s="467"/>
      <c r="V25" s="240"/>
      <c r="W25" s="467"/>
      <c r="X25" s="240"/>
      <c r="Y25" s="467"/>
      <c r="Z25" s="240"/>
      <c r="AA25" s="467"/>
      <c r="AB25" s="240"/>
      <c r="AC25" s="467"/>
      <c r="AD25" s="240"/>
      <c r="AE25" s="467"/>
      <c r="AH25" s="853"/>
      <c r="AI25" s="850">
        <f t="shared" si="7"/>
        <v>0</v>
      </c>
      <c r="AJ25" s="850">
        <f t="shared" si="8"/>
        <v>0</v>
      </c>
      <c r="AK25" s="850">
        <f t="shared" si="9"/>
        <v>0</v>
      </c>
      <c r="AL25" s="850">
        <f t="shared" si="10"/>
        <v>0</v>
      </c>
      <c r="AM25" s="850">
        <f t="shared" si="11"/>
        <v>0</v>
      </c>
      <c r="AN25" s="850">
        <f t="shared" si="12"/>
        <v>0</v>
      </c>
      <c r="AO25" s="850">
        <f t="shared" si="13"/>
        <v>0</v>
      </c>
      <c r="AQ25" s="853"/>
      <c r="AR25" s="850">
        <f t="shared" si="14"/>
        <v>0</v>
      </c>
      <c r="AS25" s="850">
        <f t="shared" si="15"/>
        <v>0</v>
      </c>
      <c r="AT25" s="850">
        <f t="shared" si="16"/>
        <v>0</v>
      </c>
      <c r="AU25" s="850">
        <f t="shared" si="17"/>
        <v>0</v>
      </c>
      <c r="AV25" s="850">
        <f t="shared" si="18"/>
        <v>0</v>
      </c>
      <c r="AW25" s="850">
        <f t="shared" si="19"/>
        <v>0</v>
      </c>
      <c r="AX25" s="850">
        <f t="shared" si="20"/>
        <v>0</v>
      </c>
    </row>
    <row r="26" spans="1:50" ht="15" customHeight="1">
      <c r="A26" s="1" t="s">
        <v>76</v>
      </c>
      <c r="B26" s="5">
        <f>+GETPIVOTDATA("Undergrad Student Credit Hour FTE - New",'FTE Pivot for regular counts'!$A$2,"State","TN","Category",1,"Category2","Four-Year")</f>
        <v>33818.533333333333</v>
      </c>
      <c r="C26" s="167">
        <f>+GETPIVOTDATA("Sum of New-HS % of Total",'Pivot-HS Student % of Undergrad'!$A$3,"State","TN","Category",1,"Category2","Four-Year")</f>
        <v>0</v>
      </c>
      <c r="D26" s="186">
        <f>+GETPIVOTDATA("Undergrad Student Credit Hour FTE - New",'FTE Pivot for regular counts'!$A$2,"State","TN","Category",2,"Category2","Four-Year")</f>
        <v>5968.0666666666666</v>
      </c>
      <c r="E26" s="167">
        <f>+GETPIVOTDATA("Sum of New-HS % of Total",'Pivot-HS Student % of Undergrad'!$A$3,"State","TN","Category",2,"Category2","Four-Year")</f>
        <v>0</v>
      </c>
      <c r="F26" s="186">
        <f>+GETPIVOTDATA("Undergrad Student Credit Hour FTE - New",'FTE Pivot for regular counts'!$A$2,"State","TN","Category",3,"Category2","Four-Year")</f>
        <v>56439.7</v>
      </c>
      <c r="G26" s="167">
        <f>+GETPIVOTDATA("Sum of New-HS % of Total",'Pivot-HS Student % of Undergrad'!$A$3,"State","TN","Category",3,"Category2","Four-Year")</f>
        <v>3.2518481376288912E-3</v>
      </c>
      <c r="H26" s="186">
        <f>+GETPIVOTDATA("Undergrad Student Credit Hour FTE - New",'FTE Pivot for regular counts'!$A$2,"State","TN","Category",4,"Category2","Four-Year")</f>
        <v>0</v>
      </c>
      <c r="I26" s="167">
        <f>+GETPIVOTDATA("Sum of New-HS % of Total",'Pivot-HS Student % of Undergrad'!$A$3,"State","TN","Category",4,"Category2","Four-Year")</f>
        <v>0</v>
      </c>
      <c r="J26" s="186">
        <f>+GETPIVOTDATA("Undergrad Student Credit Hour FTE - New",'FTE Pivot for regular counts'!$A$2,"State","TN","Category",5,"Category2","Four-Year")</f>
        <v>6596.6</v>
      </c>
      <c r="K26" s="167">
        <f>+GETPIVOTDATA("Sum of New-HS % of Total",'Pivot-HS Student % of Undergrad'!$A$3,"State","TN","Category",5,"Category2","Four-Year")</f>
        <v>1.7812206288087804E-2</v>
      </c>
      <c r="L26" s="186">
        <f>+GETPIVOTDATA("Undergrad Student Credit Hour FTE - New",'FTE Pivot for regular counts'!$A$2,"State","TN","Category",6,"Category2","Four-Year")</f>
        <v>0</v>
      </c>
      <c r="M26" s="167">
        <f>+GETPIVOTDATA("Sum of New-HS % of Total",'Pivot-HS Student % of Undergrad'!$A$3,"State","TN","Category",6,"Category2","Four-Year")</f>
        <v>0</v>
      </c>
      <c r="N26" s="186">
        <f>+GETPIVOTDATA("Undergrad Student Credit Hour FTE - New",'FTE Pivot for regular counts'!$A$2,"State","TN","Category2","Four-Year")</f>
        <v>102822.9</v>
      </c>
      <c r="O26" s="167">
        <f>+GETPIVOTDATA("Sum of New-HS % of Total",'Pivot-HS Student % of Undergrad'!$A$3,"State","TN","Category2","Group1")</f>
        <v>4.7755552488539669E-3</v>
      </c>
      <c r="Q26" s="1" t="s">
        <v>76</v>
      </c>
      <c r="R26" s="239">
        <f>+GETPIVOTDATA("Sum of Old-HS % of Total",'Pivot-HS Student % of Undergrad'!$A$3,"State","TN","Category",1,"Category2","Four-Year")</f>
        <v>0</v>
      </c>
      <c r="S26" s="467">
        <f t="shared" ref="S26:S29" si="23">(C26-R26)*100</f>
        <v>0</v>
      </c>
      <c r="T26" s="240">
        <f>+GETPIVOTDATA("Sum of Old-HS % of Total",'Pivot-HS Student % of Undergrad'!$A$3,"State","TN","Category",2,"Category2","Four-Year")</f>
        <v>0</v>
      </c>
      <c r="U26" s="467">
        <f t="shared" si="0"/>
        <v>0</v>
      </c>
      <c r="V26" s="240">
        <f>+GETPIVOTDATA("Sum of Old-HS % of Total",'Pivot-HS Student % of Undergrad'!$A$3,"State","TN","Category",3,"Category2","Four-Year")</f>
        <v>3.2413594937743899E-3</v>
      </c>
      <c r="W26" s="832">
        <f t="shared" si="1"/>
        <v>1.0488643854501302E-3</v>
      </c>
      <c r="X26" s="240">
        <f>+GETPIVOTDATA("Sum of Old-HS % of Total",'Pivot-HS Student % of Undergrad'!$A$3,"State","TN","Category",4,"Category2","Four-Year")</f>
        <v>0</v>
      </c>
      <c r="Y26" s="467">
        <f t="shared" si="2"/>
        <v>0</v>
      </c>
      <c r="Z26" s="240">
        <f>+GETPIVOTDATA("Sum of Old-HS % of Total",'Pivot-HS Student % of Undergrad'!$A$3,"State","TN","Category",5,"Category2","Four-Year")</f>
        <v>2.1719608829943653E-2</v>
      </c>
      <c r="AA26" s="467">
        <f t="shared" si="3"/>
        <v>-0.39074025418558489</v>
      </c>
      <c r="AB26" s="240">
        <f>+GETPIVOTDATA("Sum of Old-HS % of Total",'Pivot-HS Student % of Undergrad'!$A$3,"State","TN","Category",6,"Category2","Four-Year")</f>
        <v>0</v>
      </c>
      <c r="AC26" s="467">
        <f t="shared" si="4"/>
        <v>0</v>
      </c>
      <c r="AD26" s="240">
        <f>+GETPIVOTDATA("Sum of Old-HS % of Total",'Pivot-HS Student % of Undergrad'!$A$3,"State","TN","Category2","Four-Year")</f>
        <v>5.1725089220751299E-3</v>
      </c>
      <c r="AE26" s="467">
        <f t="shared" si="5"/>
        <v>-3.9695367322116308E-2</v>
      </c>
      <c r="AF26" s="1" t="s">
        <v>76</v>
      </c>
      <c r="AH26" s="853" t="s">
        <v>76</v>
      </c>
      <c r="AI26" s="850">
        <f t="shared" si="7"/>
        <v>0</v>
      </c>
      <c r="AJ26" s="850">
        <f t="shared" si="8"/>
        <v>0</v>
      </c>
      <c r="AK26" s="850">
        <f t="shared" si="9"/>
        <v>0.3251848137628891</v>
      </c>
      <c r="AL26" s="850">
        <f t="shared" si="10"/>
        <v>0</v>
      </c>
      <c r="AM26" s="850">
        <f t="shared" si="11"/>
        <v>1.7812206288087804</v>
      </c>
      <c r="AN26" s="850">
        <f t="shared" si="12"/>
        <v>0</v>
      </c>
      <c r="AO26" s="850">
        <f t="shared" si="13"/>
        <v>0.47755552488539671</v>
      </c>
      <c r="AQ26" s="853" t="s">
        <v>76</v>
      </c>
      <c r="AR26" s="850">
        <f t="shared" si="14"/>
        <v>0</v>
      </c>
      <c r="AS26" s="850">
        <f t="shared" si="15"/>
        <v>0</v>
      </c>
      <c r="AT26" s="850">
        <f t="shared" si="16"/>
        <v>0.324135949377439</v>
      </c>
      <c r="AU26" s="850">
        <f t="shared" si="17"/>
        <v>0</v>
      </c>
      <c r="AV26" s="850">
        <f t="shared" si="18"/>
        <v>2.1719608829943655</v>
      </c>
      <c r="AW26" s="850">
        <f t="shared" si="19"/>
        <v>0</v>
      </c>
      <c r="AX26" s="850">
        <f t="shared" si="20"/>
        <v>0.51725089220751297</v>
      </c>
    </row>
    <row r="27" spans="1:50" ht="15" customHeight="1">
      <c r="A27" s="1" t="s">
        <v>77</v>
      </c>
      <c r="B27" s="5">
        <f>+GETPIVOTDATA("Undergrad Student Credit Hour FTE - New",'FTE Pivot for regular counts'!$A$2,"State","TX","Category",1,"Category2","Four-Year")</f>
        <v>180603.53333333333</v>
      </c>
      <c r="C27" s="211">
        <f>+GETPIVOTDATA("Sum of New-HS % of Total",'Pivot-HS Student % of Undergrad'!$A$3,"State","TX","Category",1,"Category2","Four-Year")</f>
        <v>3.5381367584908825E-4</v>
      </c>
      <c r="D27" s="186">
        <f>+GETPIVOTDATA("Undergrad Student Credit Hour FTE - New",'FTE Pivot for regular counts'!$A$2,"State","TX","Category",2,"Category2","Four-Year")</f>
        <v>43889.666666666672</v>
      </c>
      <c r="E27" s="167">
        <f>+GETPIVOTDATA("Sum of New-HS % of Total",'Pivot-HS Student % of Undergrad'!$A$3,"State","TX","Category",2,"Category2","Four-Year")</f>
        <v>1.9427503816388063E-3</v>
      </c>
      <c r="F27" s="186">
        <f>+GETPIVOTDATA("Undergrad Student Credit Hour FTE - New",'FTE Pivot for regular counts'!$A$2,"State","TX","Category",3,"Category2","Four-Year")</f>
        <v>148460.83333333334</v>
      </c>
      <c r="G27" s="167">
        <f>+GETPIVOTDATA("Sum of New-HS % of Total",'Pivot-HS Student % of Undergrad'!$A$3,"State","TX","Category",3,"Category2","Four-Year")</f>
        <v>8.8957244615583235E-3</v>
      </c>
      <c r="H27" s="186">
        <f>+GETPIVOTDATA("Undergrad Student Credit Hour FTE - New",'FTE Pivot for regular counts'!$A$2,"State","TX","Category",4,"Category2","Four-Year")</f>
        <v>4399.9333333333343</v>
      </c>
      <c r="I27" s="167">
        <f>+GETPIVOTDATA("Sum of New-HS % of Total",'Pivot-HS Student % of Undergrad'!$A$3,"State","TX","Category",4,"Category2","Four-Year")</f>
        <v>0</v>
      </c>
      <c r="J27" s="186">
        <f>+GETPIVOTDATA("Undergrad Student Credit Hour FTE - New",'FTE Pivot for regular counts'!$A$2,"State","TX","Category",5,"Category2","Four-Year")</f>
        <v>11750.1</v>
      </c>
      <c r="K27" s="167">
        <f>+GETPIVOTDATA("Sum of New-HS % of Total",'Pivot-HS Student % of Undergrad'!$A$3,"State","TX","Category",5,"Category2","Four-Year")</f>
        <v>2.2950159289424486E-3</v>
      </c>
      <c r="L27" s="186">
        <f>+GETPIVOTDATA("Undergrad Student Credit Hour FTE - New",'FTE Pivot for regular counts'!$A$2,"State","TX","Category",6,"Category2","Four-Year")</f>
        <v>1860.5</v>
      </c>
      <c r="M27" s="167">
        <f>+GETPIVOTDATA("Sum of New-HS % of Total",'Pivot-HS Student % of Undergrad'!$A$3,"State","TX","Category",6,"Category2","Four-Year")</f>
        <v>0</v>
      </c>
      <c r="N27" s="186">
        <f>+GETPIVOTDATA("Undergrad Student Credit Hour FTE - New",'FTE Pivot for regular counts'!$A$2,"State","TX","Category2","Four-Year")</f>
        <v>390964.56666666665</v>
      </c>
      <c r="O27" s="167">
        <f>+GETPIVOTDATA("Sum of New-HS % of Total",'Pivot-HS Student % of Undergrad'!$A$3,"State","TX","Category2","Group1")</f>
        <v>3.8284799381222696E-3</v>
      </c>
      <c r="Q27" s="1" t="s">
        <v>77</v>
      </c>
      <c r="R27" s="239">
        <f>+GETPIVOTDATA("Sum of Old-HS % of Total",'Pivot-HS Student % of Undergrad'!$A$3,"State","TX","Category",1,"Category2","Four-Year")</f>
        <v>3.3531088428827933E-4</v>
      </c>
      <c r="S27" s="832">
        <f t="shared" si="23"/>
        <v>1.8502791560808917E-3</v>
      </c>
      <c r="T27" s="240">
        <f>+GETPIVOTDATA("Sum of Old-HS % of Total",'Pivot-HS Student % of Undergrad'!$A$3,"State","TX","Category",2,"Category2","Four-Year")</f>
        <v>1.6577800633339648E-3</v>
      </c>
      <c r="U27" s="467">
        <f t="shared" si="0"/>
        <v>2.8497031830484153E-2</v>
      </c>
      <c r="V27" s="240">
        <f>+GETPIVOTDATA("Sum of Old-HS % of Total",'Pivot-HS Student % of Undergrad'!$A$3,"State","TX","Category",3,"Category2","Four-Year")</f>
        <v>7.7983489584028242E-3</v>
      </c>
      <c r="W27" s="467">
        <f t="shared" si="1"/>
        <v>0.10973755031554994</v>
      </c>
      <c r="X27" s="240">
        <f>+GETPIVOTDATA("Sum of Old-HS % of Total",'Pivot-HS Student % of Undergrad'!$A$3,"State","TX","Category",4,"Category2","Four-Year")</f>
        <v>0</v>
      </c>
      <c r="Y27" s="467">
        <f t="shared" si="2"/>
        <v>0</v>
      </c>
      <c r="Z27" s="240">
        <f>+GETPIVOTDATA("Sum of Old-HS % of Total",'Pivot-HS Student % of Undergrad'!$A$3,"State","TX","Category",5,"Category2","Four-Year")</f>
        <v>1.9168750123874862E-3</v>
      </c>
      <c r="AA27" s="467">
        <f t="shared" si="3"/>
        <v>3.7814091655496249E-2</v>
      </c>
      <c r="AB27" s="240">
        <f>+GETPIVOTDATA("Sum of Old-HS % of Total",'Pivot-HS Student % of Undergrad'!$A$3,"State","TX","Category",6,"Category2","Four-Year")</f>
        <v>0</v>
      </c>
      <c r="AC27" s="467">
        <f t="shared" si="4"/>
        <v>0</v>
      </c>
      <c r="AD27" s="240">
        <f>+GETPIVOTDATA("Sum of Old-HS % of Total",'Pivot-HS Student % of Undergrad'!$A$3,"State","TX","Category2","Four-Year")</f>
        <v>3.3331585253823307E-3</v>
      </c>
      <c r="AE27" s="467">
        <f t="shared" si="5"/>
        <v>4.9532141273993899E-2</v>
      </c>
      <c r="AF27" s="1" t="s">
        <v>77</v>
      </c>
      <c r="AH27" s="853" t="s">
        <v>77</v>
      </c>
      <c r="AI27" s="850">
        <f t="shared" si="7"/>
        <v>3.5381367584908827E-2</v>
      </c>
      <c r="AJ27" s="850">
        <f t="shared" si="8"/>
        <v>0.19427503816388064</v>
      </c>
      <c r="AK27" s="850">
        <f t="shared" si="9"/>
        <v>0.88957244615583231</v>
      </c>
      <c r="AL27" s="850">
        <f t="shared" si="10"/>
        <v>0</v>
      </c>
      <c r="AM27" s="850">
        <f t="shared" si="11"/>
        <v>0.22950159289424488</v>
      </c>
      <c r="AN27" s="850">
        <f t="shared" si="12"/>
        <v>0</v>
      </c>
      <c r="AO27" s="850">
        <f t="shared" si="13"/>
        <v>0.38284799381222695</v>
      </c>
      <c r="AQ27" s="853" t="s">
        <v>77</v>
      </c>
      <c r="AR27" s="850">
        <f t="shared" si="14"/>
        <v>3.3531088428827932E-2</v>
      </c>
      <c r="AS27" s="850">
        <f t="shared" si="15"/>
        <v>0.16577800633339648</v>
      </c>
      <c r="AT27" s="850">
        <f t="shared" si="16"/>
        <v>0.77983489584028243</v>
      </c>
      <c r="AU27" s="850">
        <f t="shared" si="17"/>
        <v>0</v>
      </c>
      <c r="AV27" s="850">
        <f t="shared" si="18"/>
        <v>0.19168750123874861</v>
      </c>
      <c r="AW27" s="850">
        <f t="shared" si="19"/>
        <v>0</v>
      </c>
      <c r="AX27" s="850">
        <f t="shared" si="20"/>
        <v>0.33331585253823304</v>
      </c>
    </row>
    <row r="28" spans="1:50" ht="15" customHeight="1">
      <c r="A28" s="1" t="s">
        <v>78</v>
      </c>
      <c r="B28" s="5">
        <f>+GETPIVOTDATA("Undergrad Student Credit Hour FTE - New",'FTE Pivot for regular counts'!$A$2,"State","VA","Category",1,"Category2","Four-Year")</f>
        <v>78158.600000000006</v>
      </c>
      <c r="C28" s="167">
        <f>+GETPIVOTDATA("Sum of New-HS % of Total",'Pivot-HS Student % of Undergrad'!$A$3,"State","VA","Category",1,"Category2","Four-Year")</f>
        <v>9.9843992429069443E-3</v>
      </c>
      <c r="D28" s="186">
        <f>+GETPIVOTDATA("Undergrad Student Credit Hour FTE - New",'FTE Pivot for regular counts'!$A$2,"State","VA","Category",2,"Category2","Four-Year")</f>
        <v>27849.096666666665</v>
      </c>
      <c r="E28" s="167">
        <f>+GETPIVOTDATA("Sum of New-HS % of Total",'Pivot-HS Student % of Undergrad'!$A$3,"State","VA","Category",2,"Category2","Four-Year")</f>
        <v>9.8566931375033227E-3</v>
      </c>
      <c r="F28" s="186">
        <f>+GETPIVOTDATA("Undergrad Student Credit Hour FTE - New",'FTE Pivot for regular counts'!$A$2,"State","VA","Category",3,"Category2","Four-Year")</f>
        <v>46321.399999999994</v>
      </c>
      <c r="G28" s="167">
        <f>+GETPIVOTDATA("Sum of New-HS % of Total",'Pivot-HS Student % of Undergrad'!$A$3,"State","VA","Category",3,"Category2","Four-Year")</f>
        <v>5.6640487262186951E-3</v>
      </c>
      <c r="H28" s="186">
        <f>+GETPIVOTDATA("Undergrad Student Credit Hour FTE - New",'FTE Pivot for regular counts'!$A$2,"State","VA","Category",4,"Category2","Four-Year")</f>
        <v>0</v>
      </c>
      <c r="I28" s="211">
        <f>+GETPIVOTDATA("Sum of New-HS % of Total",'Pivot-HS Student % of Undergrad'!$A$3,"State","VA","Category",4,"Category2","Four-Year")</f>
        <v>0</v>
      </c>
      <c r="J28" s="186">
        <f>+GETPIVOTDATA("Undergrad Student Credit Hour FTE - New",'FTE Pivot for regular counts'!$A$2,"State","VA","Category",5,"Category2","Four-Year")</f>
        <v>4941.5666666666666</v>
      </c>
      <c r="K28" s="211">
        <f>+GETPIVOTDATA("Sum of New-HS % of Total",'Pivot-HS Student % of Undergrad'!$A$3,"State","VA","Category",5,"Category2","Four-Year")</f>
        <v>6.7454990657483789E-5</v>
      </c>
      <c r="L28" s="186">
        <f>+GETPIVOTDATA("Undergrad Student Credit Hour FTE - New",'FTE Pivot for regular counts'!$A$2,"State","VA","Category",6,"Category2","Four-Year")</f>
        <v>1818.1333333333334</v>
      </c>
      <c r="M28" s="211">
        <f>+GETPIVOTDATA("Sum of New-HS % of Total",'Pivot-HS Student % of Undergrad'!$A$3,"State","VA","Category",6,"Category2","Four-Year")</f>
        <v>3.6667644470519213E-4</v>
      </c>
      <c r="N28" s="186">
        <f>+GETPIVOTDATA("Undergrad Student Credit Hour FTE - New",'FTE Pivot for regular counts'!$A$2,"State","VA","Category2","Four-Year")</f>
        <v>159088.79666666669</v>
      </c>
      <c r="O28" s="167">
        <f>+GETPIVOTDATA("Sum of New-HS % of Total",'Pivot-HS Student % of Undergrad'!$A$3,"State","VA","Category2","Group1")</f>
        <v>8.2861481195019831E-3</v>
      </c>
      <c r="Q28" s="25" t="s">
        <v>78</v>
      </c>
      <c r="R28" s="239">
        <f>+GETPIVOTDATA("Sum of Old-HS % of Total",'Pivot-HS Student % of Undergrad'!$A$3,"State","VA","Category",1,"Category2","Four-Year")</f>
        <v>1.1931383860108917E-2</v>
      </c>
      <c r="S28" s="467">
        <f t="shared" si="23"/>
        <v>-0.19469846172019722</v>
      </c>
      <c r="T28" s="240">
        <f>+GETPIVOTDATA("Sum of Old-HS % of Total",'Pivot-HS Student % of Undergrad'!$A$3,"State","VA","Category",2,"Category2","Four-Year")</f>
        <v>9.2837414906475225E-3</v>
      </c>
      <c r="U28" s="467">
        <f t="shared" si="0"/>
        <v>5.7295164685580019E-2</v>
      </c>
      <c r="V28" s="240">
        <f>+GETPIVOTDATA("Sum of Old-HS % of Total",'Pivot-HS Student % of Undergrad'!$A$3,"State","VA","Category",3,"Category2","Four-Year")</f>
        <v>4.6686695633941485E-3</v>
      </c>
      <c r="W28" s="467">
        <f t="shared" si="1"/>
        <v>9.9537916282454661E-2</v>
      </c>
      <c r="X28" s="240">
        <f>+GETPIVOTDATA("Sum of Old-HS % of Total",'Pivot-HS Student % of Undergrad'!$A$3,"State","VA","Category",4,"Category2","Four-Year")</f>
        <v>0</v>
      </c>
      <c r="Y28" s="467">
        <f t="shared" si="2"/>
        <v>0</v>
      </c>
      <c r="Z28" s="240">
        <f>+GETPIVOTDATA("Sum of Old-HS % of Total",'Pivot-HS Student % of Undergrad'!$A$3,"State","VA","Category",5,"Category2","Four-Year")</f>
        <v>1.1086397682942884E-4</v>
      </c>
      <c r="AA28" s="832">
        <f t="shared" si="3"/>
        <v>-4.3408986171945049E-3</v>
      </c>
      <c r="AB28" s="240">
        <f>+GETPIVOTDATA("Sum of Old-HS % of Total",'Pivot-HS Student % of Undergrad'!$A$3,"State","VA","Category",6,"Category2","Four-Year")</f>
        <v>4.829392425283727E-4</v>
      </c>
      <c r="AC28" s="467">
        <f t="shared" si="4"/>
        <v>-1.1626279782318057E-2</v>
      </c>
      <c r="AD28" s="240">
        <f>+GETPIVOTDATA("Sum of Old-HS % of Total",'Pivot-HS Student % of Undergrad'!$A$3,"State","VA","Category2","Four-Year")</f>
        <v>8.8560177771036235E-3</v>
      </c>
      <c r="AE28" s="467">
        <f t="shared" si="5"/>
        <v>-5.6986965760164043E-2</v>
      </c>
      <c r="AF28" s="25" t="s">
        <v>78</v>
      </c>
      <c r="AH28" s="853" t="s">
        <v>78</v>
      </c>
      <c r="AI28" s="850">
        <f t="shared" si="7"/>
        <v>0.99843992429069439</v>
      </c>
      <c r="AJ28" s="850">
        <f t="shared" si="8"/>
        <v>0.98566931375033229</v>
      </c>
      <c r="AK28" s="850">
        <f t="shared" si="9"/>
        <v>0.56640487262186956</v>
      </c>
      <c r="AL28" s="850">
        <f t="shared" si="10"/>
        <v>0</v>
      </c>
      <c r="AM28" s="850">
        <f t="shared" si="11"/>
        <v>6.7454990657483792E-3</v>
      </c>
      <c r="AN28" s="850">
        <f t="shared" si="12"/>
        <v>3.6667644470519213E-2</v>
      </c>
      <c r="AO28" s="850">
        <f t="shared" si="13"/>
        <v>0.82861481195019826</v>
      </c>
      <c r="AQ28" s="853" t="s">
        <v>78</v>
      </c>
      <c r="AR28" s="850">
        <f t="shared" si="14"/>
        <v>1.1931383860108917</v>
      </c>
      <c r="AS28" s="850">
        <f t="shared" si="15"/>
        <v>0.92837414906475224</v>
      </c>
      <c r="AT28" s="850">
        <f t="shared" si="16"/>
        <v>0.46686695633941483</v>
      </c>
      <c r="AU28" s="850">
        <f t="shared" si="17"/>
        <v>0</v>
      </c>
      <c r="AV28" s="850">
        <f t="shared" si="18"/>
        <v>1.1086397682942884E-2</v>
      </c>
      <c r="AW28" s="850">
        <f t="shared" si="19"/>
        <v>4.8293924252837267E-2</v>
      </c>
      <c r="AX28" s="850">
        <f t="shared" si="20"/>
        <v>0.8856017777103623</v>
      </c>
    </row>
    <row r="29" spans="1:50" s="25" customFormat="1" ht="15" customHeight="1">
      <c r="A29" s="3" t="s">
        <v>79</v>
      </c>
      <c r="B29" s="6">
        <f>+GETPIVOTDATA("Undergrad Student Credit Hour FTE - New",'FTE Pivot for regular counts'!$A$2,"State","WV","Category",1,"Category2","Four-Year")</f>
        <v>22097.7</v>
      </c>
      <c r="C29" s="168">
        <f>+GETPIVOTDATA("Sum of New-HS % of Total",'Pivot-HS Student % of Undergrad'!$A$3,"State","WV","Category",1,"Category2","Four-Year")</f>
        <v>5.4349547690483628E-3</v>
      </c>
      <c r="D29" s="187">
        <f>+GETPIVOTDATA("Undergrad Student Credit Hour FTE - New",'FTE Pivot for regular counts'!$A$2,"State","WV","Category",2,"Category2","Four-Year")</f>
        <v>0</v>
      </c>
      <c r="E29" s="168">
        <f>+GETPIVOTDATA("Sum of New-HS % of Total",'Pivot-HS Student % of Undergrad'!$A$3,"State","WV","Category",2,"Category2","Four-Year")</f>
        <v>0</v>
      </c>
      <c r="F29" s="187">
        <f>+GETPIVOTDATA("Undergrad Student Credit Hour FTE - New",'FTE Pivot for regular counts'!$A$2,"State","WV","Category",3,"Category2","Four-Year")</f>
        <v>8777.6</v>
      </c>
      <c r="G29" s="168">
        <f>+GETPIVOTDATA("Sum of New-HS % of Total",'Pivot-HS Student % of Undergrad'!$A$3,"State","WV","Category",3,"Category2","Four-Year")</f>
        <v>1.5338285332361161E-2</v>
      </c>
      <c r="H29" s="187">
        <f>+GETPIVOTDATA("Undergrad Student Credit Hour FTE - New",'FTE Pivot for regular counts'!$A$2,"State","WV","Category",4,"Category2","Four-Year")</f>
        <v>0</v>
      </c>
      <c r="I29" s="168">
        <f>+GETPIVOTDATA("Sum of Old-HS % of Total",'Pivot-HS Student % of Undergrad'!$A$3,"State","WV","Category",4,"Category2","Four-Year")</f>
        <v>0</v>
      </c>
      <c r="J29" s="187">
        <f>+GETPIVOTDATA("Undergrad Student Credit Hour FTE - New",'FTE Pivot for regular counts'!$A$2,"State","WV","Category",5,"Category2","Four-Year")</f>
        <v>7337.8166666666675</v>
      </c>
      <c r="K29" s="528">
        <f>+GETPIVOTDATA("Sum of New-HS % of Total",'Pivot-HS Student % of Undergrad'!$A$3,"State","WV","Category",5,"Category2","Four-Year")</f>
        <v>8.0859656255607363E-4</v>
      </c>
      <c r="L29" s="187">
        <f>+GETPIVOTDATA("Undergrad Student Credit Hour FTE - New",'FTE Pivot for regular counts'!$A$2,"State","WV","Category",6,"Category2","Four-Year")</f>
        <v>11102.87</v>
      </c>
      <c r="M29" s="168">
        <f>GETPIVOTDATA("Sum of New-HS % of Total",'Pivot-HS Student % of Undergrad'!$A$3,"State","WV","Category",6,"Category2","Four-Year")</f>
        <v>2.1733119454699551E-2</v>
      </c>
      <c r="N29" s="187">
        <f>+GETPIVOTDATA("Undergrad Student Credit Hour FTE - New",'FTE Pivot for regular counts'!$A$2,"State","WV","Category2","Four-Year")</f>
        <v>49315.986666666671</v>
      </c>
      <c r="O29" s="168">
        <f>+GETPIVOTDATA("Sum of New-HS % of Total",'Pivot-HS Student % of Undergrad'!$A$3,"State","WV","Category2","Group1")</f>
        <v>1.0178579008456756E-2</v>
      </c>
      <c r="Q29" s="3" t="s">
        <v>79</v>
      </c>
      <c r="R29" s="431">
        <f>+GETPIVOTDATA("Sum of Old-HS % of Total",'Pivot-HS Student % of Undergrad'!$A$3,"State","WV","Category",1,"Category2","Four-Year")</f>
        <v>5.0543000860274233E-3</v>
      </c>
      <c r="S29" s="468">
        <f t="shared" si="23"/>
        <v>3.8065468302093952E-2</v>
      </c>
      <c r="T29" s="432">
        <f>+GETPIVOTDATA("Sum of Old-HS % of Total",'Pivot-HS Student % of Undergrad'!$A$3,"State","WV","Category",2,"Category2","Four-Year")</f>
        <v>0</v>
      </c>
      <c r="U29" s="468">
        <f t="shared" si="0"/>
        <v>0</v>
      </c>
      <c r="V29" s="432">
        <f>+GETPIVOTDATA("Sum of Old-HS % of Total",'Pivot-HS Student % of Undergrad'!$A$3,"State","WV","Category",3,"Category2","Four-Year")</f>
        <v>1.5962281299704614E-2</v>
      </c>
      <c r="W29" s="468">
        <f t="shared" si="1"/>
        <v>-6.2399596734345232E-2</v>
      </c>
      <c r="X29" s="432">
        <f>+GETPIVOTDATA("Sum of Old-HS % of Total",'Pivot-HS Student % of Undergrad'!$A$3,"State","WV","Category",4,"Category2","Four-Year")</f>
        <v>0</v>
      </c>
      <c r="Y29" s="468">
        <f t="shared" si="2"/>
        <v>0</v>
      </c>
      <c r="Z29" s="432">
        <f>GETPIVOTDATA("Sum of Old-HS % of Total",'Pivot-HS Student % of Undergrad'!$A$3,"State","WV","Category",5,"Category2","Four-Year")</f>
        <v>6.238220964815555E-4</v>
      </c>
      <c r="AA29" s="468">
        <f t="shared" si="3"/>
        <v>1.8477446607451813E-2</v>
      </c>
      <c r="AB29" s="432">
        <f>GETPIVOTDATA("Sum of Old-HS % of Total",'Pivot-HS Student % of Undergrad'!$A$3,"State","WV","Category",6,"Category2","Four-Year")</f>
        <v>2.2979250703886605E-2</v>
      </c>
      <c r="AC29" s="468">
        <f t="shared" si="4"/>
        <v>-0.1246131249187054</v>
      </c>
      <c r="AD29" s="432">
        <f>+GETPIVOTDATA("Sum of Old-HS % of Total",'Pivot-HS Student % of Undergrad'!$A$3,"State","WV","Category2","Four-Year")</f>
        <v>1.0425591323899166E-2</v>
      </c>
      <c r="AE29" s="468">
        <f t="shared" si="5"/>
        <v>-2.4701231544240962E-2</v>
      </c>
      <c r="AF29" s="3" t="s">
        <v>79</v>
      </c>
      <c r="AH29" s="855" t="s">
        <v>79</v>
      </c>
      <c r="AI29" s="856">
        <f t="shared" si="7"/>
        <v>0.54349547690483624</v>
      </c>
      <c r="AJ29" s="856">
        <f t="shared" si="8"/>
        <v>0</v>
      </c>
      <c r="AK29" s="856">
        <f t="shared" si="9"/>
        <v>1.5338285332361161</v>
      </c>
      <c r="AL29" s="856">
        <f t="shared" si="10"/>
        <v>0</v>
      </c>
      <c r="AM29" s="856">
        <f t="shared" si="11"/>
        <v>8.0859656255607357E-2</v>
      </c>
      <c r="AN29" s="856">
        <f t="shared" si="12"/>
        <v>2.1733119454699552</v>
      </c>
      <c r="AO29" s="856">
        <f t="shared" si="13"/>
        <v>1.0178579008456756</v>
      </c>
      <c r="AQ29" s="855" t="s">
        <v>79</v>
      </c>
      <c r="AR29" s="861">
        <f t="shared" si="14"/>
        <v>0.50543000860274234</v>
      </c>
      <c r="AS29" s="856">
        <f t="shared" si="15"/>
        <v>0</v>
      </c>
      <c r="AT29" s="856">
        <f t="shared" si="16"/>
        <v>1.5962281299704613</v>
      </c>
      <c r="AU29" s="856">
        <f t="shared" si="17"/>
        <v>0</v>
      </c>
      <c r="AV29" s="856">
        <f t="shared" si="18"/>
        <v>6.2382209648155551E-2</v>
      </c>
      <c r="AW29" s="856">
        <f t="shared" si="19"/>
        <v>2.2979250703886605</v>
      </c>
      <c r="AX29" s="856">
        <f t="shared" si="20"/>
        <v>1.0425591323899166</v>
      </c>
    </row>
    <row r="30" spans="1:50" ht="23.25" customHeight="1">
      <c r="A30" s="835" t="s">
        <v>966</v>
      </c>
      <c r="B30" s="836"/>
      <c r="C30" s="836"/>
      <c r="D30" s="836"/>
      <c r="E30" s="836"/>
      <c r="F30" s="836"/>
      <c r="G30" s="836"/>
      <c r="H30" s="836"/>
      <c r="I30" s="837"/>
      <c r="J30" s="837"/>
      <c r="K30" s="837"/>
      <c r="L30" s="837"/>
      <c r="M30" s="837"/>
      <c r="N30" s="837"/>
      <c r="O30" s="837"/>
    </row>
    <row r="31" spans="1:50">
      <c r="A31" s="403"/>
      <c r="B31" s="50"/>
      <c r="C31" s="50"/>
      <c r="D31" s="50"/>
      <c r="E31" s="50"/>
      <c r="F31" s="50"/>
      <c r="G31" s="50"/>
      <c r="H31" s="1"/>
      <c r="J31" s="124"/>
      <c r="K31" s="124"/>
      <c r="L31" s="124"/>
      <c r="M31" s="193"/>
      <c r="N31" s="48"/>
      <c r="O31" s="833" t="s">
        <v>982</v>
      </c>
    </row>
    <row r="32" spans="1:50" ht="18">
      <c r="A32" s="41" t="s">
        <v>164</v>
      </c>
      <c r="B32" s="43"/>
      <c r="C32" s="43"/>
      <c r="D32" s="43"/>
      <c r="E32" s="43"/>
      <c r="F32" s="51"/>
      <c r="G32" s="43"/>
      <c r="H32" s="110"/>
      <c r="I32" s="50"/>
      <c r="J32" s="124"/>
      <c r="K32" s="124"/>
      <c r="L32" s="124"/>
      <c r="M32" s="193"/>
      <c r="N32" s="48"/>
    </row>
    <row r="33" spans="1:14" ht="15.75">
      <c r="A33" s="43"/>
      <c r="B33" s="43"/>
      <c r="C33" s="43"/>
      <c r="D33" s="43"/>
      <c r="E33" s="43"/>
      <c r="F33" s="43"/>
      <c r="G33" s="43"/>
      <c r="H33" s="110"/>
      <c r="I33" s="50"/>
      <c r="J33" s="124"/>
      <c r="K33" s="124"/>
      <c r="L33" s="124"/>
      <c r="M33" s="193"/>
      <c r="N33" s="48"/>
    </row>
    <row r="34" spans="1:14" ht="15.75">
      <c r="A34" s="43" t="s">
        <v>33</v>
      </c>
      <c r="B34" s="43"/>
      <c r="C34" s="43"/>
      <c r="D34" s="43"/>
      <c r="E34" s="43"/>
      <c r="F34" s="43"/>
      <c r="G34" s="43"/>
      <c r="H34" s="110"/>
      <c r="I34" s="50"/>
      <c r="J34" s="124"/>
      <c r="K34" s="124"/>
      <c r="L34" s="124"/>
      <c r="M34" s="193"/>
      <c r="N34" s="48"/>
    </row>
    <row r="35" spans="1:14" ht="15.75">
      <c r="A35" s="43" t="s">
        <v>965</v>
      </c>
      <c r="B35" s="43"/>
      <c r="C35" s="43"/>
      <c r="D35" s="43"/>
      <c r="E35" s="43"/>
      <c r="F35" s="43"/>
      <c r="G35" s="43"/>
      <c r="H35" s="110"/>
    </row>
    <row r="37" spans="1:14" ht="15" customHeight="1">
      <c r="A37" s="52"/>
      <c r="B37" s="52" t="s">
        <v>62</v>
      </c>
      <c r="C37" s="52"/>
      <c r="D37" s="52"/>
      <c r="E37" s="52"/>
      <c r="F37" s="52"/>
      <c r="G37" s="52"/>
      <c r="H37" s="111"/>
    </row>
    <row r="38" spans="1:14" ht="15" customHeight="1">
      <c r="A38" s="53"/>
      <c r="B38" s="46">
        <v>1</v>
      </c>
      <c r="C38" s="46">
        <v>2</v>
      </c>
      <c r="D38" s="46">
        <v>3</v>
      </c>
      <c r="E38" s="46">
        <v>4</v>
      </c>
      <c r="F38" s="46">
        <v>5</v>
      </c>
      <c r="G38" s="54">
        <v>6</v>
      </c>
      <c r="H38" s="93" t="s">
        <v>30</v>
      </c>
    </row>
    <row r="39" spans="1:14" ht="15" customHeight="1">
      <c r="A39" s="1" t="s">
        <v>64</v>
      </c>
      <c r="B39" s="11">
        <f>+GETPIVOTDATA("Graduate FTE - New",'FTE Pivot for regular counts'!$A$2,"Category",1,"Category2","Four-Year")</f>
        <v>220219.64583333334</v>
      </c>
      <c r="C39" s="11">
        <f>+GETPIVOTDATA("Graduate FTE - New",'FTE Pivot for regular counts'!$A$2,"Category",2,"Category2","Four-Year")</f>
        <v>51594.229166666672</v>
      </c>
      <c r="D39" s="11">
        <f>+GETPIVOTDATA("Graduate FTE - New",'FTE Pivot for regular counts'!$A$2,"Category",3,"Category2","Four-Year")</f>
        <v>87021.387499999997</v>
      </c>
      <c r="E39" s="11">
        <f>+GETPIVOTDATA("Graduate FTE - New",'FTE Pivot for regular counts'!$A$2,"Category",4,"Category2","Four-Year")</f>
        <v>21564.437499999996</v>
      </c>
      <c r="F39" s="11">
        <f>+GETPIVOTDATA("Graduate FTE - New",'FTE Pivot for regular counts'!$A$2,"Category",5,"Category2","Four-Year")</f>
        <v>9481.0416666666679</v>
      </c>
      <c r="G39" s="12">
        <f>+GETPIVOTDATA("Graduate FTE - New",'FTE Pivot for regular counts'!$A$2,"Category",6,"Category2","Four-Year")</f>
        <v>891.45833333333326</v>
      </c>
      <c r="H39" s="112">
        <f>+GETPIVOTDATA("Graduate FTE - New",'FTE Pivot for regular counts'!$A$2,"Category2","Four-Year")</f>
        <v>390772.2</v>
      </c>
    </row>
    <row r="40" spans="1:14" ht="15" customHeight="1">
      <c r="B40" s="11"/>
      <c r="C40" s="11"/>
      <c r="D40" s="11"/>
      <c r="E40" s="11"/>
      <c r="F40" s="11"/>
      <c r="G40" s="12"/>
      <c r="H40" s="112"/>
    </row>
    <row r="41" spans="1:14" ht="15" customHeight="1">
      <c r="A41" s="1" t="s">
        <v>65</v>
      </c>
      <c r="B41" s="33">
        <f>+GETPIVOTDATA("Graduate FTE - New",'FTE Pivot for regular counts'!$A$2,"State","AL","Category",1,"Category2","Four-Year")</f>
        <v>7935.791666666667</v>
      </c>
      <c r="C41" s="33">
        <f>+GETPIVOTDATA("Graduate FTE - New",'FTE Pivot for regular counts'!$A$2,"State","AL","Category",2,"Category2","Four-Year")</f>
        <v>2895.875</v>
      </c>
      <c r="D41" s="33">
        <f>+GETPIVOTDATA("Graduate FTE - New",'FTE Pivot for regular counts'!$A$2,"State","AL","Category",3,"Category2","Four-Year")</f>
        <v>3636.125</v>
      </c>
      <c r="E41" s="33">
        <f>+GETPIVOTDATA("Graduate FTE - New",'FTE Pivot for regular counts'!$A$2,"State","AL","Category",4,"Category2","Four-Year")</f>
        <v>1717.75</v>
      </c>
      <c r="F41" s="33">
        <f>+GETPIVOTDATA("Graduate FTE - New",'FTE Pivot for regular counts'!$A$2,"State","AL","Category",5,"Category2","Four-Year")</f>
        <v>1920.6666666666667</v>
      </c>
      <c r="G41" s="12">
        <f>+GETPIVOTDATA("Graduate FTE - New",'FTE Pivot for regular counts'!$A$2,"State","AL","Category",6,"Category2","Four-Year")</f>
        <v>0</v>
      </c>
      <c r="H41" s="113">
        <f>+GETPIVOTDATA("Graduate FTE - New",'FTE Pivot for regular counts'!$A$2,"State","AL","Category2","Four-Year")</f>
        <v>18106.208333333336</v>
      </c>
    </row>
    <row r="42" spans="1:14" ht="15" customHeight="1">
      <c r="A42" s="4" t="s">
        <v>66</v>
      </c>
      <c r="B42" s="33">
        <f>+GETPIVOTDATA("Graduate FTE - New",'FTE Pivot for regular counts'!$A$2,"State","AR","Category",1,"Category2","Four-Year")</f>
        <v>3233.1666666666665</v>
      </c>
      <c r="C42" s="33">
        <f>+GETPIVOTDATA("Graduate FTE - New",'FTE Pivot for regular counts'!$A$2,"State","AR","Category",2,"Category2","Four-Year")</f>
        <v>0</v>
      </c>
      <c r="D42" s="33">
        <f>+GETPIVOTDATA("Graduate FTE - New",'FTE Pivot for regular counts'!$A$2,"State","AR","Category",3,"Category2","Four-Year")</f>
        <v>6963.625</v>
      </c>
      <c r="E42" s="33">
        <f>+GETPIVOTDATA("Graduate FTE - New",'FTE Pivot for regular counts'!$A$2,"State","AR","Category",4,"Category2","Four-Year")</f>
        <v>658.20833333333326</v>
      </c>
      <c r="F42" s="33">
        <f>+GETPIVOTDATA("Graduate FTE - New",'FTE Pivot for regular counts'!$A$2,"State","AR","Category",5,"Category2","Four-Year")</f>
        <v>120.5</v>
      </c>
      <c r="G42" s="12">
        <f>+GETPIVOTDATA("Graduate FTE - New",'FTE Pivot for regular counts'!$A$2,"State","AR","Category",6,"Category2","Four-Year")</f>
        <v>65.875</v>
      </c>
      <c r="H42" s="113">
        <f>+GETPIVOTDATA("Graduate FTE - New",'FTE Pivot for regular counts'!$A$2,"State","AR","Category2","Four-Year")</f>
        <v>11041.375</v>
      </c>
    </row>
    <row r="43" spans="1:14" ht="15" customHeight="1">
      <c r="A43" s="1" t="s">
        <v>102</v>
      </c>
      <c r="B43" s="33">
        <f>+GETPIVOTDATA("Graduate FTE - New",'FTE Pivot for regular counts'!$A$2,"State","DE","Category",1,"Category2","Four-Year")</f>
        <v>2063.3333333333335</v>
      </c>
      <c r="C43" s="33">
        <f>+GETPIVOTDATA("Graduate FTE - New",'FTE Pivot for regular counts'!$A$2,"State","DE","Category",2,"Category2","Four-Year")</f>
        <v>0</v>
      </c>
      <c r="D43" s="33">
        <f>+GETPIVOTDATA("Graduate FTE - New",'FTE Pivot for regular counts'!$A$2,"State","DE","Category",3,"Category2","Four-Year")</f>
        <v>278.5</v>
      </c>
      <c r="E43" s="33">
        <f>+GETPIVOTDATA("Graduate FTE - New",'FTE Pivot for regular counts'!$A$2,"State","DE","Category",4,"Category2","Four-Year")</f>
        <v>0</v>
      </c>
      <c r="F43" s="33">
        <f>+GETPIVOTDATA("Graduate FTE - New",'FTE Pivot for regular counts'!$A$2,"State","DE","Category",5,"Category2","Four-Year")</f>
        <v>0</v>
      </c>
      <c r="G43" s="12">
        <f>+GETPIVOTDATA("Graduate FTE - New",'FTE Pivot for regular counts'!$A$2,"State","DE","Category",6,"Category2","Four-Year")</f>
        <v>0</v>
      </c>
      <c r="H43" s="113">
        <f>+GETPIVOTDATA("Graduate FTE - New",'FTE Pivot for regular counts'!$A$2,"State","DE","Category2","Four-Year")</f>
        <v>2341.8333333333335</v>
      </c>
      <c r="N43" s="95"/>
    </row>
    <row r="44" spans="1:14" ht="15" customHeight="1">
      <c r="A44" s="1" t="s">
        <v>67</v>
      </c>
      <c r="B44" s="33">
        <f>+GETPIVOTDATA("Graduate FTE - New",'FTE Pivot for regular counts'!$A$2,"State","FL","Category",1,"Category2","Four-Year")</f>
        <v>43668.833333333328</v>
      </c>
      <c r="C44" s="33">
        <f>+GETPIVOTDATA("Graduate FTE - New",'FTE Pivot for regular counts'!$A$2,"State","FL","Category",2,"Category2","Four-Year")</f>
        <v>3219.4583333333335</v>
      </c>
      <c r="D44" s="33">
        <f>+GETPIVOTDATA("Graduate FTE - New",'FTE Pivot for regular counts'!$A$2,"State","FL","Category",3,"Category2","Four-Year")</f>
        <v>4731.041666666667</v>
      </c>
      <c r="E44" s="33">
        <f>+GETPIVOTDATA("Graduate FTE - New",'FTE Pivot for regular counts'!$A$2,"State","FL","Category",4,"Category2","Four-Year")</f>
        <v>866.20833333333337</v>
      </c>
      <c r="F44" s="33">
        <f>+GETPIVOTDATA("Graduate FTE - New",'FTE Pivot for regular counts'!$A$2,"State","FL","Category",5,"Category2","Four-Year")</f>
        <v>0</v>
      </c>
      <c r="G44" s="12">
        <f>+GETPIVOTDATA("Graduate FTE - New",'FTE Pivot for regular counts'!$A$2,"State","FL","Category",6,"Category2","Four-Year")</f>
        <v>0</v>
      </c>
      <c r="H44" s="113">
        <f>+GETPIVOTDATA("Graduate FTE - New",'FTE Pivot for regular counts'!$A$2,"State","FL","Category2","Four-Year")</f>
        <v>52485.541666666664</v>
      </c>
    </row>
    <row r="45" spans="1:14" ht="15" customHeight="1">
      <c r="B45" s="33"/>
      <c r="C45" s="33"/>
      <c r="D45" s="33"/>
      <c r="E45" s="33"/>
      <c r="F45" s="33"/>
      <c r="G45" s="12"/>
      <c r="H45" s="113"/>
    </row>
    <row r="46" spans="1:14" ht="15" customHeight="1">
      <c r="A46" s="1" t="s">
        <v>68</v>
      </c>
      <c r="B46" s="33">
        <f>+GETPIVOTDATA("Graduate FTE - New",'FTE Pivot for regular counts'!$A$2,"State","GA","Category",1,"Category2","Four-Year")</f>
        <v>19588.833333333332</v>
      </c>
      <c r="C46" s="33">
        <f>+GETPIVOTDATA("Graduate FTE - New",'FTE Pivot for regular counts'!$A$2,"State","GA","Category",2,"Category2","Four-Year")</f>
        <v>9657.375</v>
      </c>
      <c r="D46" s="33">
        <f>+GETPIVOTDATA("Graduate FTE - New",'FTE Pivot for regular counts'!$A$2,"State","GA","Category",3,"Category2","Four-Year")</f>
        <v>6409.6250000000009</v>
      </c>
      <c r="E46" s="33">
        <f>+GETPIVOTDATA("Graduate FTE - New",'FTE Pivot for regular counts'!$A$2,"State","GA","Category",4,"Category2","Four-Year")</f>
        <v>4770.375</v>
      </c>
      <c r="F46" s="33">
        <f>+GETPIVOTDATA("Graduate FTE - New",'FTE Pivot for regular counts'!$A$2,"State","GA","Category",5,"Category2","Four-Year")</f>
        <v>840.375</v>
      </c>
      <c r="G46" s="12">
        <f>+GETPIVOTDATA("Graduate FTE - New",'FTE Pivot for regular counts'!$A$2,"State","GA","Category",6,"Category2","Four-Year")</f>
        <v>0</v>
      </c>
      <c r="H46" s="113">
        <f>+GETPIVOTDATA("Graduate FTE - New",'FTE Pivot for regular counts'!$A$2,"State","GA","Category2","Four-Year")</f>
        <v>41266.583333333336</v>
      </c>
    </row>
    <row r="47" spans="1:14" ht="15" customHeight="1">
      <c r="A47" s="1" t="s">
        <v>69</v>
      </c>
      <c r="B47" s="33">
        <f>+GETPIVOTDATA("Graduate FTE - New",'FTE Pivot for regular counts'!$A$2,"State","KY","Category",1,"Category2","Four-Year")</f>
        <v>6651.208333333333</v>
      </c>
      <c r="C47" s="33">
        <f>+GETPIVOTDATA("Graduate FTE - New",'FTE Pivot for regular counts'!$A$2,"State","KY","Category",2,"Category2","Four-Year")</f>
        <v>0</v>
      </c>
      <c r="D47" s="33">
        <f>+GETPIVOTDATA("Graduate FTE - New",'FTE Pivot for regular counts'!$A$2,"State","KY","Category",3,"Category2","Four-Year")</f>
        <v>5522.625</v>
      </c>
      <c r="E47" s="33">
        <f>+GETPIVOTDATA("Graduate FTE - New",'FTE Pivot for regular counts'!$A$2,"State","KY","Category",4,"Category2","Four-Year")</f>
        <v>1735.4583333333335</v>
      </c>
      <c r="F47" s="33">
        <f>+GETPIVOTDATA("Graduate FTE - New",'FTE Pivot for regular counts'!$A$2,"State","KY","Category",5,"Category2","Four-Year")</f>
        <v>0</v>
      </c>
      <c r="G47" s="12">
        <f>+GETPIVOTDATA("Graduate FTE - New",'FTE Pivot for regular counts'!$A$2,"State","KY","Category",6,"Category2","Four-Year")</f>
        <v>0</v>
      </c>
      <c r="H47" s="113">
        <f>+GETPIVOTDATA("Graduate FTE - New",'FTE Pivot for regular counts'!$A$2,"State","KY","Category2","Four-Year")</f>
        <v>13909.291666666666</v>
      </c>
    </row>
    <row r="48" spans="1:14" ht="15" customHeight="1">
      <c r="A48" s="1" t="s">
        <v>70</v>
      </c>
      <c r="B48" s="33">
        <f>+GETPIVOTDATA("Graduate FTE - New",'FTE Pivot for regular counts'!$A$2,"State","LA","Category",1,"Category2","Four-Year")</f>
        <v>5533.541666666667</v>
      </c>
      <c r="C48" s="33">
        <f>+GETPIVOTDATA("Graduate FTE - New",'FTE Pivot for regular counts'!$A$2,"State","LA","Category",2,"Category2","Four-Year")</f>
        <v>3835.958333333333</v>
      </c>
      <c r="D48" s="33">
        <f>+GETPIVOTDATA("Graduate FTE - New",'FTE Pivot for regular counts'!$A$2,"State","LA","Category",3,"Category2","Four-Year")</f>
        <v>3984.791666666667</v>
      </c>
      <c r="E48" s="33">
        <f>+GETPIVOTDATA("Graduate FTE - New",'FTE Pivot for regular counts'!$A$2,"State","LA","Category",4,"Category2","Four-Year")</f>
        <v>2744.7916666666665</v>
      </c>
      <c r="F48" s="33">
        <f>+GETPIVOTDATA("Graduate FTE - New",'FTE Pivot for regular counts'!$A$2,"State","LA","Category",5,"Category2","Four-Year")</f>
        <v>0</v>
      </c>
      <c r="G48" s="12">
        <f>+GETPIVOTDATA("Graduate FTE - New",'FTE Pivot for regular counts'!$A$2,"State","LA","Category",6,"Category2","Four-Year")</f>
        <v>0</v>
      </c>
      <c r="H48" s="113">
        <f>+GETPIVOTDATA("Graduate FTE - New",'FTE Pivot for regular counts'!$A$2,"State","LA","Category2","Four-Year")</f>
        <v>16099.083333333334</v>
      </c>
    </row>
    <row r="49" spans="1:13" ht="15" customHeight="1">
      <c r="A49" s="1" t="s">
        <v>71</v>
      </c>
      <c r="B49" s="33">
        <f>+GETPIVOTDATA("Graduate FTE - New",'FTE Pivot for regular counts'!$A$2,"State","MD","Category",1,"Category2","Four-Year")</f>
        <v>6570.916666666667</v>
      </c>
      <c r="C49" s="33">
        <f>+GETPIVOTDATA("Graduate FTE - New",'FTE Pivot for regular counts'!$A$2,"State","MD","Category",2,"Category2","Four-Year")</f>
        <v>2320.75</v>
      </c>
      <c r="D49" s="33">
        <f>+GETPIVOTDATA("Graduate FTE - New",'FTE Pivot for regular counts'!$A$2,"State","MD","Category",3,"Category2","Four-Year")</f>
        <v>2242.8958333333335</v>
      </c>
      <c r="E49" s="33">
        <f>+GETPIVOTDATA("Graduate FTE - New",'FTE Pivot for regular counts'!$A$2,"State","MD","Category",4,"Category2","Four-Year")</f>
        <v>4651.8125</v>
      </c>
      <c r="F49" s="33">
        <f>+GETPIVOTDATA("Graduate FTE - New",'FTE Pivot for regular counts'!$A$2,"State","MD","Category",5,"Category2","Four-Year")</f>
        <v>261.5</v>
      </c>
      <c r="G49" s="12">
        <f>+GETPIVOTDATA("Graduate FTE - New",'FTE Pivot for regular counts'!$A$2,"State","MD","Category",6,"Category2","Four-Year")</f>
        <v>58.875</v>
      </c>
      <c r="H49" s="113">
        <f>+GETPIVOTDATA("Graduate FTE - New",'FTE Pivot for regular counts'!$A$2,"State","MD","Category2","Four-Year")</f>
        <v>16106.750000000002</v>
      </c>
    </row>
    <row r="50" spans="1:13" ht="15" customHeight="1">
      <c r="B50" s="33"/>
      <c r="C50" s="33"/>
      <c r="D50" s="33"/>
      <c r="E50" s="33"/>
      <c r="F50" s="33"/>
      <c r="G50" s="12"/>
      <c r="H50" s="113"/>
    </row>
    <row r="51" spans="1:13" ht="15" customHeight="1">
      <c r="A51" s="1" t="s">
        <v>72</v>
      </c>
      <c r="B51" s="33">
        <f>+GETPIVOTDATA("Graduate FTE - New",'FTE Pivot for regular counts'!$A$2,"State","MS","Category",1,"Category2","Four-Year")</f>
        <v>4752.25</v>
      </c>
      <c r="C51" s="33">
        <f>+GETPIVOTDATA("Graduate FTE - New",'FTE Pivot for regular counts'!$A$2,"State","MS","Category",2,"Category2","Four-Year")</f>
        <v>4118</v>
      </c>
      <c r="D51" s="33">
        <f>+GETPIVOTDATA("Graduate FTE - New",'FTE Pivot for regular counts'!$A$2,"State","MS","Category",3,"Category2","Four-Year")</f>
        <v>0</v>
      </c>
      <c r="E51" s="33">
        <f>+GETPIVOTDATA("Graduate FTE - New",'FTE Pivot for regular counts'!$A$2,"State","MS","Category",4,"Category2","Four-Year")</f>
        <v>1929.7083333333335</v>
      </c>
      <c r="F51" s="33">
        <f>+GETPIVOTDATA("Graduate FTE - New",'FTE Pivot for regular counts'!$A$2,"State","MS","Category",5,"Category2","Four-Year")</f>
        <v>174.625</v>
      </c>
      <c r="G51" s="12">
        <f>+GETPIVOTDATA("Graduate FTE - New",'FTE Pivot for regular counts'!$A$2,"State","MS","Category",6,"Category2","Four-Year")</f>
        <v>0</v>
      </c>
      <c r="H51" s="113">
        <f>+GETPIVOTDATA("Graduate FTE - New",'FTE Pivot for regular counts'!$A$2,"State","MS","Category2","Four-Year")</f>
        <v>10974.583333333334</v>
      </c>
    </row>
    <row r="52" spans="1:13" ht="15" customHeight="1">
      <c r="A52" s="1" t="s">
        <v>73</v>
      </c>
      <c r="B52" s="33">
        <f>+GETPIVOTDATA("Graduate FTE - New",'FTE Pivot for regular counts'!$A$2,"State","NC","Category",1,"Category2","Four-Year")</f>
        <v>16700.125</v>
      </c>
      <c r="C52" s="33">
        <f>+GETPIVOTDATA("Graduate FTE - New",'FTE Pivot for regular counts'!$A$2,"State","NC","Category",2,"Category2","Four-Year")</f>
        <v>6711</v>
      </c>
      <c r="D52" s="33">
        <f>+GETPIVOTDATA("Graduate FTE - New",'FTE Pivot for regular counts'!$A$2,"State","NC","Category",3,"Category2","Four-Year")</f>
        <v>6710.041666666667</v>
      </c>
      <c r="E52" s="33">
        <f>+GETPIVOTDATA("Graduate FTE - New",'FTE Pivot for regular counts'!$A$2,"State","NC","Category",4,"Category2","Four-Year")</f>
        <v>523.91666666666663</v>
      </c>
      <c r="F52" s="33">
        <f>+GETPIVOTDATA("Graduate FTE - New",'FTE Pivot for regular counts'!$A$2,"State","NC","Category",5,"Category2","Four-Year")</f>
        <v>977.08333333333326</v>
      </c>
      <c r="G52" s="12">
        <f>+GETPIVOTDATA("Graduate FTE - New",'FTE Pivot for regular counts'!$A$2,"State","NC","Category",6,"Category2","Four-Year")</f>
        <v>83.125</v>
      </c>
      <c r="H52" s="113">
        <f>+GETPIVOTDATA("Graduate FTE - New",'FTE Pivot for regular counts'!$A$2,"State","NC","Category2","Four-Year")</f>
        <v>31705.291666666668</v>
      </c>
    </row>
    <row r="53" spans="1:13" ht="15" customHeight="1">
      <c r="A53" s="1" t="s">
        <v>74</v>
      </c>
      <c r="B53" s="33">
        <f>+GETPIVOTDATA("Graduate FTE - New",'FTE Pivot for regular counts'!$A$2,"State","OK","Category",1,"Category2","Four-Year")</f>
        <v>12791.791666666666</v>
      </c>
      <c r="C53" s="33">
        <f>+GETPIVOTDATA("Graduate FTE - New",'FTE Pivot for regular counts'!$A$2,"State","OK","Category",2,"Category2","Four-Year")</f>
        <v>0</v>
      </c>
      <c r="D53" s="33">
        <f>+GETPIVOTDATA("Graduate FTE - New",'FTE Pivot for regular counts'!$A$2,"State","OK","Category",3,"Category2","Four-Year")</f>
        <v>2600.5416666666665</v>
      </c>
      <c r="E53" s="33">
        <f>+GETPIVOTDATA("Graduate FTE - New",'FTE Pivot for regular counts'!$A$2,"State","OK","Category",4,"Category2","Four-Year")</f>
        <v>239.375</v>
      </c>
      <c r="F53" s="33">
        <f>+GETPIVOTDATA("Graduate FTE - New",'FTE Pivot for regular counts'!$A$2,"State","OK","Category",5,"Category2","Four-Year")</f>
        <v>2271.625</v>
      </c>
      <c r="G53" s="12">
        <f>+GETPIVOTDATA("Graduate FTE - New",'FTE Pivot for regular counts'!$A$2,"State","OK","Category",6,"Category2","Four-Year")</f>
        <v>0</v>
      </c>
      <c r="H53" s="113">
        <f>+GETPIVOTDATA("Graduate FTE - New",'FTE Pivot for regular counts'!$A$2,"State","OK","Category2","Four-Year")</f>
        <v>17903.333333333332</v>
      </c>
    </row>
    <row r="54" spans="1:13" ht="15" customHeight="1">
      <c r="A54" s="1" t="s">
        <v>75</v>
      </c>
      <c r="B54" s="33">
        <f>+GETPIVOTDATA("Graduate FTE - New",'FTE Pivot for regular counts'!$A$2,"State","SC","Category",1,"Category2","Four-Year")</f>
        <v>8011.541666666667</v>
      </c>
      <c r="C54" s="33">
        <f>+GETPIVOTDATA("Graduate FTE - New",'FTE Pivot for regular counts'!$A$2,"State","SC","Category",2,"Category2","Four-Year")</f>
        <v>0</v>
      </c>
      <c r="D54" s="33">
        <f>+GETPIVOTDATA("Graduate FTE - New",'FTE Pivot for regular counts'!$A$2,"State","SC","Category",3,"Category2","Four-Year")</f>
        <v>2038.9166666666665</v>
      </c>
      <c r="E54" s="33">
        <f>+GETPIVOTDATA("Graduate FTE - New",'FTE Pivot for regular counts'!$A$2,"State","SC","Category",4,"Category2","Four-Year")</f>
        <v>0</v>
      </c>
      <c r="F54" s="33">
        <f>+GETPIVOTDATA("Graduate FTE - New",'FTE Pivot for regular counts'!$A$2,"State","SC","Category",5,"Category2","Four-Year")</f>
        <v>1102.2083333333335</v>
      </c>
      <c r="G54" s="12">
        <f>+GETPIVOTDATA("Graduate FTE - New",'FTE Pivot for regular counts'!$A$2,"State","SC","Category",6,"Category2","Four-Year")</f>
        <v>216.5</v>
      </c>
      <c r="H54" s="113">
        <f>+GETPIVOTDATA("Graduate FTE - New",'FTE Pivot for regular counts'!$A$2,"State","SC","Category2","Four-Year")</f>
        <v>11369.166666666668</v>
      </c>
    </row>
    <row r="55" spans="1:13" ht="15" customHeight="1">
      <c r="B55" s="33"/>
      <c r="C55" s="33"/>
      <c r="D55" s="33"/>
      <c r="E55" s="33"/>
      <c r="F55" s="33"/>
      <c r="G55" s="12"/>
      <c r="H55" s="113"/>
    </row>
    <row r="56" spans="1:13" ht="15" customHeight="1">
      <c r="A56" s="1" t="s">
        <v>76</v>
      </c>
      <c r="B56" s="33">
        <f>+GETPIVOTDATA("Graduate FTE - New",'FTE Pivot for regular counts'!$A$2,"State","TN","Category",1,"Category2","Four-Year")</f>
        <v>8120.583333333333</v>
      </c>
      <c r="C56" s="33">
        <f>+GETPIVOTDATA("Graduate FTE - New",'FTE Pivot for regular counts'!$A$2,"State","TN","Category",2,"Category2","Four-Year")</f>
        <v>1527.9166666666667</v>
      </c>
      <c r="D56" s="33">
        <f>+GETPIVOTDATA("Graduate FTE - New",'FTE Pivot for regular counts'!$A$2,"State","TN","Category",3,"Category2","Four-Year")</f>
        <v>6369.2916666666661</v>
      </c>
      <c r="E56" s="33">
        <f>+GETPIVOTDATA("Graduate FTE - New",'FTE Pivot for regular counts'!$A$2,"State","TN","Category",4,"Category2","Four-Year")</f>
        <v>0</v>
      </c>
      <c r="F56" s="33">
        <f>+GETPIVOTDATA("Graduate FTE - New",'FTE Pivot for regular counts'!$A$2,"State","TN","Category",5,"Category2","Four-Year")</f>
        <v>284.25</v>
      </c>
      <c r="G56" s="12">
        <f>+GETPIVOTDATA("Graduate FTE - New",'FTE Pivot for regular counts'!$A$2,"State","TN","Category",6,"Category2","Four-Year")</f>
        <v>0</v>
      </c>
      <c r="H56" s="113">
        <f>+GETPIVOTDATA("Graduate FTE - New",'FTE Pivot for regular counts'!$A$2,"State","TN","Category2","Four-Year")</f>
        <v>16302.041666666666</v>
      </c>
    </row>
    <row r="57" spans="1:13" ht="15" customHeight="1">
      <c r="A57" s="1" t="s">
        <v>77</v>
      </c>
      <c r="B57" s="33">
        <f>+GETPIVOTDATA("Graduate FTE - New",'FTE Pivot for regular counts'!$A$2,"State","TX","Category",1,"Category2","Four-Year")</f>
        <v>46012.625000000007</v>
      </c>
      <c r="C57" s="33">
        <f>+GETPIVOTDATA("Graduate FTE - New",'FTE Pivot for regular counts'!$A$2,"State","TX","Category",2,"Category2","Four-Year")</f>
        <v>9456.9583333333339</v>
      </c>
      <c r="D57" s="33">
        <f>+GETPIVOTDATA("Graduate FTE - New",'FTE Pivot for regular counts'!$A$2,"State","TX","Category",3,"Category2","Four-Year")</f>
        <v>29213.458333333328</v>
      </c>
      <c r="E57" s="33">
        <f>+GETPIVOTDATA("Graduate FTE - New",'FTE Pivot for regular counts'!$A$2,"State","TX","Category",4,"Category2","Four-Year")</f>
        <v>1726.8333333333333</v>
      </c>
      <c r="F57" s="33">
        <f>+GETPIVOTDATA("Graduate FTE - New",'FTE Pivot for regular counts'!$A$2,"State","TX","Category",5,"Category2","Four-Year")</f>
        <v>1053.3333333333335</v>
      </c>
      <c r="G57" s="12">
        <f>+GETPIVOTDATA("Graduate FTE - New",'FTE Pivot for regular counts'!$A$2,"State","TX","Category",6,"Category2","Four-Year")</f>
        <v>77.083333333333329</v>
      </c>
      <c r="H57" s="113">
        <f>+GETPIVOTDATA("Graduate FTE - New",'FTE Pivot for regular counts'!$A$2,"State","TX","Category2","Four-Year")</f>
        <v>87540.291666666657</v>
      </c>
    </row>
    <row r="58" spans="1:13" ht="15" customHeight="1">
      <c r="A58" s="1" t="s">
        <v>78</v>
      </c>
      <c r="B58" s="33">
        <f>+GETPIVOTDATA("Graduate FTE - New",'FTE Pivot for regular counts'!$A$2,"State","VA","Category",1,"Category2","Four-Year")</f>
        <v>23978.9375</v>
      </c>
      <c r="C58" s="33">
        <f>+GETPIVOTDATA("Graduate FTE - New",'FTE Pivot for regular counts'!$A$2,"State","VA","Category",2,"Category2","Four-Year")</f>
        <v>7850.9375</v>
      </c>
      <c r="D58" s="33">
        <f>+GETPIVOTDATA("Graduate FTE - New",'FTE Pivot for regular counts'!$A$2,"State","VA","Category",3,"Category2","Four-Year")</f>
        <v>3912.2416666666668</v>
      </c>
      <c r="E58" s="33">
        <f>+GETPIVOTDATA("Graduate FTE - New",'FTE Pivot for regular counts'!$A$2,"State","VA","Category",4,"Category2","Four-Year")</f>
        <v>0</v>
      </c>
      <c r="F58" s="33">
        <f>+GETPIVOTDATA("Graduate FTE - New",'FTE Pivot for regular counts'!$A$2,"State","VA","Category",5,"Category2","Four-Year")</f>
        <v>152.58333333333334</v>
      </c>
      <c r="G58" s="12">
        <f>+GETPIVOTDATA("Graduate FTE - New",'FTE Pivot for regular counts'!$A$2,"State","VA","Category",6,"Category2","Four-Year")</f>
        <v>0</v>
      </c>
      <c r="H58" s="113">
        <f>+GETPIVOTDATA("Graduate FTE - New",'FTE Pivot for regular counts'!$A$2,"State","VA","Category2","Four-Year")</f>
        <v>35894.700000000004</v>
      </c>
    </row>
    <row r="59" spans="1:13" ht="15" customHeight="1">
      <c r="A59" s="3" t="s">
        <v>79</v>
      </c>
      <c r="B59" s="13">
        <f>+GETPIVOTDATA("Graduate FTE - New",'FTE Pivot for regular counts'!$A$2,"State","WV","Category",1,"Category2","Four-Year")</f>
        <v>4606.166666666667</v>
      </c>
      <c r="C59" s="13">
        <f>+GETPIVOTDATA("Graduate FTE - New",'FTE Pivot for regular counts'!$A$2,"State","WV","Category",2,"Category2","Four-Year")</f>
        <v>0</v>
      </c>
      <c r="D59" s="13">
        <f>+GETPIVOTDATA("Graduate FTE - New",'FTE Pivot for regular counts'!$A$2,"State","WV","Category",3,"Category2","Four-Year")</f>
        <v>2407.6666666666665</v>
      </c>
      <c r="E59" s="13">
        <f>+GETPIVOTDATA("Graduate FTE - New",'FTE Pivot for regular counts'!$A$2,"State","WV","Category",4,"Category2","Four-Year")</f>
        <v>0</v>
      </c>
      <c r="F59" s="13">
        <f>+GETPIVOTDATA("Graduate FTE - New",'FTE Pivot for regular counts'!$A$2,"State","WV","Category",5,"Category2","Four-Year")</f>
        <v>322.29166666666669</v>
      </c>
      <c r="G59" s="14">
        <f>+GETPIVOTDATA("Graduate FTE - New",'FTE Pivot for regular counts'!$A$2,"State","WV","Category",6,"Category2","Four-Year")</f>
        <v>389.99999999999994</v>
      </c>
      <c r="H59" s="114">
        <f>+GETPIVOTDATA("Graduate FTE - New",'FTE Pivot for regular counts'!$A$2,"State","WV","Category2","Four-Year")</f>
        <v>7726.1250000000009</v>
      </c>
    </row>
    <row r="60" spans="1:13" s="25" customFormat="1" ht="35.25" customHeight="1">
      <c r="A60" s="834" t="s">
        <v>967</v>
      </c>
      <c r="B60" s="834"/>
      <c r="C60" s="834"/>
      <c r="D60" s="834"/>
      <c r="E60" s="834"/>
      <c r="F60" s="834"/>
      <c r="G60" s="834"/>
      <c r="H60" s="834"/>
      <c r="I60" s="15"/>
      <c r="J60" s="103"/>
      <c r="K60" s="103"/>
      <c r="L60" s="103"/>
      <c r="M60" s="103"/>
    </row>
    <row r="61" spans="1:13" ht="10.5" customHeight="1">
      <c r="A61" s="408"/>
      <c r="B61" s="408"/>
      <c r="C61" s="408"/>
      <c r="D61" s="408"/>
      <c r="E61" s="408"/>
      <c r="F61" s="408"/>
      <c r="G61" s="408"/>
      <c r="H61" s="833" t="s">
        <v>982</v>
      </c>
    </row>
    <row r="62" spans="1:13">
      <c r="A62" s="49"/>
      <c r="B62" s="50"/>
      <c r="C62" s="50"/>
      <c r="D62" s="50"/>
      <c r="E62" s="50"/>
      <c r="F62" s="50"/>
      <c r="G62" s="50"/>
      <c r="H62" s="169"/>
    </row>
    <row r="63" spans="1:13" ht="18">
      <c r="A63" s="41" t="s">
        <v>165</v>
      </c>
      <c r="B63" s="41"/>
      <c r="C63" s="41"/>
      <c r="D63" s="41"/>
      <c r="E63" s="41"/>
      <c r="F63" s="41"/>
      <c r="G63" s="41"/>
      <c r="H63" s="115"/>
    </row>
    <row r="64" spans="1:13" ht="15.75">
      <c r="A64" s="55"/>
      <c r="B64" s="43"/>
      <c r="C64" s="43"/>
      <c r="D64" s="43"/>
      <c r="E64" s="43"/>
      <c r="F64" s="43"/>
      <c r="G64" s="43"/>
      <c r="H64" s="110"/>
    </row>
    <row r="65" spans="1:24" ht="15.75">
      <c r="A65" s="43" t="s">
        <v>36</v>
      </c>
      <c r="B65" s="43"/>
      <c r="C65" s="43"/>
      <c r="D65" s="43"/>
      <c r="E65" s="43"/>
      <c r="F65" s="43"/>
      <c r="G65" s="43"/>
      <c r="H65" s="110"/>
    </row>
    <row r="66" spans="1:24" ht="15.75">
      <c r="A66" s="43" t="s">
        <v>965</v>
      </c>
      <c r="B66" s="43"/>
      <c r="C66" s="43"/>
      <c r="D66" s="43"/>
      <c r="E66" s="43"/>
      <c r="F66" s="43"/>
      <c r="G66" s="43"/>
      <c r="H66" s="110"/>
    </row>
    <row r="67" spans="1:24" ht="15.75">
      <c r="A67" s="43"/>
      <c r="B67" s="43"/>
      <c r="C67" s="43"/>
      <c r="D67" s="43"/>
      <c r="E67" s="43"/>
      <c r="F67" s="43"/>
      <c r="G67" s="43"/>
      <c r="H67" s="110"/>
      <c r="Q67" s="126" t="s">
        <v>38</v>
      </c>
      <c r="R67" s="228" t="s">
        <v>196</v>
      </c>
      <c r="S67" s="126"/>
      <c r="T67" s="126"/>
      <c r="U67" s="126"/>
      <c r="V67" s="126"/>
      <c r="W67" s="126"/>
    </row>
    <row r="68" spans="1:24" ht="15" customHeight="1">
      <c r="A68" s="52"/>
      <c r="B68" s="52" t="s">
        <v>62</v>
      </c>
      <c r="C68" s="52"/>
      <c r="D68" s="52"/>
      <c r="E68" s="52"/>
      <c r="F68" s="52"/>
      <c r="G68" s="52"/>
      <c r="H68" s="111"/>
      <c r="Q68" s="179" t="s">
        <v>62</v>
      </c>
      <c r="R68" s="180"/>
      <c r="S68" s="180"/>
      <c r="T68" s="180"/>
      <c r="U68" s="180"/>
      <c r="V68" s="180"/>
      <c r="W68" s="127"/>
    </row>
    <row r="69" spans="1:24" ht="15" customHeight="1">
      <c r="A69" s="53"/>
      <c r="B69" s="46">
        <v>1</v>
      </c>
      <c r="C69" s="46">
        <v>2</v>
      </c>
      <c r="D69" s="46">
        <v>3</v>
      </c>
      <c r="E69" s="46">
        <v>4</v>
      </c>
      <c r="F69" s="46">
        <v>5</v>
      </c>
      <c r="G69" s="54">
        <v>6</v>
      </c>
      <c r="H69" s="93" t="s">
        <v>30</v>
      </c>
      <c r="Q69" s="128">
        <v>1</v>
      </c>
      <c r="R69" s="128">
        <v>2</v>
      </c>
      <c r="S69" s="128">
        <v>3</v>
      </c>
      <c r="T69" s="128">
        <v>4</v>
      </c>
      <c r="U69" s="128">
        <v>5</v>
      </c>
      <c r="V69" s="129">
        <v>6</v>
      </c>
      <c r="W69" s="130" t="s">
        <v>30</v>
      </c>
    </row>
    <row r="70" spans="1:24" ht="15" customHeight="1">
      <c r="A70" s="1" t="s">
        <v>64</v>
      </c>
      <c r="B70" s="11">
        <f>+'NEW-Tables 80-86'!B9+'NEW-Tables 80-86'!B39</f>
        <v>1092923.1458333333</v>
      </c>
      <c r="C70" s="11">
        <f>+'NEW-Tables 80-86'!D9+'NEW-Tables 80-86'!C39</f>
        <v>282679.14250000002</v>
      </c>
      <c r="D70" s="11">
        <f>+'NEW-Tables 80-86'!F9+'NEW-Tables 80-86'!D39</f>
        <v>667270.38749999995</v>
      </c>
      <c r="E70" s="11">
        <f>+'NEW-Tables 80-86'!H9+'NEW-Tables 80-86'!E39</f>
        <v>172683.05416666664</v>
      </c>
      <c r="F70" s="11">
        <f>+'NEW-Tables 80-86'!J9+'NEW-Tables 80-86'!F39</f>
        <v>106225.09166666667</v>
      </c>
      <c r="G70" s="12">
        <f>+'NEW-Tables 80-86'!L9+'NEW-Tables 80-86'!G39</f>
        <v>73118.89499999999</v>
      </c>
      <c r="H70" s="112">
        <f>+'NEW-Tables 80-86'!N9+'NEW-Tables 80-86'!H39</f>
        <v>2394899.7166666663</v>
      </c>
      <c r="Q70" s="126">
        <f>+GETPIVOTDATA("Grand Total FTE - Old",'FTE Pivot for regular counts'!$A$2,"Category",1,"Category2","Four-Year")</f>
        <v>1083610.1924999999</v>
      </c>
      <c r="R70" s="126">
        <f>+GETPIVOTDATA("Grand Total FTE - Old",'FTE Pivot for regular counts'!$A$2,"Category",2,"Category2","Four-Year")</f>
        <v>283191.03333333333</v>
      </c>
      <c r="S70" s="126">
        <f>+GETPIVOTDATA("Grand Total FTE - Old",'FTE Pivot for regular counts'!$A$2,"Category",3,"Category2","Four-Year")</f>
        <v>666247.21666666656</v>
      </c>
      <c r="T70" s="126">
        <f>+GETPIVOTDATA("Grand Total FTE - Old",'FTE Pivot for regular counts'!$A$2,"Category",4,"Category2","Four-Year")</f>
        <v>173425.55833333335</v>
      </c>
      <c r="U70" s="126">
        <f>+GETPIVOTDATA("Grand Total FTE - Old",'FTE Pivot for regular counts'!$A$2,"Category",5,"Category2","Four-Year")</f>
        <v>108208.98333333334</v>
      </c>
      <c r="V70" s="126">
        <f>+GETPIVOTDATA("Grand Total FTE - Old",'FTE Pivot for regular counts'!$A$2,"Category",6,"Category2","Four-Year")</f>
        <v>74969.545333333328</v>
      </c>
      <c r="W70" s="126">
        <f>+GETPIVOTDATA("Grand Total FTE - Old",'FTE Pivot for regular counts'!$A$2,"Category2","Four-Year")</f>
        <v>2389652.5295000002</v>
      </c>
      <c r="X70" s="1" t="s">
        <v>64</v>
      </c>
    </row>
    <row r="71" spans="1:24" ht="15" customHeight="1">
      <c r="B71" s="11"/>
      <c r="C71" s="11"/>
      <c r="D71" s="11"/>
      <c r="E71" s="11"/>
      <c r="F71" s="11"/>
      <c r="G71" s="12"/>
      <c r="H71" s="112"/>
      <c r="Q71" s="126"/>
      <c r="R71" s="126"/>
      <c r="S71" s="126"/>
      <c r="T71" s="126"/>
      <c r="U71" s="126"/>
      <c r="V71" s="126"/>
      <c r="W71" s="126"/>
    </row>
    <row r="72" spans="1:24" ht="15" customHeight="1">
      <c r="A72" s="1" t="s">
        <v>65</v>
      </c>
      <c r="B72" s="33">
        <f>+'NEW-Tables 80-86'!B11+'NEW-Tables 80-86'!B41</f>
        <v>54815.058333333327</v>
      </c>
      <c r="C72" s="33">
        <f>+'NEW-Tables 80-86'!D11+'NEW-Tables 80-86'!C41</f>
        <v>16731.375</v>
      </c>
      <c r="D72" s="33">
        <f>+'NEW-Tables 80-86'!F11+'NEW-Tables 80-86'!D41</f>
        <v>32325.758333333331</v>
      </c>
      <c r="E72" s="33">
        <f>+'NEW-Tables 80-86'!H11+'NEW-Tables 80-86'!E41</f>
        <v>15882.05</v>
      </c>
      <c r="F72" s="33">
        <f>+'NEW-Tables 80-86'!J11+'NEW-Tables 80-86'!F41</f>
        <v>6138.333333333333</v>
      </c>
      <c r="G72" s="12">
        <f>+'NEW-Tables 80-86'!L11+'NEW-Tables 80-86'!G41</f>
        <v>2657.6333333333332</v>
      </c>
      <c r="H72" s="113">
        <f>+'NEW-Tables 80-86'!N11+'NEW-Tables 80-86'!H41</f>
        <v>128550.20833333334</v>
      </c>
      <c r="Q72" s="126">
        <f>+GETPIVOTDATA("Grand Total FTE - Old",'FTE Pivot for regular counts'!$A$2,"State","AL","Category",1,"Category2","Four-Year")</f>
        <v>53859.35</v>
      </c>
      <c r="R72" s="126">
        <f>+GETPIVOTDATA("Grand Total FTE - Old",'FTE Pivot for regular counts'!$A$2,"State","AL","Category",2,"Category2","Four-Year")</f>
        <v>17000.633333333331</v>
      </c>
      <c r="S72" s="126">
        <f>+GETPIVOTDATA("Grand Total FTE - Old",'FTE Pivot for regular counts'!$A$2,"State","AL","Category",3,"Category2","Four-Year")</f>
        <v>33249.074999999997</v>
      </c>
      <c r="T72" s="126">
        <f>+GETPIVOTDATA("Grand Total FTE - Old",'FTE Pivot for regular counts'!$A$2,"State","AL","Category",4,"Category2","Four-Year")</f>
        <v>15831.808333333334</v>
      </c>
      <c r="U72" s="126">
        <f>+GETPIVOTDATA("Grand Total FTE - Old",'FTE Pivot for regular counts'!$A$2,"State","AL","Category",5,"Category2","Four-Year")</f>
        <v>6426.8166666666657</v>
      </c>
      <c r="V72" s="126">
        <f>+GETPIVOTDATA("Grand Total FTE - Old",'FTE Pivot for regular counts'!$A$2,"State","AL","Category",6,"Category2","Four-Year")</f>
        <v>2786.2</v>
      </c>
      <c r="W72" s="126">
        <f>+GETPIVOTDATA("Grand Total FTE - Old",'FTE Pivot for regular counts'!$A$2,"State","AL","Category2","Four-Year")</f>
        <v>129153.88333333333</v>
      </c>
      <c r="X72" s="1" t="s">
        <v>65</v>
      </c>
    </row>
    <row r="73" spans="1:24" ht="15" customHeight="1">
      <c r="A73" s="4" t="s">
        <v>66</v>
      </c>
      <c r="B73" s="33">
        <f>+'NEW-Tables 80-86'!B12+'NEW-Tables 80-86'!B42</f>
        <v>23254.5</v>
      </c>
      <c r="C73" s="33">
        <f>+'NEW-Tables 80-86'!D12+'NEW-Tables 80-86'!C42</f>
        <v>0</v>
      </c>
      <c r="D73" s="33">
        <f>+'NEW-Tables 80-86'!F12+'NEW-Tables 80-86'!D42</f>
        <v>40266.891666666663</v>
      </c>
      <c r="E73" s="33">
        <f>+'NEW-Tables 80-86'!H12+'NEW-Tables 80-86'!E42</f>
        <v>6520.8749999999991</v>
      </c>
      <c r="F73" s="33">
        <f>+'NEW-Tables 80-86'!J12+'NEW-Tables 80-86'!F42</f>
        <v>2403.6</v>
      </c>
      <c r="G73" s="12">
        <f>+'NEW-Tables 80-86'!L12+'NEW-Tables 80-86'!G42</f>
        <v>8532.6416666666664</v>
      </c>
      <c r="H73" s="113">
        <f>+'NEW-Tables 80-86'!N12+'NEW-Tables 80-86'!H42</f>
        <v>80978.508333333317</v>
      </c>
      <c r="Q73" s="126">
        <f>+GETPIVOTDATA("Grand Total FTE - Old",'FTE Pivot for regular counts'!$A$2,"State","AR","Category",1,"Category2","Four-Year")</f>
        <v>22204.841666666667</v>
      </c>
      <c r="R73" s="126">
        <f>+GETPIVOTDATA("Grand Total FTE - Old",'FTE Pivot for regular counts'!$A$2,"State","AR","Category",2,"Category2","Four-Year")</f>
        <v>0</v>
      </c>
      <c r="S73" s="126">
        <f>+GETPIVOTDATA("Grand Total FTE - Old",'FTE Pivot for regular counts'!$A$2,"State","AR","Category",3,"Category2","Four-Year")</f>
        <v>40469.633333333331</v>
      </c>
      <c r="T73" s="126">
        <f>+GETPIVOTDATA("Grand Total FTE - Old",'FTE Pivot for regular counts'!$A$2,"State","AR","Category",4,"Category2","Four-Year")</f>
        <v>6580.458333333333</v>
      </c>
      <c r="U73" s="126">
        <f>+GETPIVOTDATA("Grand Total FTE - Old",'FTE Pivot for regular counts'!$A$2,"State","AR","Category",5,"Category2","Four-Year")</f>
        <v>2442.7166666666667</v>
      </c>
      <c r="V73" s="126">
        <f>+GETPIVOTDATA("Grand Total FTE - Old",'FTE Pivot for regular counts'!$A$2,"State","AR","Category",6,"Category2","Four-Year")</f>
        <v>8688.7999999999993</v>
      </c>
      <c r="W73" s="126">
        <f>+GETPIVOTDATA("Grand Total FTE - Old",'FTE Pivot for regular counts'!$A$2,"State","AR","Category2","Four-Year")</f>
        <v>80386.45</v>
      </c>
      <c r="X73" s="4" t="s">
        <v>66</v>
      </c>
    </row>
    <row r="74" spans="1:24" ht="15" customHeight="1">
      <c r="A74" s="1" t="s">
        <v>102</v>
      </c>
      <c r="B74" s="33">
        <f>+'NEW-Tables 80-86'!B13+'NEW-Tables 80-86'!B43</f>
        <v>20057.933333333331</v>
      </c>
      <c r="C74" s="33">
        <f>+'NEW-Tables 80-86'!D13+'NEW-Tables 80-86'!C43</f>
        <v>0</v>
      </c>
      <c r="D74" s="33">
        <f>+'NEW-Tables 80-86'!F13+'NEW-Tables 80-86'!D43</f>
        <v>4115.5666666666666</v>
      </c>
      <c r="E74" s="1">
        <f>+'NEW-Tables 80-86'!H13+'NEW-Tables 80-86'!E43</f>
        <v>0</v>
      </c>
      <c r="F74" s="33">
        <f>+'NEW-Tables 80-86'!J13+'NEW-Tables 80-86'!F43</f>
        <v>0</v>
      </c>
      <c r="G74" s="12">
        <f>+'NEW-Tables 80-86'!L13+'NEW-Tables 80-86'!G43</f>
        <v>0</v>
      </c>
      <c r="H74" s="1">
        <f>+'NEW-Tables 80-86'!N13+'NEW-Tables 80-86'!H43</f>
        <v>24173.499999999996</v>
      </c>
      <c r="Q74" s="126">
        <f>+GETPIVOTDATA("Grand Total FTE - Old",'FTE Pivot for regular counts'!$A$2,"State","DE","Category",1,"Category2","Four-Year")</f>
        <v>20083.466666666667</v>
      </c>
      <c r="R74" s="126">
        <f>+GETPIVOTDATA("Grand Total FTE - Old",'FTE Pivot for regular counts'!$A$2,"State","DE","Category",2,"Category2","Four-Year")</f>
        <v>0</v>
      </c>
      <c r="S74" s="126">
        <f>+GETPIVOTDATA("Grand Total FTE - Old",'FTE Pivot for regular counts'!$A$2,"State","DE","Category",3,"Category2","Four-Year")</f>
        <v>3856.8083333333334</v>
      </c>
      <c r="T74" s="126">
        <f>+GETPIVOTDATA("Grand Total FTE - Old",'FTE Pivot for regular counts'!$A$2,"State","DE","Category",4,"Category2","Four-Year")</f>
        <v>0</v>
      </c>
      <c r="U74" s="126">
        <f>+GETPIVOTDATA("Grand Total FTE - Old",'FTE Pivot for regular counts'!$A$2,"State","DE","Category",5,"Category2","Four-Year")</f>
        <v>0</v>
      </c>
      <c r="V74" s="126">
        <f>+GETPIVOTDATA("Grand Total FTE - Old",'FTE Pivot for regular counts'!$A$2,"State","DE","Category",6,"Category2","Four-Year")</f>
        <v>0</v>
      </c>
      <c r="W74" s="126">
        <f>+GETPIVOTDATA("Grand Total FTE - Old",'FTE Pivot for regular counts'!$A$2,"State","DE","Category2","Four-Year")</f>
        <v>23940.275000000001</v>
      </c>
      <c r="X74" s="1" t="s">
        <v>102</v>
      </c>
    </row>
    <row r="75" spans="1:24" ht="15" customHeight="1">
      <c r="A75" s="1" t="s">
        <v>67</v>
      </c>
      <c r="B75" s="33">
        <f>+'NEW-Tables 80-86'!B14+'NEW-Tables 80-86'!B44</f>
        <v>220737.23333333328</v>
      </c>
      <c r="C75" s="33">
        <f>+'NEW-Tables 80-86'!D14+'NEW-Tables 80-86'!C44</f>
        <v>24135.091666666667</v>
      </c>
      <c r="D75" s="33">
        <f>+'NEW-Tables 80-86'!F14+'NEW-Tables 80-86'!D44</f>
        <v>35207.175000000003</v>
      </c>
      <c r="E75" s="33">
        <f>+'NEW-Tables 80-86'!H14+'NEW-Tables 80-86'!E44</f>
        <v>11543.941666666668</v>
      </c>
      <c r="F75" s="33">
        <f>+'NEW-Tables 80-86'!J14+'NEW-Tables 80-86'!F44</f>
        <v>0</v>
      </c>
      <c r="G75" s="12">
        <f>+'NEW-Tables 80-86'!L14+'NEW-Tables 80-86'!G44</f>
        <v>925.2</v>
      </c>
      <c r="H75" s="113">
        <f>+'NEW-Tables 80-86'!N14+'NEW-Tables 80-86'!H44</f>
        <v>292548.64166666666</v>
      </c>
      <c r="Q75" s="126">
        <f>+GETPIVOTDATA("Grand Total FTE - Old",'FTE Pivot for regular counts'!$A$2,"State","FL","Category",1,"Category2","Four-Year")</f>
        <v>223426.89166666666</v>
      </c>
      <c r="R75" s="126">
        <f>+GETPIVOTDATA("Grand Total FTE - Old",'FTE Pivot for regular counts'!$A$2,"State","FL","Category",2,"Category2","Four-Year")</f>
        <v>23872.583333333336</v>
      </c>
      <c r="S75" s="126">
        <f>+GETPIVOTDATA("Grand Total FTE - Old",'FTE Pivot for regular counts'!$A$2,"State","FL","Category",3,"Category2","Four-Year")</f>
        <v>36164.337499999994</v>
      </c>
      <c r="T75" s="126">
        <f>+GETPIVOTDATA("Grand Total FTE - Old",'FTE Pivot for regular counts'!$A$2,"State","FL","Category",4,"Category2","Four-Year")</f>
        <v>11085.408333333333</v>
      </c>
      <c r="U75" s="126">
        <f>+GETPIVOTDATA("Grand Total FTE - Old",'FTE Pivot for regular counts'!$A$2,"State","FL","Category",5,"Category2","Four-Year")</f>
        <v>0</v>
      </c>
      <c r="V75" s="126">
        <f>+GETPIVOTDATA("Grand Total FTE - Old",'FTE Pivot for regular counts'!$A$2,"State","FL","Category",6,"Category2","Four-Year")</f>
        <v>950.66666666666663</v>
      </c>
      <c r="W75" s="126">
        <f>+GETPIVOTDATA("Grand Total FTE - Old",'FTE Pivot for regular counts'!$A$2,"State","FL","Category2","Four-Year")</f>
        <v>295499.88750000001</v>
      </c>
      <c r="X75" s="1" t="s">
        <v>67</v>
      </c>
    </row>
    <row r="76" spans="1:24" ht="15" customHeight="1">
      <c r="B76" s="33"/>
      <c r="C76" s="33"/>
      <c r="D76" s="33"/>
      <c r="E76" s="33"/>
      <c r="F76" s="33"/>
      <c r="G76" s="12"/>
      <c r="H76" s="113"/>
      <c r="Q76" s="126"/>
      <c r="R76" s="126"/>
      <c r="S76" s="126"/>
      <c r="T76" s="126"/>
      <c r="U76" s="126"/>
      <c r="V76" s="126"/>
      <c r="W76" s="126"/>
    </row>
    <row r="77" spans="1:24" ht="15" customHeight="1">
      <c r="A77" s="1" t="s">
        <v>68</v>
      </c>
      <c r="B77" s="33">
        <f>+'NEW-Tables 80-86'!B16+'NEW-Tables 80-86'!B46</f>
        <v>66673.733333333323</v>
      </c>
      <c r="C77" s="33">
        <f>+'NEW-Tables 80-86'!D16+'NEW-Tables 80-86'!C46</f>
        <v>24045.241666666669</v>
      </c>
      <c r="D77" s="33">
        <f>+'NEW-Tables 80-86'!F16+'NEW-Tables 80-86'!D46</f>
        <v>61169.958333333328</v>
      </c>
      <c r="E77" s="33">
        <f>+'NEW-Tables 80-86'!H16+'NEW-Tables 80-86'!E46</f>
        <v>42490.175000000003</v>
      </c>
      <c r="F77" s="33">
        <f>+'NEW-Tables 80-86'!J16+'NEW-Tables 80-86'!F46</f>
        <v>15769.841666666667</v>
      </c>
      <c r="G77" s="12">
        <f>+'NEW-Tables 80-86'!L16+'NEW-Tables 80-86'!G46</f>
        <v>18620.099999999999</v>
      </c>
      <c r="H77" s="113">
        <f>+'NEW-Tables 80-86'!N16+'NEW-Tables 80-86'!H46</f>
        <v>228769.05000000002</v>
      </c>
      <c r="Q77" s="126">
        <f>+GETPIVOTDATA("Grand Total FTE - Old",'FTE Pivot for regular counts'!$A$2,"State","GA","Category",1,"Category2","Four-Year")</f>
        <v>66344.78</v>
      </c>
      <c r="R77" s="126">
        <f>+GETPIVOTDATA("Grand Total FTE - Old",'FTE Pivot for regular counts'!$A$2,"State","GA","Category",2,"Category2","Four-Year")</f>
        <v>23886.579166666666</v>
      </c>
      <c r="S77" s="126">
        <f>+GETPIVOTDATA("Grand Total FTE - Old",'FTE Pivot for regular counts'!$A$2,"State","GA","Category",3,"Category2","Four-Year")</f>
        <v>62039.049999999996</v>
      </c>
      <c r="T77" s="126">
        <f>+GETPIVOTDATA("Grand Total FTE - Old",'FTE Pivot for regular counts'!$A$2,"State","GA","Category",4,"Category2","Four-Year")</f>
        <v>41471.25</v>
      </c>
      <c r="U77" s="126">
        <f>+GETPIVOTDATA("Grand Total FTE - Old",'FTE Pivot for regular counts'!$A$2,"State","GA","Category",5,"Category2","Four-Year")</f>
        <v>16035.800000000001</v>
      </c>
      <c r="V77" s="126">
        <f>+GETPIVOTDATA("Grand Total FTE - Old",'FTE Pivot for regular counts'!$A$2,"State","GA","Category",6,"Category2","Four-Year")</f>
        <v>18748.966666666667</v>
      </c>
      <c r="W77" s="126">
        <f>+GETPIVOTDATA("Grand Total FTE - Old",'FTE Pivot for regular counts'!$A$2,"State","GA","Category2","Four-Year")</f>
        <v>228526.42583333331</v>
      </c>
      <c r="X77" s="1" t="s">
        <v>68</v>
      </c>
    </row>
    <row r="78" spans="1:24" ht="15" customHeight="1">
      <c r="A78" s="1" t="s">
        <v>69</v>
      </c>
      <c r="B78" s="33">
        <f>+'NEW-Tables 80-86'!B17+'NEW-Tables 80-86'!B47</f>
        <v>39760.474999999999</v>
      </c>
      <c r="C78" s="33">
        <f>+'NEW-Tables 80-86'!D17+'NEW-Tables 80-86'!C47</f>
        <v>0</v>
      </c>
      <c r="D78" s="33">
        <f>+'NEW-Tables 80-86'!F17+'NEW-Tables 80-86'!D47</f>
        <v>46738.091666666667</v>
      </c>
      <c r="E78" s="33">
        <f>+'NEW-Tables 80-86'!H17+'NEW-Tables 80-86'!E47</f>
        <v>14639.158333333335</v>
      </c>
      <c r="F78" s="33">
        <f>+'NEW-Tables 80-86'!J17+'NEW-Tables 80-86'!F47</f>
        <v>0</v>
      </c>
      <c r="G78" s="12">
        <f>+'NEW-Tables 80-86'!L17+'NEW-Tables 80-86'!G47</f>
        <v>0</v>
      </c>
      <c r="H78" s="113">
        <f>+'NEW-Tables 80-86'!N17+'NEW-Tables 80-86'!H47</f>
        <v>101137.72500000001</v>
      </c>
      <c r="Q78" s="126">
        <f>+GETPIVOTDATA("Grand Total FTE - Old",'FTE Pivot for regular counts'!$A$2,"State","KY","Category",1,"Category2","Four-Year")</f>
        <v>39001.558333333334</v>
      </c>
      <c r="R78" s="126">
        <f>+GETPIVOTDATA("Grand Total FTE - Old",'FTE Pivot for regular counts'!$A$2,"State","KY","Category",2,"Category2","Four-Year")</f>
        <v>0</v>
      </c>
      <c r="S78" s="126">
        <f>+GETPIVOTDATA("Grand Total FTE - Old",'FTE Pivot for regular counts'!$A$2,"State","KY","Category",3,"Category2","Four-Year")</f>
        <v>47130.55</v>
      </c>
      <c r="T78" s="126">
        <f>+GETPIVOTDATA("Grand Total FTE - Old",'FTE Pivot for regular counts'!$A$2,"State","KY","Category",4,"Category2","Four-Year")</f>
        <v>14897.941666666666</v>
      </c>
      <c r="U78" s="126">
        <f>+GETPIVOTDATA("Grand Total FTE - Old",'FTE Pivot for regular counts'!$A$2,"State","KY","Category",5,"Category2","Four-Year")</f>
        <v>0</v>
      </c>
      <c r="V78" s="126">
        <f>+GETPIVOTDATA("Grand Total FTE - Old",'FTE Pivot for regular counts'!$A$2,"State","KY","Category",6,"Category2","Four-Year")</f>
        <v>0</v>
      </c>
      <c r="W78" s="126">
        <f>+GETPIVOTDATA("Grand Total FTE - Old",'FTE Pivot for regular counts'!$A$2,"State","KY","Category2","Four-Year")</f>
        <v>101030.05</v>
      </c>
      <c r="X78" s="1" t="s">
        <v>69</v>
      </c>
    </row>
    <row r="79" spans="1:24" ht="15" customHeight="1">
      <c r="A79" s="1" t="s">
        <v>70</v>
      </c>
      <c r="B79" s="33">
        <f>+'NEW-Tables 80-86'!B18+'NEW-Tables 80-86'!B48</f>
        <v>29411.608333333334</v>
      </c>
      <c r="C79" s="33">
        <f>+'NEW-Tables 80-86'!D18+'NEW-Tables 80-86'!C48</f>
        <v>31023.091666666664</v>
      </c>
      <c r="D79" s="33">
        <f>+'NEW-Tables 80-86'!F18+'NEW-Tables 80-86'!D48</f>
        <v>26492.825000000001</v>
      </c>
      <c r="E79" s="33">
        <f>+'NEW-Tables 80-86'!H18+'NEW-Tables 80-86'!E48</f>
        <v>30869.491666666665</v>
      </c>
      <c r="F79" s="33">
        <f>+'NEW-Tables 80-86'!J18+'NEW-Tables 80-86'!F48</f>
        <v>0</v>
      </c>
      <c r="G79" s="12">
        <f>+'NEW-Tables 80-86'!L18+'NEW-Tables 80-86'!G48</f>
        <v>1640.1666666666667</v>
      </c>
      <c r="H79" s="113">
        <f>+'NEW-Tables 80-86'!N18+'NEW-Tables 80-86'!H48</f>
        <v>119437.18333333333</v>
      </c>
      <c r="Q79" s="126">
        <f>+GETPIVOTDATA("Grand Total FTE - Old",'FTE Pivot for regular counts'!$A$2,"State","LA","Category",1,"Category2","Four-Year")</f>
        <v>29787.066666666669</v>
      </c>
      <c r="R79" s="126">
        <f>+GETPIVOTDATA("Grand Total FTE - Old",'FTE Pivot for regular counts'!$A$2,"State","LA","Category",2,"Category2","Four-Year")</f>
        <v>32201.183333333334</v>
      </c>
      <c r="S79" s="126">
        <f>+GETPIVOTDATA("Grand Total FTE - Old",'FTE Pivot for regular counts'!$A$2,"State","LA","Category",3,"Category2","Four-Year")</f>
        <v>27385.174999999999</v>
      </c>
      <c r="T79" s="126">
        <f>+GETPIVOTDATA("Grand Total FTE - Old",'FTE Pivot for regular counts'!$A$2,"State","LA","Category",4,"Category2","Four-Year")</f>
        <v>32330.075000000001</v>
      </c>
      <c r="U79" s="126">
        <f>+GETPIVOTDATA("Grand Total FTE - Old",'FTE Pivot for regular counts'!$A$2,"State","LA","Category",5,"Category2","Four-Year")</f>
        <v>0</v>
      </c>
      <c r="V79" s="126">
        <f>+GETPIVOTDATA("Grand Total FTE - Old",'FTE Pivot for regular counts'!$A$2,"State","LA","Category",6,"Category2","Four-Year")</f>
        <v>1724.3</v>
      </c>
      <c r="W79" s="126">
        <f>+GETPIVOTDATA("Grand Total FTE - Old",'FTE Pivot for regular counts'!$A$2,"State","LA","Category2","Four-Year")</f>
        <v>123427.8</v>
      </c>
      <c r="X79" s="1" t="s">
        <v>70</v>
      </c>
    </row>
    <row r="80" spans="1:24" ht="15" customHeight="1">
      <c r="A80" s="1" t="s">
        <v>71</v>
      </c>
      <c r="B80" s="33">
        <f>+'NEW-Tables 80-86'!B19+'NEW-Tables 80-86'!B49</f>
        <v>32800.050000000003</v>
      </c>
      <c r="C80" s="33">
        <f>+'NEW-Tables 80-86'!D19+'NEW-Tables 80-86'!C49</f>
        <v>18831.333333333332</v>
      </c>
      <c r="D80" s="33">
        <f>+'NEW-Tables 80-86'!F19+'NEW-Tables 80-86'!D49</f>
        <v>19992.995833333331</v>
      </c>
      <c r="E80" s="33">
        <f>+'NEW-Tables 80-86'!H19+'NEW-Tables 80-86'!E49</f>
        <v>26986.495833333334</v>
      </c>
      <c r="F80" s="33">
        <f>+'NEW-Tables 80-86'!J19+'NEW-Tables 80-86'!F49</f>
        <v>2950.5333333333333</v>
      </c>
      <c r="G80" s="12">
        <f>+'NEW-Tables 80-86'!L19+'NEW-Tables 80-86'!G49</f>
        <v>1924.7416666666666</v>
      </c>
      <c r="H80" s="113">
        <f>+'NEW-Tables 80-86'!N19+'NEW-Tables 80-86'!H49</f>
        <v>103486.15000000001</v>
      </c>
      <c r="Q80" s="126">
        <f>+GETPIVOTDATA("Grand Total FTE - Old",'FTE Pivot for regular counts'!$A$2,"State","MD","Category",1,"Category2","Four-Year")</f>
        <v>32984.25</v>
      </c>
      <c r="R80" s="126">
        <f>+GETPIVOTDATA("Grand Total FTE - Old",'FTE Pivot for regular counts'!$A$2,"State","MD","Category",2,"Category2","Four-Year")</f>
        <v>18814.833333333336</v>
      </c>
      <c r="S80" s="126">
        <f>+GETPIVOTDATA("Grand Total FTE - Old",'FTE Pivot for regular counts'!$A$2,"State","MD","Category",3,"Category2","Four-Year")</f>
        <v>19576.7</v>
      </c>
      <c r="T80" s="126">
        <f>+GETPIVOTDATA("Grand Total FTE - Old",'FTE Pivot for regular counts'!$A$2,"State","MD","Category",4,"Category2","Four-Year")</f>
        <v>27107.75</v>
      </c>
      <c r="U80" s="126">
        <f>+GETPIVOTDATA("Grand Total FTE - Old",'FTE Pivot for regular counts'!$A$2,"State","MD","Category",5,"Category2","Four-Year")</f>
        <v>3117.4749999999999</v>
      </c>
      <c r="V80" s="126">
        <f>+GETPIVOTDATA("Grand Total FTE - Old",'FTE Pivot for regular counts'!$A$2,"State","MD","Category",6,"Category2","Four-Year")</f>
        <v>2169.4416666666666</v>
      </c>
      <c r="W80" s="126">
        <f>+GETPIVOTDATA("Grand Total FTE - Old",'FTE Pivot for regular counts'!$A$2,"State","MD","Category2","Four-Year")</f>
        <v>103770.45000000001</v>
      </c>
      <c r="X80" s="1" t="s">
        <v>71</v>
      </c>
    </row>
    <row r="81" spans="1:26" ht="15" customHeight="1">
      <c r="B81" s="33"/>
      <c r="C81" s="33"/>
      <c r="D81" s="33"/>
      <c r="E81" s="33"/>
      <c r="F81" s="33"/>
      <c r="G81" s="12"/>
      <c r="H81" s="113"/>
      <c r="Q81" s="126"/>
      <c r="R81" s="126"/>
      <c r="S81" s="126"/>
      <c r="T81" s="126"/>
      <c r="U81" s="126"/>
      <c r="V81" s="126"/>
      <c r="W81" s="126"/>
    </row>
    <row r="82" spans="1:26" ht="15" customHeight="1">
      <c r="A82" s="1" t="s">
        <v>72</v>
      </c>
      <c r="B82" s="33">
        <f>+'NEW-Tables 80-86'!B21+'NEW-Tables 80-86'!B51</f>
        <v>31789.783333333333</v>
      </c>
      <c r="C82" s="33">
        <f>+'NEW-Tables 80-86'!D21+'NEW-Tables 80-86'!C51</f>
        <v>25333.766666666666</v>
      </c>
      <c r="D82" s="33">
        <f>+'NEW-Tables 80-86'!F21+'NEW-Tables 80-86'!D51</f>
        <v>0</v>
      </c>
      <c r="E82" s="33">
        <f>+'NEW-Tables 80-86'!H21+'NEW-Tables 80-86'!E51</f>
        <v>8901.875</v>
      </c>
      <c r="F82" s="33">
        <f>+'NEW-Tables 80-86'!J21+'NEW-Tables 80-86'!F51</f>
        <v>2443.9250000000002</v>
      </c>
      <c r="G82" s="12">
        <f>+'NEW-Tables 80-86'!L21+'NEW-Tables 80-86'!G51</f>
        <v>0</v>
      </c>
      <c r="H82" s="113">
        <f>+'NEW-Tables 80-86'!N21+'NEW-Tables 80-86'!H51</f>
        <v>68469.350000000006</v>
      </c>
      <c r="Q82" s="126">
        <f>+GETPIVOTDATA("Grand Total FTE - Old",'FTE Pivot for regular counts'!$A$2,"State","MS","Category",1,"Category2","Four-Year")</f>
        <v>31555.833333333336</v>
      </c>
      <c r="R82" s="126">
        <f>+GETPIVOTDATA("Grand Total FTE - Old",'FTE Pivot for regular counts'!$A$2,"State","MS","Category",2,"Category2","Four-Year")</f>
        <v>24769.533333333336</v>
      </c>
      <c r="S82" s="126">
        <f>+GETPIVOTDATA("Grand Total FTE - Old",'FTE Pivot for regular counts'!$A$2,"State","MS","Category",3,"Category2","Four-Year")</f>
        <v>0</v>
      </c>
      <c r="T82" s="126">
        <f>+GETPIVOTDATA("Grand Total FTE - Old",'FTE Pivot for regular counts'!$A$2,"State","MS","Category",4,"Category2","Four-Year")</f>
        <v>9117.0083333333332</v>
      </c>
      <c r="U82" s="126">
        <f>+GETPIVOTDATA("Grand Total FTE - Old",'FTE Pivot for regular counts'!$A$2,"State","MS","Category",5,"Category2","Four-Year")</f>
        <v>2439.5500000000002</v>
      </c>
      <c r="V82" s="126">
        <f>+GETPIVOTDATA("Grand Total FTE - Old",'FTE Pivot for regular counts'!$A$2,"State","MS","Category",6,"Category2","Four-Year")</f>
        <v>0</v>
      </c>
      <c r="W82" s="126">
        <f>+GETPIVOTDATA("Grand Total FTE - Old",'FTE Pivot for regular counts'!$A$2,"State","MS","Category2","Four-Year")</f>
        <v>67881.925000000003</v>
      </c>
      <c r="X82" s="1" t="s">
        <v>72</v>
      </c>
    </row>
    <row r="83" spans="1:26" ht="15" customHeight="1">
      <c r="A83" s="1" t="s">
        <v>73</v>
      </c>
      <c r="B83" s="33">
        <f>+'NEW-Tables 80-86'!B22+'NEW-Tables 80-86'!B52</f>
        <v>70953.658333333326</v>
      </c>
      <c r="C83" s="33">
        <f>+'NEW-Tables 80-86'!D22+'NEW-Tables 80-86'!C52</f>
        <v>46036.6</v>
      </c>
      <c r="D83" s="33">
        <f>+'NEW-Tables 80-86'!F22+'NEW-Tables 80-86'!D52</f>
        <v>57508.941666666666</v>
      </c>
      <c r="E83" s="33">
        <f>+'NEW-Tables 80-86'!H22+'NEW-Tables 80-86'!E52</f>
        <v>5490.6166666666668</v>
      </c>
      <c r="F83" s="33">
        <f>+'NEW-Tables 80-86'!J22+'NEW-Tables 80-86'!F52</f>
        <v>10893.483333333334</v>
      </c>
      <c r="G83" s="12">
        <f>+'NEW-Tables 80-86'!L22+'NEW-Tables 80-86'!G52</f>
        <v>5884.3250000000007</v>
      </c>
      <c r="H83" s="113">
        <f>+'NEW-Tables 80-86'!N22+'NEW-Tables 80-86'!H52</f>
        <v>196767.625</v>
      </c>
      <c r="Q83" s="126">
        <f>+GETPIVOTDATA("Grand Total FTE - Old",'FTE Pivot for regular counts'!$A$2,"State","NC","Category",1,"Category2","Four-Year")</f>
        <v>71298.94166666668</v>
      </c>
      <c r="R83" s="126">
        <f>+GETPIVOTDATA("Grand Total FTE - Old",'FTE Pivot for regular counts'!$A$2,"State","NC","Category",2,"Category2","Four-Year")</f>
        <v>45222.816666666666</v>
      </c>
      <c r="S83" s="126">
        <f>+GETPIVOTDATA("Grand Total FTE - Old",'FTE Pivot for regular counts'!$A$2,"State","NC","Category",3,"Category2","Four-Year")</f>
        <v>56682.5</v>
      </c>
      <c r="T83" s="126">
        <f>+GETPIVOTDATA("Grand Total FTE - Old",'FTE Pivot for regular counts'!$A$2,"State","NC","Category",4,"Category2","Four-Year")</f>
        <v>5434.5666666666666</v>
      </c>
      <c r="U83" s="126">
        <f>+GETPIVOTDATA("Grand Total FTE - Old",'FTE Pivot for regular counts'!$A$2,"State","NC","Category",5,"Category2","Four-Year")</f>
        <v>11212.55</v>
      </c>
      <c r="V83" s="126">
        <f>+GETPIVOTDATA("Grand Total FTE - Old",'FTE Pivot for regular counts'!$A$2,"State","NC","Category",6,"Category2","Four-Year")</f>
        <v>6191.6750000000002</v>
      </c>
      <c r="W83" s="126">
        <f>+GETPIVOTDATA("Grand Total FTE - Old",'FTE Pivot for regular counts'!$A$2,"State","NC","Category2","Four-Year")</f>
        <v>196043.05000000002</v>
      </c>
      <c r="X83" s="1" t="s">
        <v>73</v>
      </c>
    </row>
    <row r="84" spans="1:26" ht="15" customHeight="1">
      <c r="A84" s="1" t="s">
        <v>74</v>
      </c>
      <c r="B84" s="33">
        <f>+'NEW-Tables 80-86'!B23+'NEW-Tables 80-86'!B53</f>
        <v>56675.291666666664</v>
      </c>
      <c r="C84" s="33">
        <f>+'NEW-Tables 80-86'!D23+'NEW-Tables 80-86'!C53</f>
        <v>0</v>
      </c>
      <c r="D84" s="33">
        <f>+'NEW-Tables 80-86'!F23+'NEW-Tables 80-86'!D53</f>
        <v>21322.575000000001</v>
      </c>
      <c r="E84" s="33">
        <f>+'NEW-Tables 80-86'!H23+'NEW-Tables 80-86'!E53</f>
        <v>3231.6083333333331</v>
      </c>
      <c r="F84" s="33">
        <f>+'NEW-Tables 80-86'!J23+'NEW-Tables 80-86'!F53</f>
        <v>17353.658333333333</v>
      </c>
      <c r="G84" s="12">
        <f>+'NEW-Tables 80-86'!L23+'NEW-Tables 80-86'!G53</f>
        <v>5451.8333333333339</v>
      </c>
      <c r="H84" s="113">
        <f>+'NEW-Tables 80-86'!N23+'NEW-Tables 80-86'!H53</f>
        <v>104034.96666666665</v>
      </c>
      <c r="Q84" s="126">
        <f>+GETPIVOTDATA("Grand Total FTE - Old",'FTE Pivot for regular counts'!$A$2,"State","OK","Category",1,"Category2","Four-Year")</f>
        <v>49176.75</v>
      </c>
      <c r="R84" s="126">
        <f>+GETPIVOTDATA("Grand Total FTE - Old",'FTE Pivot for regular counts'!$A$2,"State","OK","Category",2,"Category2","Four-Year")</f>
        <v>0</v>
      </c>
      <c r="S84" s="126">
        <f>+GETPIVOTDATA("Grand Total FTE - Old",'FTE Pivot for regular counts'!$A$2,"State","OK","Category",3,"Category2","Four-Year")</f>
        <v>20785.333333333332</v>
      </c>
      <c r="T84" s="126">
        <f>+GETPIVOTDATA("Grand Total FTE - Old",'FTE Pivot for regular counts'!$A$2,"State","OK","Category",4,"Category2","Four-Year")</f>
        <v>3428.95</v>
      </c>
      <c r="U84" s="126">
        <f>+GETPIVOTDATA("Grand Total FTE - Old",'FTE Pivot for regular counts'!$A$2,"State","OK","Category",5,"Category2","Four-Year")</f>
        <v>17593.849999999999</v>
      </c>
      <c r="V84" s="126">
        <f>+GETPIVOTDATA("Grand Total FTE - Old",'FTE Pivot for regular counts'!$A$2,"State","OK","Category",6,"Category2","Four-Year")</f>
        <v>5902.5999999999995</v>
      </c>
      <c r="W84" s="126">
        <f>+GETPIVOTDATA("Grand Total FTE - Old",'FTE Pivot for regular counts'!$A$2,"State","OK","Category2","Four-Year")</f>
        <v>96887.483333333337</v>
      </c>
      <c r="X84" s="1" t="s">
        <v>74</v>
      </c>
    </row>
    <row r="85" spans="1:26" ht="15" customHeight="1">
      <c r="A85" s="1" t="s">
        <v>75</v>
      </c>
      <c r="B85" s="33">
        <f>+'NEW-Tables 80-86'!B24+'NEW-Tables 80-86'!B54</f>
        <v>48597.14166666667</v>
      </c>
      <c r="C85" s="33">
        <f>+'NEW-Tables 80-86'!D24+'NEW-Tables 80-86'!C54</f>
        <v>0</v>
      </c>
      <c r="D85" s="33">
        <f>+'NEW-Tables 80-86'!F24+'NEW-Tables 80-86'!D54</f>
        <v>20227.416666666668</v>
      </c>
      <c r="E85" s="33">
        <f>+'NEW-Tables 80-86'!H24+'NEW-Tables 80-86'!E54</f>
        <v>0</v>
      </c>
      <c r="F85" s="33">
        <f>+'NEW-Tables 80-86'!J24+'NEW-Tables 80-86'!F54</f>
        <v>15833.174999999999</v>
      </c>
      <c r="G85" s="12">
        <f>+'NEW-Tables 80-86'!L24+'NEW-Tables 80-86'!G54</f>
        <v>12233.666666666668</v>
      </c>
      <c r="H85" s="113">
        <f>+'NEW-Tables 80-86'!N24+'NEW-Tables 80-86'!H54</f>
        <v>96891.400000000009</v>
      </c>
      <c r="Q85" s="126">
        <f>+GETPIVOTDATA("Grand Total FTE - Old",'FTE Pivot for regular counts'!$A$2,"State","SC","Category",1,"Category2","Four-Year")</f>
        <v>47437.758333333331</v>
      </c>
      <c r="R85" s="126">
        <f>+GETPIVOTDATA("Grand Total FTE - Old",'FTE Pivot for regular counts'!$A$2,"State","SC","Category",2,"Category2","Four-Year")</f>
        <v>0</v>
      </c>
      <c r="S85" s="126">
        <f>+GETPIVOTDATA("Grand Total FTE - Old",'FTE Pivot for regular counts'!$A$2,"State","SC","Category",3,"Category2","Four-Year")</f>
        <v>20161.662499999999</v>
      </c>
      <c r="T85" s="126">
        <f>+GETPIVOTDATA("Grand Total FTE - Old",'FTE Pivot for regular counts'!$A$2,"State","SC","Category",4,"Category2","Four-Year")</f>
        <v>0</v>
      </c>
      <c r="U85" s="126">
        <f>+GETPIVOTDATA("Grand Total FTE - Old",'FTE Pivot for regular counts'!$A$2,"State","SC","Category",5,"Category2","Four-Year")</f>
        <v>16275.333333333334</v>
      </c>
      <c r="V85" s="126">
        <f>+GETPIVOTDATA("Grand Total FTE - Old",'FTE Pivot for regular counts'!$A$2,"State","SC","Category",6,"Category2","Four-Year")</f>
        <v>12320.842000000001</v>
      </c>
      <c r="W85" s="126">
        <f>+GETPIVOTDATA("Grand Total FTE - Old",'FTE Pivot for regular counts'!$A$2,"State","SC","Category2","Four-Year")</f>
        <v>96195.59616666667</v>
      </c>
      <c r="X85" s="1" t="s">
        <v>75</v>
      </c>
    </row>
    <row r="86" spans="1:26" ht="15" customHeight="1">
      <c r="B86" s="33"/>
      <c r="C86" s="33"/>
      <c r="D86" s="33"/>
      <c r="E86" s="33"/>
      <c r="F86" s="33"/>
      <c r="G86" s="12"/>
      <c r="H86" s="113"/>
      <c r="Q86" s="126"/>
      <c r="R86" s="126"/>
      <c r="S86" s="126"/>
      <c r="T86" s="126"/>
      <c r="U86" s="126"/>
      <c r="V86" s="126"/>
      <c r="W86" s="126"/>
    </row>
    <row r="87" spans="1:26" ht="15" customHeight="1">
      <c r="A87" s="1" t="s">
        <v>76</v>
      </c>
      <c r="B87" s="33">
        <f>+'NEW-Tables 80-86'!B26+'NEW-Tables 80-86'!B56</f>
        <v>41939.116666666669</v>
      </c>
      <c r="C87" s="33">
        <f>+'NEW-Tables 80-86'!D26+'NEW-Tables 80-86'!C56</f>
        <v>7495.9833333333336</v>
      </c>
      <c r="D87" s="33">
        <f>+'NEW-Tables 80-86'!F26+'NEW-Tables 80-86'!D56</f>
        <v>62808.991666666661</v>
      </c>
      <c r="E87" s="33">
        <f>+'NEW-Tables 80-86'!H26+'NEW-Tables 80-86'!E56</f>
        <v>0</v>
      </c>
      <c r="F87" s="33">
        <f>+'NEW-Tables 80-86'!J26+'NEW-Tables 80-86'!F56</f>
        <v>6880.85</v>
      </c>
      <c r="G87" s="12">
        <f>+'NEW-Tables 80-86'!L26+'NEW-Tables 80-86'!G56</f>
        <v>0</v>
      </c>
      <c r="H87" s="113">
        <f>+'NEW-Tables 80-86'!N26+'NEW-Tables 80-86'!H56</f>
        <v>119124.94166666667</v>
      </c>
      <c r="Q87" s="126">
        <f>+GETPIVOTDATA("Grand Total FTE - Old",'FTE Pivot for regular counts'!$A$2,"State","TN","Category",1,"Category2","Four-Year")</f>
        <v>42928.941666666666</v>
      </c>
      <c r="R87" s="126">
        <f>+GETPIVOTDATA("Grand Total FTE - Old",'FTE Pivot for regular counts'!$A$2,"State","TN","Category",2,"Category2","Four-Year")</f>
        <v>7496.25</v>
      </c>
      <c r="S87" s="126">
        <f>+GETPIVOTDATA("Grand Total FTE - Old",'FTE Pivot for regular counts'!$A$2,"State","TN","Category",3,"Category2","Four-Year")</f>
        <v>64306.358333333323</v>
      </c>
      <c r="T87" s="126">
        <f>+GETPIVOTDATA("Grand Total FTE - Old",'FTE Pivot for regular counts'!$A$2,"State","TN","Category",4,"Category2","Four-Year")</f>
        <v>0</v>
      </c>
      <c r="U87" s="126">
        <f>+GETPIVOTDATA("Grand Total FTE - Old",'FTE Pivot for regular counts'!$A$2,"State","TN","Category",5,"Category2","Four-Year")</f>
        <v>7038.8416666666672</v>
      </c>
      <c r="V87" s="126">
        <f>+GETPIVOTDATA("Grand Total FTE - Old",'FTE Pivot for regular counts'!$A$2,"State","TN","Category",6,"Category2","Four-Year")</f>
        <v>0</v>
      </c>
      <c r="W87" s="126">
        <f>+GETPIVOTDATA("Grand Total FTE - Old",'FTE Pivot for regular counts'!$A$2,"State","TN","Category2","Four-Year")</f>
        <v>121770.39166666666</v>
      </c>
      <c r="X87" s="1" t="s">
        <v>76</v>
      </c>
    </row>
    <row r="88" spans="1:26" ht="15" customHeight="1">
      <c r="A88" s="1" t="s">
        <v>77</v>
      </c>
      <c r="B88" s="33">
        <f>+'NEW-Tables 80-86'!B27+'NEW-Tables 80-86'!B57</f>
        <v>226616.15833333333</v>
      </c>
      <c r="C88" s="33">
        <f>+'NEW-Tables 80-86'!D27+'NEW-Tables 80-86'!C57</f>
        <v>53346.625000000007</v>
      </c>
      <c r="D88" s="33">
        <f>+'NEW-Tables 80-86'!F27+'NEW-Tables 80-86'!D57</f>
        <v>177674.29166666669</v>
      </c>
      <c r="E88" s="33">
        <f>+'NEW-Tables 80-86'!H27+'NEW-Tables 80-86'!E57</f>
        <v>6126.7666666666673</v>
      </c>
      <c r="F88" s="33">
        <f>+'NEW-Tables 80-86'!J27+'NEW-Tables 80-86'!F57</f>
        <v>12803.433333333334</v>
      </c>
      <c r="G88" s="12">
        <f>+'NEW-Tables 80-86'!L27+'NEW-Tables 80-86'!G57</f>
        <v>1937.5833333333333</v>
      </c>
      <c r="H88" s="113">
        <f>+'NEW-Tables 80-86'!N27+'NEW-Tables 80-86'!H57</f>
        <v>478504.85833333328</v>
      </c>
      <c r="Q88" s="126">
        <f>+GETPIVOTDATA("Grand Total FTE - Old",'FTE Pivot for regular counts'!$A$2,"State","TX","Category",1,"Category2","Four-Year")</f>
        <v>224870.64166666666</v>
      </c>
      <c r="R88" s="126">
        <f>+GETPIVOTDATA("Grand Total FTE - Old",'FTE Pivot for regular counts'!$A$2,"State","TX","Category",2,"Category2","Four-Year")</f>
        <v>53840.566666666666</v>
      </c>
      <c r="S88" s="126">
        <f>+GETPIVOTDATA("Grand Total FTE - Old",'FTE Pivot for regular counts'!$A$2,"State","TX","Category",3,"Category2","Four-Year")</f>
        <v>173375.21666666665</v>
      </c>
      <c r="T88" s="126">
        <f>+GETPIVOTDATA("Grand Total FTE - Old",'FTE Pivot for regular counts'!$A$2,"State","TX","Category",4,"Category2","Four-Year")</f>
        <v>6140.3416666666672</v>
      </c>
      <c r="U88" s="126">
        <f>+GETPIVOTDATA("Grand Total FTE - Old",'FTE Pivot for regular counts'!$A$2,"State","TX","Category",5,"Category2","Four-Year")</f>
        <v>12706.216666666667</v>
      </c>
      <c r="V88" s="126">
        <f>+GETPIVOTDATA("Grand Total FTE - Old",'FTE Pivot for regular counts'!$A$2,"State","TX","Category",6,"Category2","Four-Year")</f>
        <v>1862.5</v>
      </c>
      <c r="W88" s="126">
        <f>+GETPIVOTDATA("Grand Total FTE - Old",'FTE Pivot for regular counts'!$A$2,"State","TX","Category2","Four-Year")</f>
        <v>472795.48333333328</v>
      </c>
      <c r="X88" s="1" t="s">
        <v>77</v>
      </c>
    </row>
    <row r="89" spans="1:26" ht="15" customHeight="1">
      <c r="A89" s="1" t="s">
        <v>78</v>
      </c>
      <c r="B89" s="33">
        <f>+'NEW-Tables 80-86'!B28+'NEW-Tables 80-86'!B58</f>
        <v>102137.53750000001</v>
      </c>
      <c r="C89" s="33">
        <f>+'NEW-Tables 80-86'!D28+'NEW-Tables 80-86'!C58</f>
        <v>35700.034166666665</v>
      </c>
      <c r="D89" s="33">
        <f>+'NEW-Tables 80-86'!F28+'NEW-Tables 80-86'!D58</f>
        <v>50233.641666666663</v>
      </c>
      <c r="E89" s="33">
        <f>+'NEW-Tables 80-86'!H28+'NEW-Tables 80-86'!E58</f>
        <v>0</v>
      </c>
      <c r="F89" s="33">
        <f>+'NEW-Tables 80-86'!J28+'NEW-Tables 80-86'!F58</f>
        <v>5094.1499999999996</v>
      </c>
      <c r="G89" s="12">
        <f>+'NEW-Tables 80-86'!L28+'NEW-Tables 80-86'!G58</f>
        <v>1818.1333333333334</v>
      </c>
      <c r="H89" s="113">
        <f>+'NEW-Tables 80-86'!N28+'NEW-Tables 80-86'!H58</f>
        <v>194983.4966666667</v>
      </c>
      <c r="Q89" s="126">
        <f>+GETPIVOTDATA("Grand Total FTE - Old",'FTE Pivot for regular counts'!$A$2,"State","VA","Category",1,"Category2","Four-Year")</f>
        <v>101740.42916666667</v>
      </c>
      <c r="R89" s="126">
        <f>+GETPIVOTDATA("Grand Total FTE - Old",'FTE Pivot for regular counts'!$A$2,"State","VA","Category",2,"Category2","Four-Year")</f>
        <v>36086.054166666669</v>
      </c>
      <c r="S89" s="126">
        <f>+GETPIVOTDATA("Grand Total FTE - Old",'FTE Pivot for regular counts'!$A$2,"State","VA","Category",3,"Category2","Four-Year")</f>
        <v>49950.98333333333</v>
      </c>
      <c r="T89" s="126">
        <f>+GETPIVOTDATA("Grand Total FTE - Old",'FTE Pivot for regular counts'!$A$2,"State","VA","Category",4,"Category2","Four-Year")</f>
        <v>0</v>
      </c>
      <c r="U89" s="126">
        <f>+GETPIVOTDATA("Grand Total FTE - Old",'FTE Pivot for regular counts'!$A$2,"State","VA","Category",5,"Category2","Four-Year")</f>
        <v>4983.2416666666668</v>
      </c>
      <c r="V89" s="126">
        <f>+GETPIVOTDATA("Grand Total FTE - Old",'FTE Pivot for regular counts'!$A$2,"State","VA","Category",6,"Category2","Four-Year")</f>
        <v>1794.5666666666666</v>
      </c>
      <c r="W89" s="126">
        <f>+GETPIVOTDATA("Grand Total FTE - Old",'FTE Pivot for regular counts'!$A$2,"State","VA","Category2","Four-Year")</f>
        <v>194555.27500000002</v>
      </c>
      <c r="X89" s="1" t="s">
        <v>78</v>
      </c>
    </row>
    <row r="90" spans="1:26" ht="15" customHeight="1">
      <c r="A90" s="3" t="s">
        <v>79</v>
      </c>
      <c r="B90" s="13">
        <f>+'NEW-Tables 80-86'!B29+'NEW-Tables 80-86'!B59</f>
        <v>26703.866666666669</v>
      </c>
      <c r="C90" s="13">
        <f>+'NEW-Tables 80-86'!D29+'NEW-Tables 80-86'!C59</f>
        <v>0</v>
      </c>
      <c r="D90" s="13">
        <f>+'NEW-Tables 80-86'!F29+'NEW-Tables 80-86'!D59</f>
        <v>11185.266666666666</v>
      </c>
      <c r="E90" s="13">
        <f>+'NEW-Tables 80-86'!H29+'NEW-Tables 80-86'!E59</f>
        <v>0</v>
      </c>
      <c r="F90" s="13">
        <f>+'NEW-Tables 80-86'!J29+'NEW-Tables 80-86'!F59</f>
        <v>7660.1083333333345</v>
      </c>
      <c r="G90" s="14">
        <f>+'NEW-Tables 80-86'!L29+'NEW-Tables 80-86'!G59</f>
        <v>11492.87</v>
      </c>
      <c r="H90" s="114">
        <f>+'NEW-Tables 80-86'!N29+'NEW-Tables 80-86'!H59</f>
        <v>57042.111666666671</v>
      </c>
      <c r="Q90" s="126">
        <f>+GETPIVOTDATA("Grand Total FTE - Old",'FTE Pivot for regular counts'!$A$2,"State","WV","Category",1,"Category2","Four-Year")</f>
        <v>26908.691666666666</v>
      </c>
      <c r="R90" s="126">
        <f>+GETPIVOTDATA("Grand Total FTE - Old",'FTE Pivot for regular counts'!$A$2,"State","WV","Category",2,"Category2","Four-Year")</f>
        <v>0</v>
      </c>
      <c r="S90" s="126">
        <f>+GETPIVOTDATA("Grand Total FTE - Old",'FTE Pivot for regular counts'!$A$2,"State","WV","Category",3,"Category2","Four-Year")</f>
        <v>11113.833333333334</v>
      </c>
      <c r="T90" s="126">
        <f>+GETPIVOTDATA("Grand Total FTE - Old",'FTE Pivot for regular counts'!$A$2,"State","WV","Category",4,"Category2","Four-Year")</f>
        <v>0</v>
      </c>
      <c r="U90" s="126">
        <f>+GETPIVOTDATA("Grand Total FTE - Old",'FTE Pivot for regular counts'!$A$2,"State","WV","Category",5,"Category2","Four-Year")</f>
        <v>7936.5916666666672</v>
      </c>
      <c r="V90" s="126">
        <f>+GETPIVOTDATA("Grand Total FTE - Old",'FTE Pivot for regular counts'!$A$2,"State","WV","Category",6,"Category2","Four-Year")</f>
        <v>11828.986666666668</v>
      </c>
      <c r="W90" s="126">
        <f>+GETPIVOTDATA("Grand Total FTE - Old",'FTE Pivot for regular counts'!$A$2,"State","WV","Category2","Four-Year")</f>
        <v>57788.103333333333</v>
      </c>
      <c r="X90" s="25" t="s">
        <v>79</v>
      </c>
    </row>
    <row r="91" spans="1:26" s="25" customFormat="1" ht="47.25" customHeight="1">
      <c r="A91" s="834" t="s">
        <v>968</v>
      </c>
      <c r="B91" s="834"/>
      <c r="C91" s="834"/>
      <c r="D91" s="834"/>
      <c r="E91" s="834"/>
      <c r="F91" s="834"/>
      <c r="G91" s="834"/>
      <c r="H91" s="834"/>
      <c r="I91" s="15"/>
      <c r="J91" s="103"/>
      <c r="K91" s="103"/>
      <c r="L91" s="103"/>
      <c r="M91" s="103"/>
    </row>
    <row r="92" spans="1:26" ht="10.5" customHeight="1">
      <c r="A92" s="408"/>
      <c r="B92" s="408"/>
      <c r="C92" s="408"/>
      <c r="D92" s="408"/>
      <c r="E92" s="408"/>
      <c r="F92" s="408"/>
      <c r="G92" s="408"/>
      <c r="H92" s="833" t="s">
        <v>982</v>
      </c>
    </row>
    <row r="93" spans="1:26">
      <c r="A93" s="49"/>
      <c r="B93" s="50"/>
      <c r="C93" s="50"/>
      <c r="D93" s="50"/>
      <c r="E93" s="50"/>
      <c r="F93" s="50"/>
      <c r="G93" s="50"/>
      <c r="H93" s="169"/>
    </row>
    <row r="94" spans="1:26" ht="18">
      <c r="A94" s="838" t="s">
        <v>166</v>
      </c>
      <c r="B94" s="838"/>
      <c r="C94" s="838"/>
      <c r="D94" s="838"/>
      <c r="E94" s="838"/>
      <c r="F94" s="838"/>
      <c r="G94" s="838"/>
      <c r="H94" s="838"/>
      <c r="I94" s="838"/>
      <c r="J94" s="838"/>
      <c r="K94" s="164"/>
      <c r="L94" s="164"/>
      <c r="M94" s="178"/>
    </row>
    <row r="95" spans="1:26" ht="15.75">
      <c r="A95" s="21"/>
      <c r="B95" s="21"/>
      <c r="C95" s="21"/>
      <c r="D95" s="21"/>
      <c r="E95" s="21"/>
      <c r="F95" s="21"/>
      <c r="G95" s="21"/>
      <c r="H95" s="105"/>
      <c r="I95" s="21"/>
      <c r="J95" s="105"/>
      <c r="K95" s="105"/>
      <c r="L95" s="105"/>
      <c r="M95" s="198"/>
      <c r="Q95" s="1" t="s">
        <v>38</v>
      </c>
    </row>
    <row r="96" spans="1:26" ht="15.75">
      <c r="A96" s="839" t="s">
        <v>34</v>
      </c>
      <c r="B96" s="839"/>
      <c r="C96" s="839"/>
      <c r="D96" s="839"/>
      <c r="E96" s="839"/>
      <c r="F96" s="839"/>
      <c r="G96" s="839"/>
      <c r="H96" s="839"/>
      <c r="I96" s="839"/>
      <c r="J96" s="839"/>
      <c r="K96" s="132"/>
      <c r="L96" s="132"/>
      <c r="M96" s="199"/>
      <c r="Q96" s="196" t="s">
        <v>34</v>
      </c>
      <c r="R96" s="132"/>
      <c r="S96" s="132"/>
      <c r="T96" s="132"/>
      <c r="U96" s="132"/>
      <c r="V96" s="132"/>
      <c r="W96" s="132"/>
      <c r="X96" s="132"/>
      <c r="Y96" s="132"/>
      <c r="Z96" s="132"/>
    </row>
    <row r="97" spans="1:26" ht="15.75">
      <c r="A97" s="839" t="s">
        <v>969</v>
      </c>
      <c r="B97" s="839"/>
      <c r="C97" s="839"/>
      <c r="D97" s="839"/>
      <c r="E97" s="839"/>
      <c r="F97" s="839"/>
      <c r="G97" s="839"/>
      <c r="H97" s="839"/>
      <c r="I97" s="839"/>
      <c r="J97" s="839"/>
      <c r="K97" s="132"/>
      <c r="L97" s="132"/>
      <c r="M97" s="199"/>
      <c r="Q97" s="196" t="s">
        <v>170</v>
      </c>
      <c r="R97" s="132"/>
      <c r="S97" s="132"/>
      <c r="T97" s="132"/>
      <c r="U97" s="132"/>
      <c r="V97" s="132"/>
      <c r="W97" s="132"/>
      <c r="X97" s="132"/>
      <c r="Y97" s="132"/>
      <c r="Z97" s="132"/>
    </row>
    <row r="98" spans="1:26">
      <c r="B98" s="2"/>
      <c r="C98" s="2"/>
      <c r="D98" s="2"/>
      <c r="E98" s="2"/>
      <c r="F98" s="2"/>
      <c r="G98" s="2"/>
      <c r="H98" s="107"/>
      <c r="I98" s="2"/>
      <c r="J98" s="107"/>
      <c r="K98" s="107"/>
      <c r="L98" s="107"/>
      <c r="M98" s="191"/>
      <c r="Q98" s="197"/>
      <c r="R98" s="2"/>
      <c r="S98" s="2"/>
      <c r="T98" s="2"/>
      <c r="U98" s="2"/>
      <c r="V98" s="2"/>
      <c r="W98" s="2"/>
      <c r="X98" s="2"/>
      <c r="Y98" s="2"/>
      <c r="Z98" s="2"/>
    </row>
    <row r="99" spans="1:26" ht="15" customHeight="1">
      <c r="A99" s="44"/>
      <c r="B99" s="56" t="s">
        <v>63</v>
      </c>
      <c r="C99" s="56"/>
      <c r="D99" s="27"/>
      <c r="E99" s="27"/>
      <c r="F99" s="28"/>
      <c r="G99" s="57" t="s">
        <v>45</v>
      </c>
      <c r="H99" s="91"/>
      <c r="I99" s="92"/>
      <c r="K99" s="170" t="s">
        <v>28</v>
      </c>
      <c r="L99" s="170"/>
      <c r="M99" s="170"/>
      <c r="Q99" s="44"/>
      <c r="R99" s="56" t="s">
        <v>63</v>
      </c>
      <c r="S99" s="56"/>
      <c r="T99" s="27"/>
      <c r="U99" s="27"/>
      <c r="V99" s="28"/>
      <c r="W99" s="419" t="s">
        <v>45</v>
      </c>
      <c r="X99" s="420"/>
      <c r="Y99" s="421"/>
      <c r="Z99" s="417" t="s">
        <v>28</v>
      </c>
    </row>
    <row r="100" spans="1:26" ht="24">
      <c r="A100" s="45"/>
      <c r="B100" s="58" t="s">
        <v>140</v>
      </c>
      <c r="C100" s="46">
        <v>1</v>
      </c>
      <c r="D100" s="46">
        <v>2</v>
      </c>
      <c r="E100" s="46">
        <v>3</v>
      </c>
      <c r="F100" s="59" t="s">
        <v>30</v>
      </c>
      <c r="G100" s="60">
        <v>1</v>
      </c>
      <c r="H100" s="94">
        <v>2</v>
      </c>
      <c r="I100" s="93" t="s">
        <v>30</v>
      </c>
      <c r="K100" s="123"/>
      <c r="L100" s="123"/>
      <c r="M100" s="123"/>
      <c r="Q100" s="45"/>
      <c r="R100" s="58" t="s">
        <v>140</v>
      </c>
      <c r="S100" s="46">
        <v>1</v>
      </c>
      <c r="T100" s="46">
        <v>2</v>
      </c>
      <c r="U100" s="46">
        <v>3</v>
      </c>
      <c r="V100" s="59" t="s">
        <v>30</v>
      </c>
      <c r="W100" s="60">
        <v>1</v>
      </c>
      <c r="X100" s="47">
        <v>2</v>
      </c>
      <c r="Y100" s="46" t="s">
        <v>30</v>
      </c>
      <c r="Z100" s="418"/>
    </row>
    <row r="101" spans="1:26" ht="15" customHeight="1">
      <c r="A101" s="1" t="s">
        <v>64</v>
      </c>
      <c r="B101" s="5">
        <f>+GETPIVOTDATA("Undergrad Student Credit Hour FTE - New",'FTE Pivot for regular counts'!$A$2,"Category","7","Category2","Two-Year")</f>
        <v>244776.06666666671</v>
      </c>
      <c r="C101" s="15">
        <f>+GETPIVOTDATA("Undergrad Student Credit Hour FTE - New",'FTE Pivot for regular counts'!$A$2,"Category","8","Category2","Two-Year")</f>
        <v>932373.21666666667</v>
      </c>
      <c r="D101" s="5">
        <f>+GETPIVOTDATA("Undergrad Student Credit Hour FTE - New",'FTE Pivot for regular counts'!$A$2,"Category","9","Category2","Two-Year")</f>
        <v>398992.64666666661</v>
      </c>
      <c r="E101" s="5">
        <f>+GETPIVOTDATA("Undergrad Student Credit Hour FTE - New",'FTE Pivot for regular counts'!$A$2,"Category","10","Category2","Two-Year")</f>
        <v>113979.66666666666</v>
      </c>
      <c r="F101" s="23">
        <f>+GETPIVOTDATA("Undergrad Student Credit Hour FTE - New",'FTE Pivot for regular counts'!$A$2,"Category2","Two-Year")</f>
        <v>1690121.5966666667</v>
      </c>
      <c r="G101" s="18">
        <f>+GETPIVOTDATA("Undergrad Student Credit Hour FTE - New",'FTE Pivot for regular counts'!$A$2,"Category","12","Category2","Technical")</f>
        <v>93652.866666666669</v>
      </c>
      <c r="H101" s="103">
        <f>+GETPIVOTDATA("Undergrad Student Credit Hour FTE - New",'FTE Pivot for regular counts'!$A$2,"Category","13","Category2","Technical")</f>
        <v>1988.8666666666668</v>
      </c>
      <c r="I101" s="4">
        <f>+GETPIVOTDATA("Undergrad Student Credit Hour FTE - New",'FTE Pivot for regular counts'!$A$2,"Category2","Technical")</f>
        <v>95641.733333333337</v>
      </c>
      <c r="Q101" s="1" t="s">
        <v>64</v>
      </c>
      <c r="R101" s="5">
        <f>+GETPIVOTDATA("Undergrad Student Credit Hour  FTE - Old",'FTE Pivot for regular counts'!$A$2,"Category","7","Category2","Two-Year")</f>
        <v>252019.83333333331</v>
      </c>
      <c r="S101" s="15">
        <f>+GETPIVOTDATA("Undergrad Student Credit Hour  FTE - Old",'FTE Pivot for regular counts'!$A$2,"Category","8","Category2","Two-Year")</f>
        <v>973652.60600000003</v>
      </c>
      <c r="T101" s="5">
        <f>+GETPIVOTDATA("Undergrad Student Credit Hour  FTE - Old",'FTE Pivot for regular counts'!$A$2,"Category","9","Category2","Two-Year")</f>
        <v>416846.61100000003</v>
      </c>
      <c r="U101" s="5">
        <f>+GETPIVOTDATA("Undergrad Student Credit Hour  FTE - Old",'FTE Pivot for regular counts'!$A$2,"Category","10","Category2","Two-Year")</f>
        <v>119348.05600000001</v>
      </c>
      <c r="V101" s="23">
        <f>+GETPIVOTDATA("Undergrad Student Credit Hour  FTE - Old",'FTE Pivot for regular counts'!$A$2,"Category2","Two-Year")</f>
        <v>1761867.1063333333</v>
      </c>
      <c r="W101" s="18">
        <f>+GETPIVOTDATA("Undergrad Student Credit Hour  FTE - Old",'FTE Pivot for regular counts'!$A$2,"Category","12","Category2","Technical")</f>
        <v>98090.19</v>
      </c>
      <c r="X101" s="15">
        <f>+GETPIVOTDATA("Undergrad Student Credit Hour  FTE - Old",'FTE Pivot for regular counts'!$A$2,"Category","13","Category2","Technical")</f>
        <v>2102.1333333333332</v>
      </c>
      <c r="Y101" s="1">
        <f>+GETPIVOTDATA("Undergrad Student Credit Hour  FTE - Old",'FTE Pivot for regular counts'!$A$2,"Category2","Technical")</f>
        <v>100192.32333333333</v>
      </c>
      <c r="Z101" s="25"/>
    </row>
    <row r="102" spans="1:26" ht="15" customHeight="1">
      <c r="B102" s="5"/>
      <c r="C102" s="15"/>
      <c r="D102" s="5"/>
      <c r="E102" s="5"/>
      <c r="F102" s="23"/>
      <c r="G102" s="18"/>
      <c r="H102" s="103"/>
      <c r="I102" s="4"/>
      <c r="R102" s="5"/>
      <c r="S102" s="15"/>
      <c r="T102" s="5"/>
      <c r="U102" s="5"/>
      <c r="V102" s="23"/>
      <c r="W102" s="18"/>
      <c r="X102" s="15"/>
      <c r="Z102" s="25"/>
    </row>
    <row r="103" spans="1:26" ht="15" customHeight="1">
      <c r="A103" s="1" t="s">
        <v>65</v>
      </c>
      <c r="B103" s="5">
        <f>+GETPIVOTDATA("Undergrad Student Credit Hour FTE - New",'FTE Pivot for regular counts'!$A$2,"State","AL","Category","7","Category2","Two-Year")</f>
        <v>0</v>
      </c>
      <c r="C103" s="15">
        <f>+GETPIVOTDATA("Undergrad Student Credit Hour FTE - New",'FTE Pivot for regular counts'!$A$2,"State","AL","Category","8","Category2","Two-Year")</f>
        <v>22900.433333333334</v>
      </c>
      <c r="D103" s="5">
        <f>+GETPIVOTDATA("Undergrad Student Credit Hour FTE - New",'FTE Pivot for regular counts'!$A$2,"State","AL","Category","9","Category2","Two-Year")</f>
        <v>32209.466666666667</v>
      </c>
      <c r="E103" s="5">
        <f>+GETPIVOTDATA("Undergrad Student Credit Hour FTE - New",'FTE Pivot for regular counts'!$A$2,"State","AL","Category","10","Category2","Two-Year")</f>
        <v>8428.0999999999985</v>
      </c>
      <c r="F103" s="23">
        <f>+GETPIVOTDATA("Undergrad Student Credit Hour FTE - New",'FTE Pivot for regular counts'!$A$2,"State","AL","Category2","Two-Year")</f>
        <v>63538</v>
      </c>
      <c r="G103" s="18">
        <f>+GETPIVOTDATA("Undergrad Student Credit Hour FTE - New",'FTE Pivot for regular counts'!$A$2,"State","AL","Category","12","Category2","Technical")</f>
        <v>1233.1666666666667</v>
      </c>
      <c r="H103" s="103">
        <f>+GETPIVOTDATA("Undergrad Student Credit Hour FTE - New",'FTE Pivot for regular counts'!$A$2,"State","AL","Category","13","Category2","Technical")</f>
        <v>1988.8666666666668</v>
      </c>
      <c r="I103" s="4">
        <f>+GETPIVOTDATA("Undergrad Student Credit Hour FTE - New",'FTE Pivot for regular counts'!$A$2,"State","AL","Category2","Technical")</f>
        <v>3222.0333333333338</v>
      </c>
      <c r="Q103" s="1" t="s">
        <v>65</v>
      </c>
      <c r="R103" s="5">
        <f>+GETPIVOTDATA("Undergrad Student Credit Hour  FTE - Old",'FTE Pivot for regular counts'!$A$2,"State","AL","Category","7","Category2","Two-Year")</f>
        <v>0</v>
      </c>
      <c r="S103" s="15">
        <f>+GETPIVOTDATA("Undergrad Student Credit Hour  FTE - Old",'FTE Pivot for regular counts'!$A$2,"State","AL","Category","8","Category2","Two-Year")</f>
        <v>24454.633333333335</v>
      </c>
      <c r="T103" s="5">
        <f>+GETPIVOTDATA("Undergrad Student Credit Hour  FTE - Old",'FTE Pivot for regular counts'!$A$2,"State","AL","Category","9","Category2","Two-Year")</f>
        <v>34235.100000000006</v>
      </c>
      <c r="U103" s="5">
        <f>+GETPIVOTDATA("Undergrad Student Credit Hour  FTE - Old",'FTE Pivot for regular counts'!$A$2,"State","AL","Category","10","Category2","Two-Year")</f>
        <v>8541.4333333333343</v>
      </c>
      <c r="V103" s="23">
        <f>+GETPIVOTDATA("Undergrad Student Credit Hour  FTE - Old",'FTE Pivot for regular counts'!$A$2,"State","AL","Category2","Two-Year")</f>
        <v>67231.166666666672</v>
      </c>
      <c r="W103" s="18">
        <f>+GETPIVOTDATA("Undergrad Student Credit Hour  FTE - Old",'FTE Pivot for regular counts'!$A$2,"State","AL","Category","12","Category2","Technical")</f>
        <v>1349.2666666666667</v>
      </c>
      <c r="X103" s="15">
        <f>+GETPIVOTDATA("Undergrad Student Credit Hour  FTE - Old",'FTE Pivot for regular counts'!$A$2,"State","AL","Category","13","Category2","Technical")</f>
        <v>2102.1333333333332</v>
      </c>
      <c r="Y103" s="1">
        <f>+GETPIVOTDATA("Undergrad Student Credit Hour  FTE - Old",'FTE Pivot for regular counts'!$A$2,"State","AL","Category2","Technical")</f>
        <v>3451.3999999999996</v>
      </c>
      <c r="Z103" s="25"/>
    </row>
    <row r="104" spans="1:26" ht="15" customHeight="1">
      <c r="A104" s="4" t="s">
        <v>66</v>
      </c>
      <c r="B104" s="15">
        <f>+GETPIVOTDATA("Undergrad Student Credit Hour FTE - New",'FTE Pivot for regular counts'!$A$2,"State","AR","Category","7","Category2","Two-Year")</f>
        <v>0</v>
      </c>
      <c r="C104" s="15">
        <f>+GETPIVOTDATA("Undergrad Student Credit Hour FTE - New",'FTE Pivot for regular counts'!$A$2,"State","AR","Category","8","Category2","Two-Year")</f>
        <v>13442.133333333333</v>
      </c>
      <c r="D104" s="15">
        <f>+GETPIVOTDATA("Undergrad Student Credit Hour FTE - New",'FTE Pivot for regular counts'!$A$2,"State","AR","Category","9","Category2","Two-Year")</f>
        <v>5431.4</v>
      </c>
      <c r="E104" s="15">
        <f>+GETPIVOTDATA("Undergrad Student Credit Hour FTE - New",'FTE Pivot for regular counts'!$A$2,"State","AR","Category","10","Category2","Two-Year")</f>
        <v>21940.73333333333</v>
      </c>
      <c r="F104" s="23">
        <f>+GETPIVOTDATA("Undergrad Student Credit Hour FTE - New",'FTE Pivot for regular counts'!$A$2,"State","AR","Category2","Two-Year")</f>
        <v>40814.266666666663</v>
      </c>
      <c r="G104" s="18">
        <f>+GETPIVOTDATA("Undergrad Student Credit Hour FTE - New",'FTE Pivot for regular counts'!$A$2,"State","AR","Category","12","Category2","Technical")</f>
        <v>0</v>
      </c>
      <c r="H104" s="103">
        <f>+GETPIVOTDATA("Undergrad Student Credit Hour FTE - New",'FTE Pivot for regular counts'!$A$2,"State","AR","Category","13","Category2","Technical")</f>
        <v>0</v>
      </c>
      <c r="I104" s="73">
        <f>+GETPIVOTDATA("Undergrad Student Credit Hour FTE - New",'FTE Pivot for regular counts'!$A$2,"State","AR","Category2","Technical")</f>
        <v>0</v>
      </c>
      <c r="K104" s="73"/>
      <c r="L104" s="73"/>
      <c r="Q104" s="4" t="s">
        <v>66</v>
      </c>
      <c r="R104" s="15">
        <f>+GETPIVOTDATA("Undergrad Student Credit Hour  FTE - Old",'FTE Pivot for regular counts'!$A$2,"State","AR","Category","7","Category2","Two-Year")</f>
        <v>0</v>
      </c>
      <c r="S104" s="15">
        <f>+GETPIVOTDATA("Undergrad Student Credit Hour  FTE - Old",'FTE Pivot for regular counts'!$A$2,"State","AR","Category","8","Category2","Two-Year")</f>
        <v>14203.233333333334</v>
      </c>
      <c r="T104" s="15">
        <f>+GETPIVOTDATA("Undergrad Student Credit Hour  FTE - Old",'FTE Pivot for regular counts'!$A$2,"State","AR","Category","9","Category2","Two-Year")</f>
        <v>5943.9</v>
      </c>
      <c r="U104" s="15">
        <f>+GETPIVOTDATA("Undergrad Student Credit Hour  FTE - Old",'FTE Pivot for regular counts'!$A$2,"State","AR","Category","10","Category2","Two-Year")</f>
        <v>22052.833333333336</v>
      </c>
      <c r="V104" s="23">
        <f>+GETPIVOTDATA("Undergrad Student Credit Hour  FTE - Old",'FTE Pivot for regular counts'!$A$2,"State","AR","Category2","Two-Year")</f>
        <v>42199.966666666667</v>
      </c>
      <c r="W104" s="18">
        <f>+GETPIVOTDATA("Undergrad Student Credit Hour  FTE - Old",'FTE Pivot for regular counts'!$A$2,"State","AR","Category","12","Category2","Technical")</f>
        <v>0</v>
      </c>
      <c r="X104" s="15">
        <f>+GETPIVOTDATA("Undergrad Student Credit Hour  FTE - Old",'FTE Pivot for regular counts'!$A$2,"State","AR","Category","13","Category2","Technical")</f>
        <v>0</v>
      </c>
      <c r="Y104" s="25">
        <f>+GETPIVOTDATA("Undergrad Student Credit Hour  FTE - Old",'FTE Pivot for regular counts'!$A$2,"State","AR","Category2","Technical")</f>
        <v>0</v>
      </c>
      <c r="Z104" s="25"/>
    </row>
    <row r="105" spans="1:26" ht="15" customHeight="1">
      <c r="A105" s="1" t="s">
        <v>102</v>
      </c>
      <c r="B105" s="15">
        <f>+GETPIVOTDATA("Undergrad Student Credit Hour FTE - New",'FTE Pivot for regular counts'!$A$2,"State","DE","Category","7","Category2","Two-Year")</f>
        <v>0</v>
      </c>
      <c r="C105" s="15">
        <f>+GETPIVOTDATA("Undergrad Student Credit Hour FTE - New",'FTE Pivot for regular counts'!$A$2,"State","DE","Category","8","Category2","Two-Year")</f>
        <v>4970.666666666667</v>
      </c>
      <c r="D105" s="15">
        <f>+GETPIVOTDATA("Undergrad Student Credit Hour FTE - New",'FTE Pivot for regular counts'!$A$2,"State","DE","Category","9","Category2","Two-Year")</f>
        <v>5424.5666666666675</v>
      </c>
      <c r="E105" s="15">
        <f>+GETPIVOTDATA("Undergrad Student Credit Hour FTE - New",'FTE Pivot for regular counts'!$A$2,"State","DE","Category","10","Category2","Two-Year")</f>
        <v>0</v>
      </c>
      <c r="F105" s="23">
        <f>+GETPIVOTDATA("Undergrad Student Credit Hour FTE - New",'FTE Pivot for regular counts'!$A$2,"State","DE","Category2","Two-Year")</f>
        <v>10395.233333333334</v>
      </c>
      <c r="G105" s="18">
        <f>+GETPIVOTDATA("Undergrad Student Credit Hour FTE - New",'FTE Pivot for regular counts'!$A$2,"State","DE","Category","12","Category2","Technical")</f>
        <v>0</v>
      </c>
      <c r="H105" s="103">
        <f>+GETPIVOTDATA("Undergrad Student Credit Hour FTE - New",'FTE Pivot for regular counts'!$A$2,"State","DE","Category","13","Category2","Technical")</f>
        <v>0</v>
      </c>
      <c r="I105" s="73">
        <f>+GETPIVOTDATA("Undergrad Student Credit Hour FTE - New",'FTE Pivot for regular counts'!$A$2,"State","DE","Category2","Technical")</f>
        <v>0</v>
      </c>
      <c r="K105" s="73"/>
      <c r="L105" s="73"/>
      <c r="Q105" s="1" t="s">
        <v>102</v>
      </c>
      <c r="R105" s="15">
        <f>+GETPIVOTDATA("Undergrad Student Credit Hour  FTE - Old",'FTE Pivot for regular counts'!$A$2,"State","DE","Category","7","Category2","Two-Year")</f>
        <v>0</v>
      </c>
      <c r="S105" s="15">
        <f>+GETPIVOTDATA("Undergrad Student Credit Hour  FTE - Old",'FTE Pivot for regular counts'!$A$2,"State","DE","Category","8","Category2","Two-Year")</f>
        <v>5113.5333333333338</v>
      </c>
      <c r="T105" s="15">
        <f>+GETPIVOTDATA("Undergrad Student Credit Hour  FTE - Old",'FTE Pivot for regular counts'!$A$2,"State","DE","Category","9","Category2","Two-Year")</f>
        <v>5661.4333333333334</v>
      </c>
      <c r="U105" s="15">
        <f>+GETPIVOTDATA("Undergrad Student Credit Hour  FTE - Old",'FTE Pivot for regular counts'!$A$2,"State","DE","Category","10","Category2","Two-Year")</f>
        <v>0</v>
      </c>
      <c r="V105" s="23">
        <f>+GETPIVOTDATA("Undergrad Student Credit Hour  FTE - Old",'FTE Pivot for regular counts'!$A$2,"State","DE","Category2","Two-Year")</f>
        <v>10774.966666666667</v>
      </c>
      <c r="W105" s="18">
        <f>+GETPIVOTDATA("Undergrad Student Credit Hour  FTE - Old",'FTE Pivot for regular counts'!$A$2,"State","DE","Category","12","Category2","Technical")</f>
        <v>0</v>
      </c>
      <c r="X105" s="15">
        <f>+GETPIVOTDATA("Undergrad Student Credit Hour  FTE - Old",'FTE Pivot for regular counts'!$A$2,"State","DE","Category","13","Category2","Technical")</f>
        <v>0</v>
      </c>
      <c r="Y105" s="25">
        <f>+GETPIVOTDATA("Undergrad Student Credit Hour  FTE - Old",'FTE Pivot for regular counts'!$A$2,"State","DE","Category2","Technical")</f>
        <v>0</v>
      </c>
      <c r="Z105" s="25"/>
    </row>
    <row r="106" spans="1:26" ht="15" customHeight="1">
      <c r="A106" s="1" t="s">
        <v>67</v>
      </c>
      <c r="B106" s="15">
        <f>+GETPIVOTDATA("Undergrad Student Credit Hour FTE - New",'FTE Pivot for regular counts'!$A$2,"State","FL","Category","7","Category2","Two-Year")</f>
        <v>198767.80000000002</v>
      </c>
      <c r="C106" s="15">
        <f>+GETPIVOTDATA("Undergrad Student Credit Hour FTE - New",'FTE Pivot for regular counts'!$A$2,"State","FL","Category","8","Category2","Two-Year")</f>
        <v>113583.4</v>
      </c>
      <c r="D106" s="15">
        <f>+GETPIVOTDATA("Undergrad Student Credit Hour FTE - New",'FTE Pivot for regular counts'!$A$2,"State","FL","Category","9","Category2","Two-Year")</f>
        <v>10407.233333333334</v>
      </c>
      <c r="E106" s="15">
        <f>+GETPIVOTDATA("Undergrad Student Credit Hour FTE - New",'FTE Pivot for regular counts'!$A$2,"State","FL","Category","10","Category2","Two-Year")</f>
        <v>1515.8333333333333</v>
      </c>
      <c r="F106" s="23">
        <f>+GETPIVOTDATA("Undergrad Student Credit Hour FTE - New",'FTE Pivot for regular counts'!$A$2,"State","FL","Category2","Two-Year")</f>
        <v>324274.26666666666</v>
      </c>
      <c r="G106" s="18">
        <f>+GETPIVOTDATA("Undergrad Student Credit Hour FTE - New",'FTE Pivot for regular counts'!$A$2,"State","FL","Category","12","Category2","Technical")</f>
        <v>0</v>
      </c>
      <c r="H106" s="103">
        <f>+GETPIVOTDATA("Undergrad Student Credit Hour FTE - New",'FTE Pivot for regular counts'!$A$2,"State","FL","Category","13","Category2","Technical")</f>
        <v>0</v>
      </c>
      <c r="I106" s="73">
        <f>+GETPIVOTDATA("Undergrad Student Credit Hour FTE - New",'FTE Pivot for regular counts'!$A$2,"State","FL","Category2","Technical")</f>
        <v>0</v>
      </c>
      <c r="K106" s="73"/>
      <c r="L106" s="73"/>
      <c r="Q106" s="1" t="s">
        <v>67</v>
      </c>
      <c r="R106" s="15">
        <f>GETPIVOTDATA("Undergrad Student Credit Hour  FTE - Old",'FTE Pivot for regular counts'!$A$2,"State","FL","Category","7","Category2","Two-Year")</f>
        <v>205398.06666666665</v>
      </c>
      <c r="S106" s="15">
        <f>GETPIVOTDATA("Undergrad Student Credit Hour  FTE - Old",'FTE Pivot for regular counts'!$A$2,"State","FL","Category","8","Category2","Two-Year")</f>
        <v>119157.9</v>
      </c>
      <c r="T106" s="15">
        <f>GETPIVOTDATA("Undergrad Student Credit Hour  FTE - Old",'FTE Pivot for regular counts'!$A$2,"State","FL","Category","9","Category2","Two-Year")</f>
        <v>11001</v>
      </c>
      <c r="U106" s="15">
        <f>GETPIVOTDATA("Undergrad Student Credit Hour  FTE - Old",'FTE Pivot for regular counts'!$A$2,"State","FL","Category","10","Category2","Two-Year")</f>
        <v>1642.3333333333335</v>
      </c>
      <c r="V106" s="23">
        <f>GETPIVOTDATA("Undergrad Student Credit Hour  FTE - Old",'FTE Pivot for regular counts'!$A$2,"State","FL","Category2","Two-Year")</f>
        <v>337199.3</v>
      </c>
      <c r="W106" s="18">
        <f>GETPIVOTDATA("Undergrad Student Credit Hour  FTE - Old",'FTE Pivot for regular counts'!$A$2,"State","FL","Category","12","Category2","Technical")</f>
        <v>0</v>
      </c>
      <c r="X106" s="15">
        <f>GETPIVOTDATA("Undergrad Student Credit Hour  FTE - Old",'FTE Pivot for regular counts'!$A$2,"State","FL","Category","13","Category2","Technical")</f>
        <v>0</v>
      </c>
      <c r="Y106" s="25">
        <f>GETPIVOTDATA("Undergrad Student Credit Hour  FTE - Old",'FTE Pivot for regular counts'!$A$2,"State","FL","Category2","Technical")</f>
        <v>0</v>
      </c>
      <c r="Z106" s="25"/>
    </row>
    <row r="107" spans="1:26" ht="15" customHeight="1">
      <c r="B107" s="15"/>
      <c r="C107" s="15"/>
      <c r="D107" s="15"/>
      <c r="E107" s="15"/>
      <c r="F107" s="23"/>
      <c r="G107" s="18"/>
      <c r="H107" s="103"/>
      <c r="I107" s="73"/>
      <c r="K107" s="73"/>
      <c r="L107" s="73"/>
      <c r="R107" s="15"/>
      <c r="S107" s="15"/>
      <c r="T107" s="15"/>
      <c r="U107" s="15"/>
      <c r="V107" s="23"/>
      <c r="W107" s="18"/>
      <c r="X107" s="15"/>
      <c r="Y107" s="25"/>
      <c r="Z107" s="25"/>
    </row>
    <row r="108" spans="1:26" ht="15" customHeight="1">
      <c r="A108" s="1" t="s">
        <v>68</v>
      </c>
      <c r="B108" s="15">
        <f>+GETPIVOTDATA("Undergrad Student Credit Hour FTE - New",'FTE Pivot for regular counts'!$A$2,"State","GA","Category","7","Category2","Two-Year")</f>
        <v>8326.9666666666672</v>
      </c>
      <c r="C108" s="15">
        <f>+GETPIVOTDATA("Undergrad Student Credit Hour FTE - New",'FTE Pivot for regular counts'!$A$2,"State","GA","Category","8","Category2","Two-Year")</f>
        <v>15720.066666666668</v>
      </c>
      <c r="D108" s="15">
        <f>+GETPIVOTDATA("Undergrad Student Credit Hour FTE - New",'FTE Pivot for regular counts'!$A$2,"State","GA","Category","9","Category2","Two-Year")</f>
        <v>18111.633333333335</v>
      </c>
      <c r="E108" s="15">
        <f>+GETPIVOTDATA("Undergrad Student Credit Hour FTE - New",'FTE Pivot for regular counts'!$A$2,"State","GA","Category","10","Category2","Two-Year")</f>
        <v>0</v>
      </c>
      <c r="F108" s="23">
        <f>+GETPIVOTDATA("Undergrad Student Credit Hour FTE - New",'FTE Pivot for regular counts'!$A$2,"State","GA","Category2","Two-Year")</f>
        <v>42158.666666666672</v>
      </c>
      <c r="G108" s="18">
        <f>+GETPIVOTDATA("Undergrad Student Credit Hour FTE - New",'FTE Pivot for regular counts'!$A$2,"State","GA","Category","12","Category2","Technical")</f>
        <v>76720.666666666672</v>
      </c>
      <c r="H108" s="103">
        <f>+GETPIVOTDATA("Undergrad Student Credit Hour FTE - New",'FTE Pivot for regular counts'!$A$2,"State","GA","Category","13","Category2","Technical")</f>
        <v>0</v>
      </c>
      <c r="I108" s="73">
        <f>+GETPIVOTDATA("Undergrad Student Credit Hour FTE - New",'FTE Pivot for regular counts'!$A$2,"State","GA","Category2","Technical")</f>
        <v>76720.666666666672</v>
      </c>
      <c r="K108" s="73"/>
      <c r="L108" s="73"/>
      <c r="Q108" s="1" t="s">
        <v>68</v>
      </c>
      <c r="R108" s="15">
        <f>+GETPIVOTDATA("Undergrad Student Credit Hour  FTE - Old",'FTE Pivot for regular counts'!$A$2,"State","GA","Category","7","Category2","Two-Year")</f>
        <v>8559.2000000000007</v>
      </c>
      <c r="S108" s="15">
        <f>+GETPIVOTDATA("Undergrad Student Credit Hour  FTE - Old",'FTE Pivot for regular counts'!$A$2,"State","GA","Category","8","Category2","Two-Year")</f>
        <v>18381.833333333332</v>
      </c>
      <c r="T108" s="15">
        <f>+GETPIVOTDATA("Undergrad Student Credit Hour  FTE - Old",'FTE Pivot for regular counts'!$A$2,"State","GA","Category","9","Category2","Two-Year")</f>
        <v>19535.983333333334</v>
      </c>
      <c r="U108" s="15">
        <f>+GETPIVOTDATA("Undergrad Student Credit Hour  FTE - Old",'FTE Pivot for regular counts'!$A$2,"State","GA","Category","10","Category2","Two-Year")</f>
        <v>0</v>
      </c>
      <c r="V108" s="23">
        <f>+GETPIVOTDATA("Undergrad Student Credit Hour  FTE - Old",'FTE Pivot for regular counts'!$A$2,"State","GA","Category2","Two-Year")</f>
        <v>46477.016666666663</v>
      </c>
      <c r="W108" s="18">
        <f>+GETPIVOTDATA("Undergrad Student Credit Hour  FTE - Old",'FTE Pivot for regular counts'!$A$2,"State","GA","Category","12","Category2","Technical")</f>
        <v>77975.723333333342</v>
      </c>
      <c r="X108" s="15">
        <f>+GETPIVOTDATA("Undergrad Student Credit Hour  FTE - Old",'FTE Pivot for regular counts'!$A$2,"State","GA","Category","13","Category2","Technical")</f>
        <v>0</v>
      </c>
      <c r="Y108" s="25">
        <f>+GETPIVOTDATA("Undergrad Student Credit Hour  FTE - Old",'FTE Pivot for regular counts'!$A$2,"State","GA","Category2","Technical")</f>
        <v>77975.723333333342</v>
      </c>
      <c r="Z108" s="25"/>
    </row>
    <row r="109" spans="1:26" ht="15" customHeight="1">
      <c r="A109" s="1" t="s">
        <v>69</v>
      </c>
      <c r="B109" s="15">
        <f>+GETPIVOTDATA("Undergrad Student Credit Hour FTE - New",'FTE Pivot for regular counts'!$A$2,"State","KY","Category","7","Category2","Two-Year")</f>
        <v>0</v>
      </c>
      <c r="C109" s="15">
        <f>+GETPIVOTDATA("Undergrad Student Credit Hour FTE - New",'FTE Pivot for regular counts'!$A$2,"State","KY","Category","8","Category2","Two-Year")</f>
        <v>15588.466666666667</v>
      </c>
      <c r="D109" s="15">
        <f>+GETPIVOTDATA("Undergrad Student Credit Hour FTE - New",'FTE Pivot for regular counts'!$A$2,"State","KY","Category","9","Category2","Two-Year")</f>
        <v>31886.366666666665</v>
      </c>
      <c r="E109" s="15">
        <f>+GETPIVOTDATA("Undergrad Student Credit Hour FTE - New",'FTE Pivot for regular counts'!$A$2,"State","KY","Category","10","Category2","Two-Year")</f>
        <v>1303.7666666666667</v>
      </c>
      <c r="F109" s="23">
        <f>+GETPIVOTDATA("Undergrad Student Credit Hour FTE - New",'FTE Pivot for regular counts'!$A$2,"State","KY","Category2","Two-Year")</f>
        <v>48778.6</v>
      </c>
      <c r="G109" s="18">
        <f>+GETPIVOTDATA("Undergrad Student Credit Hour FTE - New",'FTE Pivot for regular counts'!$A$2,"State","KY","Category","12","Category2","Technical")</f>
        <v>5377.2</v>
      </c>
      <c r="H109" s="103">
        <f>+GETPIVOTDATA("Undergrad Student Credit Hour FTE - New",'FTE Pivot for regular counts'!$A$2,"State","KY","Category","13","Category2","Technical")</f>
        <v>0</v>
      </c>
      <c r="I109" s="73">
        <f>+GETPIVOTDATA("Undergrad Student Credit Hour FTE - New",'FTE Pivot for regular counts'!$A$2,"State","KY","Category2","Technical")</f>
        <v>5377.2</v>
      </c>
      <c r="K109" s="73"/>
      <c r="L109" s="73"/>
      <c r="Q109" s="1" t="s">
        <v>69</v>
      </c>
      <c r="R109" s="15">
        <f>+GETPIVOTDATA("Undergrad Student Credit Hour  FTE - Old",'FTE Pivot for regular counts'!$A$2,"State","KY","Category","7","Category2","Two-Year")</f>
        <v>0</v>
      </c>
      <c r="S109" s="15">
        <f>+GETPIVOTDATA("Undergrad Student Credit Hour  FTE - Old",'FTE Pivot for regular counts'!$A$2,"State","KY","Category","8","Category2","Two-Year")</f>
        <v>17112</v>
      </c>
      <c r="T109" s="15">
        <f>+GETPIVOTDATA("Undergrad Student Credit Hour  FTE - Old",'FTE Pivot for regular counts'!$A$2,"State","KY","Category","9","Category2","Two-Year")</f>
        <v>32833.599999999999</v>
      </c>
      <c r="U109" s="15">
        <f>+GETPIVOTDATA("Undergrad Student Credit Hour  FTE - Old",'FTE Pivot for regular counts'!$A$2,"State","KY","Category","10","Category2","Two-Year")</f>
        <v>1273.7666666666667</v>
      </c>
      <c r="V109" s="23">
        <f>+GETPIVOTDATA("Undergrad Student Credit Hour  FTE - Old",'FTE Pivot for regular counts'!$A$2,"State","KY","Category2","Two-Year")</f>
        <v>51219.366666666669</v>
      </c>
      <c r="W109" s="18">
        <f>+GETPIVOTDATA("Undergrad Student Credit Hour  FTE - Old",'FTE Pivot for regular counts'!$A$2,"State","KY","Category","12","Category2","Technical")</f>
        <v>5047.0666666666666</v>
      </c>
      <c r="X109" s="15">
        <f>+GETPIVOTDATA("Undergrad Student Credit Hour  FTE - Old",'FTE Pivot for regular counts'!$A$2,"State","KY","Category","13","Category2","Technical")</f>
        <v>0</v>
      </c>
      <c r="Y109" s="25">
        <f>+GETPIVOTDATA("Undergrad Student Credit Hour  FTE - Old",'FTE Pivot for regular counts'!$A$2,"State","KY","Category2","Technical")</f>
        <v>5047.0666666666666</v>
      </c>
      <c r="Z109" s="25"/>
    </row>
    <row r="110" spans="1:26" ht="15" customHeight="1">
      <c r="A110" s="1" t="s">
        <v>70</v>
      </c>
      <c r="B110" s="15">
        <f>+GETPIVOTDATA("Undergrad Student Credit Hour FTE - New",'FTE Pivot for regular counts'!$A$2,"State","LA","Category","7","Category2","Two-Year")</f>
        <v>0</v>
      </c>
      <c r="C110" s="15">
        <f>+GETPIVOTDATA("Undergrad Student Credit Hour FTE - New",'FTE Pivot for regular counts'!$A$2,"State","LA","Category","8","Category2","Two-Year")</f>
        <v>25187.666666666664</v>
      </c>
      <c r="D110" s="15">
        <f>+GETPIVOTDATA("Undergrad Student Credit Hour FTE - New",'FTE Pivot for regular counts'!$A$2,"State","LA","Category","9","Category2","Two-Year")</f>
        <v>11762.866666666667</v>
      </c>
      <c r="E110" s="15">
        <f>+GETPIVOTDATA("Undergrad Student Credit Hour FTE - New",'FTE Pivot for regular counts'!$A$2,"State","LA","Category","10","Category2","Two-Year")</f>
        <v>3108.2333333333331</v>
      </c>
      <c r="F110" s="23">
        <f>+GETPIVOTDATA("Undergrad Student Credit Hour FTE - New",'FTE Pivot for regular counts'!$A$2,"State","LA","Category2","Two-Year")</f>
        <v>40058.766666666663</v>
      </c>
      <c r="G110" s="18">
        <f>+GETPIVOTDATA("Undergrad Student Credit Hour FTE - New",'FTE Pivot for regular counts'!$A$2,"State","LA","Category","12","Category2","Technical")</f>
        <v>10321.833333333334</v>
      </c>
      <c r="H110" s="103">
        <f>+GETPIVOTDATA("Undergrad Student Credit Hour FTE - New",'FTE Pivot for regular counts'!$A$2,"State","LA","Category","13","Category2","Technical")</f>
        <v>0</v>
      </c>
      <c r="I110" s="73">
        <f>+GETPIVOTDATA("Undergrad Student Credit Hour FTE - New",'FTE Pivot for regular counts'!$A$2,"State","LA","Category2","Technical")</f>
        <v>10321.833333333334</v>
      </c>
      <c r="K110" s="73"/>
      <c r="L110" s="73"/>
      <c r="Q110" s="1" t="s">
        <v>70</v>
      </c>
      <c r="R110" s="15">
        <f>+GETPIVOTDATA("Undergrad Student Credit Hour  FTE - Old",'FTE Pivot for regular counts'!$A$2,"State","LA","Category","7","Category2","Two-Year")</f>
        <v>0</v>
      </c>
      <c r="S110" s="15">
        <f>+GETPIVOTDATA("Undergrad Student Credit Hour  FTE - Old",'FTE Pivot for regular counts'!$A$2,"State","LA","Category","8","Category2","Two-Year")</f>
        <v>25183.533333333333</v>
      </c>
      <c r="T110" s="15">
        <f>+GETPIVOTDATA("Undergrad Student Credit Hour  FTE - Old",'FTE Pivot for regular counts'!$A$2,"State","LA","Category","9","Category2","Two-Year")</f>
        <v>12686.916666666666</v>
      </c>
      <c r="U110" s="15">
        <f>+GETPIVOTDATA("Undergrad Student Credit Hour  FTE - Old",'FTE Pivot for regular counts'!$A$2,"State","LA","Category","10","Category2","Two-Year")</f>
        <v>3201.7</v>
      </c>
      <c r="V110" s="23">
        <f>+GETPIVOTDATA("Undergrad Student Credit Hour  FTE - Old",'FTE Pivot for regular counts'!$A$2,"State","LA","Category2","Two-Year")</f>
        <v>41072.149999999994</v>
      </c>
      <c r="W110" s="18">
        <f>+GETPIVOTDATA("Undergrad Student Credit Hour  FTE - Old",'FTE Pivot for regular counts'!$A$2,"State","LA","Category","12","Category2","Technical")</f>
        <v>13718.133333333333</v>
      </c>
      <c r="X110" s="15">
        <f>+GETPIVOTDATA("Undergrad Student Credit Hour  FTE - Old",'FTE Pivot for regular counts'!$A$2,"State","LA","Category","13","Category2","Technical")</f>
        <v>0</v>
      </c>
      <c r="Y110" s="25">
        <f>+GETPIVOTDATA("Undergrad Student Credit Hour  FTE - Old",'FTE Pivot for regular counts'!$A$2,"State","LA","Category2","Technical")</f>
        <v>13718.133333333333</v>
      </c>
      <c r="Z110" s="25"/>
    </row>
    <row r="111" spans="1:26" ht="15" customHeight="1">
      <c r="A111" s="1" t="s">
        <v>71</v>
      </c>
      <c r="B111" s="15">
        <f>+GETPIVOTDATA("Undergrad Student Credit Hour FTE - New",'FTE Pivot for regular counts'!$A$2,"State","MD","Category","7","Category2","Two-Year")</f>
        <v>0</v>
      </c>
      <c r="C111" s="15">
        <f>+GETPIVOTDATA("Undergrad Student Credit Hour FTE - New",'FTE Pivot for regular counts'!$A$2,"State","MD","Category","8","Category2","Two-Year")</f>
        <v>67256.116666666669</v>
      </c>
      <c r="D111" s="15">
        <f>+GETPIVOTDATA("Undergrad Student Credit Hour FTE - New",'FTE Pivot for regular counts'!$A$2,"State","MD","Category","9","Category2","Two-Year")</f>
        <v>22083.983333333334</v>
      </c>
      <c r="E111" s="15">
        <f>+GETPIVOTDATA("Undergrad Student Credit Hour FTE - New",'FTE Pivot for regular counts'!$A$2,"State","MD","Category","10","Category2","Two-Year")</f>
        <v>3801.0166666666664</v>
      </c>
      <c r="F111" s="23">
        <f>+GETPIVOTDATA("Undergrad Student Credit Hour FTE - New",'FTE Pivot for regular counts'!$A$2,"State","MD","Category2","Two-Year")</f>
        <v>93141.116666666669</v>
      </c>
      <c r="G111" s="18">
        <f>+GETPIVOTDATA("Undergrad Student Credit Hour FTE - New",'FTE Pivot for regular counts'!$A$2,"State","MD","Category","12","Category2","Technical")</f>
        <v>0</v>
      </c>
      <c r="H111" s="103">
        <f>+GETPIVOTDATA("Undergrad Student Credit Hour FTE - New",'FTE Pivot for regular counts'!$A$2,"State","MD","Category","13","Category2","Technical")</f>
        <v>0</v>
      </c>
      <c r="I111" s="73">
        <f>+GETPIVOTDATA("Undergrad Student Credit Hour FTE - New",'FTE Pivot for regular counts'!$A$2,"State","MD","Category2","Technical")</f>
        <v>0</v>
      </c>
      <c r="K111" s="73"/>
      <c r="L111" s="73"/>
      <c r="Q111" s="1" t="s">
        <v>71</v>
      </c>
      <c r="R111" s="15">
        <f>+GETPIVOTDATA("Undergrad Student Credit Hour  FTE - Old",'FTE Pivot for regular counts'!$A$2,"State","MD","Category","7","Category2","Two-Year")</f>
        <v>0</v>
      </c>
      <c r="S111" s="15">
        <f>+GETPIVOTDATA("Undergrad Student Credit Hour  FTE - Old",'FTE Pivot for regular counts'!$A$2,"State","MD","Category","8","Category2","Two-Year")</f>
        <v>77461.149999999994</v>
      </c>
      <c r="T111" s="15">
        <f>+GETPIVOTDATA("Undergrad Student Credit Hour  FTE - Old",'FTE Pivot for regular counts'!$A$2,"State","MD","Category","9","Category2","Two-Year")</f>
        <v>22938.799999999999</v>
      </c>
      <c r="U111" s="15">
        <f>+GETPIVOTDATA("Undergrad Student Credit Hour  FTE - Old",'FTE Pivot for regular counts'!$A$2,"State","MD","Category","10","Category2","Two-Year")</f>
        <v>4085.5666666666666</v>
      </c>
      <c r="V111" s="23">
        <f>+GETPIVOTDATA("Undergrad Student Credit Hour  FTE - Old",'FTE Pivot for regular counts'!$A$2,"State","MD","Category2","Two-Year")</f>
        <v>104485.51666666666</v>
      </c>
      <c r="W111" s="18">
        <f>+GETPIVOTDATA("Undergrad Student Credit Hour  FTE - Old",'FTE Pivot for regular counts'!$A$2,"State","MD","Category","12","Category2","Technical")</f>
        <v>0</v>
      </c>
      <c r="X111" s="15">
        <f>+GETPIVOTDATA("Undergrad Student Credit Hour  FTE - Old",'FTE Pivot for regular counts'!$A$2,"State","MD","Category","13","Category2","Technical")</f>
        <v>0</v>
      </c>
      <c r="Y111" s="25">
        <f>+GETPIVOTDATA("Undergrad Student Credit Hour  FTE - Old",'FTE Pivot for regular counts'!$A$2,"State","MD","Category2","Technical")</f>
        <v>0</v>
      </c>
      <c r="Z111" s="25"/>
    </row>
    <row r="112" spans="1:26" ht="15" customHeight="1">
      <c r="B112" s="15"/>
      <c r="C112" s="15"/>
      <c r="D112" s="15"/>
      <c r="E112" s="15"/>
      <c r="F112" s="23"/>
      <c r="G112" s="18"/>
      <c r="H112" s="103"/>
      <c r="I112" s="73"/>
      <c r="K112" s="73"/>
      <c r="L112" s="73"/>
      <c r="R112" s="15"/>
      <c r="S112" s="15"/>
      <c r="T112" s="15"/>
      <c r="U112" s="15"/>
      <c r="V112" s="23"/>
      <c r="W112" s="18"/>
      <c r="X112" s="15"/>
      <c r="Y112" s="25"/>
      <c r="Z112" s="25"/>
    </row>
    <row r="113" spans="1:26" ht="15" customHeight="1">
      <c r="A113" s="1" t="s">
        <v>72</v>
      </c>
      <c r="B113" s="15">
        <f>+GETPIVOTDATA("Undergrad Student Credit Hour FTE - New",'FTE Pivot for regular counts'!$A$2,"State","MS","Category","7","Category2","Two-Year")</f>
        <v>0</v>
      </c>
      <c r="C113" s="15">
        <f>+GETPIVOTDATA("Undergrad Student Credit Hour FTE - New",'FTE Pivot for regular counts'!$A$2,"State","MS","Category","8","Category2","Two-Year")</f>
        <v>29283.366666666669</v>
      </c>
      <c r="D113" s="15">
        <f>+GETPIVOTDATA("Undergrad Student Credit Hour FTE - New",'FTE Pivot for regular counts'!$A$2,"State","MS","Category","9","Category2","Two-Year")</f>
        <v>30095.266666666666</v>
      </c>
      <c r="E113" s="15">
        <f>+GETPIVOTDATA("Undergrad Student Credit Hour FTE - New",'FTE Pivot for regular counts'!$A$2,"State","MS","Category","10","Category2","Two-Year")</f>
        <v>3255.9666666666667</v>
      </c>
      <c r="F113" s="23">
        <f>+GETPIVOTDATA("Undergrad Student Credit Hour FTE - New",'FTE Pivot for regular counts'!$A$2,"State","MS","Category2","Two-Year")</f>
        <v>62634.6</v>
      </c>
      <c r="G113" s="18">
        <f>+GETPIVOTDATA("Undergrad Student Credit Hour FTE - New",'FTE Pivot for regular counts'!$A$2,"State","MS","Category","12","Category2","Technical")</f>
        <v>0</v>
      </c>
      <c r="H113" s="103">
        <f>+GETPIVOTDATA("Undergrad Student Credit Hour FTE - New",'FTE Pivot for regular counts'!$A$2,"State","MS","Category","13","Category2","Technical")</f>
        <v>0</v>
      </c>
      <c r="I113" s="73">
        <f>+GETPIVOTDATA("Undergrad Student Credit Hour FTE - New",'FTE Pivot for regular counts'!$A$2,"State","MS","Category2","Technical")</f>
        <v>0</v>
      </c>
      <c r="K113" s="73"/>
      <c r="L113" s="73"/>
      <c r="Q113" s="1" t="s">
        <v>72</v>
      </c>
      <c r="R113" s="15">
        <f>+GETPIVOTDATA("Undergrad Student Credit Hour  FTE - Old",'FTE Pivot for regular counts'!$A$2,"State","MS","Category","7","Category2","Two-Year")</f>
        <v>0</v>
      </c>
      <c r="S113" s="15">
        <f>+GETPIVOTDATA("Undergrad Student Credit Hour  FTE - Old",'FTE Pivot for regular counts'!$A$2,"State","MS","Category","8","Category2","Two-Year")</f>
        <v>30718.933333333334</v>
      </c>
      <c r="T113" s="15">
        <f>+GETPIVOTDATA("Undergrad Student Credit Hour  FTE - Old",'FTE Pivot for regular counts'!$A$2,"State","MS","Category","9","Category2","Two-Year")</f>
        <v>31317.4</v>
      </c>
      <c r="U113" s="15">
        <f>+GETPIVOTDATA("Undergrad Student Credit Hour  FTE - Old",'FTE Pivot for regular counts'!$A$2,"State","MS","Category","10","Category2","Two-Year")</f>
        <v>3813.9333333333334</v>
      </c>
      <c r="V113" s="23">
        <f>+GETPIVOTDATA("Undergrad Student Credit Hour  FTE - Old",'FTE Pivot for regular counts'!$A$2,"State","MS","Category2","Two-Year")</f>
        <v>65850.266666666663</v>
      </c>
      <c r="W113" s="18">
        <f>+GETPIVOTDATA("Undergrad Student Credit Hour  FTE - Old",'FTE Pivot for regular counts'!$A$2,"State","MS","Category","12","Category2","Technical")</f>
        <v>0</v>
      </c>
      <c r="X113" s="15">
        <f>+GETPIVOTDATA("Undergrad Student Credit Hour  FTE - Old",'FTE Pivot for regular counts'!$A$2,"State","MS","Category","13","Category2","Technical")</f>
        <v>0</v>
      </c>
      <c r="Y113" s="25">
        <f>+GETPIVOTDATA("Undergrad Student Credit Hour  FTE - Old",'FTE Pivot for regular counts'!$A$2,"State","MS","Category2","Technical")</f>
        <v>0</v>
      </c>
      <c r="Z113" s="25"/>
    </row>
    <row r="114" spans="1:26" ht="15" customHeight="1">
      <c r="A114" s="1" t="s">
        <v>73</v>
      </c>
      <c r="B114" s="15">
        <f>+GETPIVOTDATA("Undergrad Student Credit Hour FTE - New",'FTE Pivot for regular counts'!$A$2,"State","NC","Category","7","Category2","Two-Year")</f>
        <v>0</v>
      </c>
      <c r="C114" s="15">
        <f>+GETPIVOTDATA("Undergrad Student Credit Hour FTE - New",'FTE Pivot for regular counts'!$A$2,"State","NC","Category","8","Category2","Two-Year")</f>
        <v>78035.566666666651</v>
      </c>
      <c r="D114" s="15">
        <f>+GETPIVOTDATA("Undergrad Student Credit Hour FTE - New",'FTE Pivot for regular counts'!$A$2,"State","NC","Category","9","Category2","Two-Year")</f>
        <v>62451.599999999991</v>
      </c>
      <c r="E114" s="15">
        <f>+GETPIVOTDATA("Undergrad Student Credit Hour FTE - New",'FTE Pivot for regular counts'!$A$2,"State","NC","Category","10","Category2","Two-Year")</f>
        <v>25478.399999999998</v>
      </c>
      <c r="F114" s="23">
        <f>+GETPIVOTDATA("Undergrad Student Credit Hour FTE - New",'FTE Pivot for regular counts'!$A$2,"State","NC","Category2","Two-Year")</f>
        <v>165965.56666666662</v>
      </c>
      <c r="G114" s="18">
        <f>+GETPIVOTDATA("Undergrad Student Credit Hour FTE - New",'FTE Pivot for regular counts'!$A$2,"State","NC","Category","12","Category2","Technical")</f>
        <v>0</v>
      </c>
      <c r="H114" s="103">
        <f>+GETPIVOTDATA("Undergrad Student Credit Hour FTE - New",'FTE Pivot for regular counts'!$A$2,"State","NC","Category","13","Category2","Technical")</f>
        <v>0</v>
      </c>
      <c r="I114" s="73">
        <f>+GETPIVOTDATA("Undergrad Student Credit Hour FTE - New",'FTE Pivot for regular counts'!$A$2,"State","NC","Category2","Technical")</f>
        <v>0</v>
      </c>
      <c r="K114" s="73"/>
      <c r="L114" s="73"/>
      <c r="Q114" s="1" t="s">
        <v>73</v>
      </c>
      <c r="R114" s="15">
        <f>+GETPIVOTDATA("Undergrad Student Credit Hour  FTE - Old",'FTE Pivot for regular counts'!$A$2,"State","NC","Category","7","Category2","Two-Year")</f>
        <v>0</v>
      </c>
      <c r="S114" s="15">
        <f>+GETPIVOTDATA("Undergrad Student Credit Hour  FTE - Old",'FTE Pivot for regular counts'!$A$2,"State","NC","Category","8","Category2","Two-Year")</f>
        <v>77490.566666666666</v>
      </c>
      <c r="T114" s="15">
        <f>+GETPIVOTDATA("Undergrad Student Credit Hour  FTE - Old",'FTE Pivot for regular counts'!$A$2,"State","NC","Category","9","Category2","Two-Year")</f>
        <v>64981.600000000006</v>
      </c>
      <c r="U114" s="15">
        <f>+GETPIVOTDATA("Undergrad Student Credit Hour  FTE - Old",'FTE Pivot for regular counts'!$A$2,"State","NC","Category","10","Category2","Two-Year")</f>
        <v>26829.033333333333</v>
      </c>
      <c r="V114" s="23">
        <f>+GETPIVOTDATA("Undergrad Student Credit Hour  FTE - Old",'FTE Pivot for regular counts'!$A$2,"State","NC","Category2","Two-Year")</f>
        <v>169301.2</v>
      </c>
      <c r="W114" s="18">
        <f>+GETPIVOTDATA("Undergrad Student Credit Hour  FTE - Old",'FTE Pivot for regular counts'!$A$2,"State","NC","Category","12","Category2","Technical")</f>
        <v>0</v>
      </c>
      <c r="X114" s="15">
        <f>+GETPIVOTDATA("Undergrad Student Credit Hour  FTE - Old",'FTE Pivot for regular counts'!$A$2,"State","NC","Category","13","Category2","Technical")</f>
        <v>0</v>
      </c>
      <c r="Y114" s="25">
        <f>+GETPIVOTDATA("Undergrad Student Credit Hour  FTE - Old",'FTE Pivot for regular counts'!$A$2,"State","NC","Category2","Technical")</f>
        <v>0</v>
      </c>
      <c r="Z114" s="25"/>
    </row>
    <row r="115" spans="1:26" ht="15" customHeight="1">
      <c r="A115" s="1" t="s">
        <v>74</v>
      </c>
      <c r="B115" s="15">
        <f>+GETPIVOTDATA("Undergrad Student Credit Hour FTE - New",'FTE Pivot for regular counts'!$A$2,"State","OK","Category","7","Category2","Two-Year")</f>
        <v>8309.2000000000007</v>
      </c>
      <c r="C115" s="15">
        <f>+GETPIVOTDATA("Undergrad Student Credit Hour FTE - New",'FTE Pivot for regular counts'!$A$2,"State","OK","Category","8","Category2","Two-Year")</f>
        <v>25175.566666666666</v>
      </c>
      <c r="D115" s="15">
        <f>+GETPIVOTDATA("Undergrad Student Credit Hour FTE - New",'FTE Pivot for regular counts'!$A$2,"State","OK","Category","9","Category2","Two-Year")</f>
        <v>5287.7</v>
      </c>
      <c r="E115" s="15">
        <f>+GETPIVOTDATA("Undergrad Student Credit Hour FTE - New",'FTE Pivot for regular counts'!$A$2,"State","OK","Category","10","Category2","Two-Year")</f>
        <v>10790.266666666665</v>
      </c>
      <c r="F115" s="23">
        <f>+GETPIVOTDATA("Undergrad Student Credit Hour FTE - New",'FTE Pivot for regular counts'!$A$2,"State","OK","Category2","Two-Year")</f>
        <v>49562.733333333323</v>
      </c>
      <c r="G115" s="18">
        <f>+GETPIVOTDATA("Undergrad Student Credit Hour FTE - New",'FTE Pivot for regular counts'!$A$2,"State","OK","Category","12","Category2","Technical")</f>
        <v>0</v>
      </c>
      <c r="H115" s="103">
        <f>+GETPIVOTDATA("Undergrad Student Credit Hour FTE - New",'FTE Pivot for regular counts'!$A$2,"State","OK","Category","13","Category2","Technical")</f>
        <v>0</v>
      </c>
      <c r="I115" s="73">
        <f>+GETPIVOTDATA("Undergrad Student Credit Hour FTE - New",'FTE Pivot for regular counts'!$A$2,"State","OK","Category2","Technical")</f>
        <v>0</v>
      </c>
      <c r="K115" s="73"/>
      <c r="L115" s="73"/>
      <c r="Q115" s="1" t="s">
        <v>74</v>
      </c>
      <c r="R115" s="15">
        <f>+GETPIVOTDATA("Undergrad Student Credit Hour  FTE - Old",'FTE Pivot for regular counts'!$A$2,"State","OK","Category","7","Category2","Two-Year")</f>
        <v>8803.1333333333332</v>
      </c>
      <c r="S115" s="15">
        <f>+GETPIVOTDATA("Undergrad Student Credit Hour  FTE - Old",'FTE Pivot for regular counts'!$A$2,"State","OK","Category","8","Category2","Two-Year")</f>
        <v>26973.266666666663</v>
      </c>
      <c r="T115" s="15">
        <f>+GETPIVOTDATA("Undergrad Student Credit Hour  FTE - Old",'FTE Pivot for regular counts'!$A$2,"State","OK","Category","9","Category2","Two-Year")</f>
        <v>5663.7333333333336</v>
      </c>
      <c r="U115" s="15">
        <f>+GETPIVOTDATA("Undergrad Student Credit Hour  FTE - Old",'FTE Pivot for regular counts'!$A$2,"State","OK","Category","10","Category2","Two-Year")</f>
        <v>12528.933333333331</v>
      </c>
      <c r="V115" s="23">
        <f>+GETPIVOTDATA("Undergrad Student Credit Hour  FTE - Old",'FTE Pivot for regular counts'!$A$2,"State","OK","Category2","Two-Year")</f>
        <v>53969.066666666666</v>
      </c>
      <c r="W115" s="18">
        <f>+GETPIVOTDATA("Undergrad Student Credit Hour  FTE - Old",'FTE Pivot for regular counts'!$A$2,"State","OK","Category","12","Category2","Technical")</f>
        <v>0</v>
      </c>
      <c r="X115" s="15">
        <f>+GETPIVOTDATA("Undergrad Student Credit Hour  FTE - Old",'FTE Pivot for regular counts'!$A$2,"State","OK","Category","13","Category2","Technical")</f>
        <v>0</v>
      </c>
      <c r="Y115" s="25">
        <f>+GETPIVOTDATA("Undergrad Student Credit Hour  FTE - Old",'FTE Pivot for regular counts'!$A$2,"State","OK","Category2","Technical")</f>
        <v>0</v>
      </c>
      <c r="Z115" s="25"/>
    </row>
    <row r="116" spans="1:26" ht="15" customHeight="1">
      <c r="A116" s="1" t="s">
        <v>75</v>
      </c>
      <c r="B116" s="15">
        <f>+GETPIVOTDATA("Undergrad Student Credit Hour FTE - New",'FTE Pivot for regular counts'!$A$2,"State","SC","Category","7","Category2","Two-Year")</f>
        <v>0</v>
      </c>
      <c r="C116" s="15">
        <f>+GETPIVOTDATA("Undergrad Student Credit Hour FTE - New",'FTE Pivot for regular counts'!$A$2,"State","SC","Category","8","Category2","Two-Year")</f>
        <v>54844.26666666667</v>
      </c>
      <c r="D116" s="15">
        <f>+GETPIVOTDATA("Undergrad Student Credit Hour FTE - New",'FTE Pivot for regular counts'!$A$2,"State","SC","Category","9","Category2","Two-Year")</f>
        <v>15909.833333333334</v>
      </c>
      <c r="E116" s="15">
        <f>+GETPIVOTDATA("Undergrad Student Credit Hour FTE - New",'FTE Pivot for regular counts'!$A$2,"State","SC","Category","10","Category2","Two-Year")</f>
        <v>8241.6666666666679</v>
      </c>
      <c r="F116" s="23">
        <f>+GETPIVOTDATA("Undergrad Student Credit Hour FTE - New",'FTE Pivot for regular counts'!$A$2,"State","SC","Category2","Two-Year")</f>
        <v>78995.766666666677</v>
      </c>
      <c r="G116" s="18">
        <f>+GETPIVOTDATA("Undergrad Student Credit Hour FTE - New",'FTE Pivot for regular counts'!$A$2,"State","SC","Category","12","Category2","Technical")</f>
        <v>0</v>
      </c>
      <c r="H116" s="103">
        <f>+GETPIVOTDATA("Undergrad Student Credit Hour FTE - New",'FTE Pivot for regular counts'!$A$2,"State","SC","Category","13","Category2","Technical")</f>
        <v>0</v>
      </c>
      <c r="I116" s="73">
        <f>+GETPIVOTDATA("Undergrad Student Credit Hour FTE - New",'FTE Pivot for regular counts'!$A$2,"State","SC","Category2","Technical")</f>
        <v>0</v>
      </c>
      <c r="K116" s="73"/>
      <c r="L116" s="73"/>
      <c r="Q116" s="1" t="s">
        <v>75</v>
      </c>
      <c r="R116" s="15">
        <f>+GETPIVOTDATA("Undergrad Student Credit Hour  FTE - Old",'FTE Pivot for regular counts'!$A$2,"State","SC","Category","7","Category2","Two-Year")</f>
        <v>0</v>
      </c>
      <c r="S116" s="15">
        <f>+GETPIVOTDATA("Undergrad Student Credit Hour  FTE - Old",'FTE Pivot for regular counts'!$A$2,"State","SC","Category","8","Category2","Two-Year")</f>
        <v>57001.922666666665</v>
      </c>
      <c r="T116" s="15">
        <f>+GETPIVOTDATA("Undergrad Student Credit Hour  FTE - Old",'FTE Pivot for regular counts'!$A$2,"State","SC","Category","9","Category2","Two-Year")</f>
        <v>16852.201000000001</v>
      </c>
      <c r="U116" s="15">
        <f>+GETPIVOTDATA("Undergrad Student Credit Hour  FTE - Old",'FTE Pivot for regular counts'!$A$2,"State","SC","Category","10","Category2","Two-Year")</f>
        <v>8725.2860000000001</v>
      </c>
      <c r="V116" s="23">
        <f>+GETPIVOTDATA("Undergrad Student Credit Hour  FTE - Old",'FTE Pivot for regular counts'!$A$2,"State","SC","Category2","Two-Year")</f>
        <v>82579.409666666674</v>
      </c>
      <c r="W116" s="18">
        <f>+GETPIVOTDATA("Undergrad Student Credit Hour  FTE - Old",'FTE Pivot for regular counts'!$A$2,"State","SC","Category","12","Category2","Technical")</f>
        <v>0</v>
      </c>
      <c r="X116" s="15">
        <f>+GETPIVOTDATA("Undergrad Student Credit Hour  FTE - Old",'FTE Pivot for regular counts'!$A$2,"State","SC","Category","13","Category2","Technical")</f>
        <v>0</v>
      </c>
      <c r="Y116" s="25">
        <f>+GETPIVOTDATA("Undergrad Student Credit Hour  FTE - Old",'FTE Pivot for regular counts'!$A$2,"State","SC","Category2","Technical")</f>
        <v>0</v>
      </c>
      <c r="Z116" s="25"/>
    </row>
    <row r="117" spans="1:26" ht="15" customHeight="1">
      <c r="B117" s="15"/>
      <c r="C117" s="15"/>
      <c r="D117" s="15"/>
      <c r="E117" s="15"/>
      <c r="F117" s="23"/>
      <c r="G117" s="18"/>
      <c r="H117" s="103"/>
      <c r="I117" s="73"/>
      <c r="K117" s="73"/>
      <c r="L117" s="73"/>
      <c r="R117" s="15"/>
      <c r="S117" s="15"/>
      <c r="T117" s="15"/>
      <c r="U117" s="15"/>
      <c r="V117" s="23"/>
      <c r="W117" s="18"/>
      <c r="X117" s="15"/>
      <c r="Y117" s="25"/>
      <c r="Z117" s="25"/>
    </row>
    <row r="118" spans="1:26" ht="15" customHeight="1">
      <c r="A118" s="1" t="s">
        <v>76</v>
      </c>
      <c r="B118" s="15">
        <f>+GETPIVOTDATA("Undergrad Student Credit Hour FTE - New",'FTE Pivot for regular counts'!$A$2,"State","TN","Category","7","Category2","Two-Year")</f>
        <v>0</v>
      </c>
      <c r="C118" s="15">
        <f>+GETPIVOTDATA("Undergrad Student Credit Hour FTE - New",'FTE Pivot for regular counts'!$A$2,"State","TN","Category","8","Category2","Two-Year")</f>
        <v>33433.866666666669</v>
      </c>
      <c r="D118" s="15">
        <f>+GETPIVOTDATA("Undergrad Student Credit Hour FTE - New",'FTE Pivot for regular counts'!$A$2,"State","TN","Category","9","Category2","Two-Year")</f>
        <v>26602</v>
      </c>
      <c r="E118" s="15">
        <f>+GETPIVOTDATA("Undergrad Student Credit Hour FTE - New",'FTE Pivot for regular counts'!$A$2,"State","TN","Category","10","Category2","Two-Year")</f>
        <v>0</v>
      </c>
      <c r="F118" s="23">
        <f>+GETPIVOTDATA("Undergrad Student Credit Hour FTE - New",'FTE Pivot for regular counts'!$A$2,"State","TN","Category2","Two-Year")</f>
        <v>60035.866666666669</v>
      </c>
      <c r="G118" s="18">
        <f>+GETPIVOTDATA("Undergrad Student Credit Hour FTE - New",'FTE Pivot for regular counts'!$A$2,"State","TN","Category","12","Category2","Technical")</f>
        <v>0</v>
      </c>
      <c r="H118" s="103">
        <f>+GETPIVOTDATA("Undergrad Student Credit Hour FTE - New",'FTE Pivot for regular counts'!$A$2,"State","TN","Category","13","Category2","Technical")</f>
        <v>0</v>
      </c>
      <c r="I118" s="73">
        <f>+GETPIVOTDATA("Undergrad Student Credit Hour FTE - New",'FTE Pivot for regular counts'!$A$2,"State","TN","Category2","Technical")</f>
        <v>0</v>
      </c>
      <c r="K118" s="73"/>
      <c r="L118" s="73"/>
      <c r="Q118" s="1" t="s">
        <v>76</v>
      </c>
      <c r="R118" s="15">
        <f>+GETPIVOTDATA("Undergrad Student Credit Hour  FTE - Old",'FTE Pivot for regular counts'!$A$2,"State","TN","Category","7","Category2","Two-Year")</f>
        <v>0</v>
      </c>
      <c r="S118" s="15">
        <f>+GETPIVOTDATA("Undergrad Student Credit Hour  FTE - Old",'FTE Pivot for regular counts'!$A$2,"State","TN","Category","8","Category2","Two-Year")</f>
        <v>34985.633333333331</v>
      </c>
      <c r="T118" s="15">
        <f>+GETPIVOTDATA("Undergrad Student Credit Hour  FTE - Old",'FTE Pivot for regular counts'!$A$2,"State","TN","Category","9","Category2","Two-Year")</f>
        <v>28006.433333333327</v>
      </c>
      <c r="U118" s="15">
        <f>+GETPIVOTDATA("Undergrad Student Credit Hour  FTE - Old",'FTE Pivot for regular counts'!$A$2,"State","TN","Category","10","Category2","Two-Year")</f>
        <v>0</v>
      </c>
      <c r="V118" s="23">
        <f>+GETPIVOTDATA("Undergrad Student Credit Hour  FTE - Old",'FTE Pivot for regular counts'!$A$2,"State","TN","Category2","Two-Year")</f>
        <v>62992.066666666658</v>
      </c>
      <c r="W118" s="18">
        <f>+GETPIVOTDATA("Undergrad Student Credit Hour  FTE - Old",'FTE Pivot for regular counts'!$A$2,"State","TN","Category","12","Category2","Technical")</f>
        <v>0</v>
      </c>
      <c r="X118" s="15">
        <f>+GETPIVOTDATA("Undergrad Student Credit Hour  FTE - Old",'FTE Pivot for regular counts'!$A$2,"State","TN","Category","13","Category2","Technical")</f>
        <v>0</v>
      </c>
      <c r="Y118" s="25">
        <f>+GETPIVOTDATA("Undergrad Student Credit Hour  FTE - Old",'FTE Pivot for regular counts'!$A$2,"State","TN","Category2","Technical")</f>
        <v>0</v>
      </c>
      <c r="Z118" s="25"/>
    </row>
    <row r="119" spans="1:26" ht="15" customHeight="1">
      <c r="A119" s="1" t="s">
        <v>77</v>
      </c>
      <c r="B119" s="15">
        <f>+GETPIVOTDATA("Undergrad Student Credit Hour FTE - New",'FTE Pivot for regular counts'!$A$2,"State","TX","Category","7","Category2","Two-Year")</f>
        <v>25198.400000000001</v>
      </c>
      <c r="C119" s="15">
        <f>+GETPIVOTDATA("Undergrad Student Credit Hour FTE - New",'FTE Pivot for regular counts'!$A$2,"State","TX","Category","8","Category2","Two-Year")</f>
        <v>355578.03333333338</v>
      </c>
      <c r="D119" s="15">
        <f>+GETPIVOTDATA("Undergrad Student Credit Hour FTE - New",'FTE Pivot for regular counts'!$A$2,"State","TX","Category","9","Category2","Two-Year")</f>
        <v>76130.3</v>
      </c>
      <c r="E119" s="15">
        <f>+GETPIVOTDATA("Undergrad Student Credit Hour FTE - New",'FTE Pivot for regular counts'!$A$2,"State","TX","Category","10","Category2","Two-Year")</f>
        <v>11712.300000000001</v>
      </c>
      <c r="F119" s="23">
        <f>+GETPIVOTDATA("Undergrad Student Credit Hour FTE - New",'FTE Pivot for regular counts'!$A$2,"State","TX","Category2","Two-Year")</f>
        <v>468619.03333333338</v>
      </c>
      <c r="G119" s="18">
        <f>+GETPIVOTDATA("Undergrad Student Credit Hour FTE - New",'FTE Pivot for regular counts'!$A$2,"State","TX","Category","12","Category2","Technical")</f>
        <v>0</v>
      </c>
      <c r="H119" s="103">
        <f>+GETPIVOTDATA("Undergrad Student Credit Hour FTE - New",'FTE Pivot for regular counts'!$A$2,"State","TX","Category","13","Category2","Technical")</f>
        <v>0</v>
      </c>
      <c r="I119" s="73">
        <f>+GETPIVOTDATA("Undergrad Student Credit Hour FTE - New",'FTE Pivot for regular counts'!$A$2,"State","TX","Category2","Technical")</f>
        <v>0</v>
      </c>
      <c r="K119" s="73"/>
      <c r="L119" s="73"/>
      <c r="Q119" s="1" t="s">
        <v>77</v>
      </c>
      <c r="R119" s="15">
        <f>+GETPIVOTDATA("Undergrad Student Credit Hour  FTE - Old",'FTE Pivot for regular counts'!$A$2,"State","TX","Category","7","Category2","Two-Year")</f>
        <v>24786.933333333334</v>
      </c>
      <c r="S119" s="15">
        <f>+GETPIVOTDATA("Undergrad Student Credit Hour  FTE - Old",'FTE Pivot for regular counts'!$A$2,"State","TX","Category","8","Category2","Two-Year")</f>
        <v>365243.16666666663</v>
      </c>
      <c r="T119" s="15">
        <f>+GETPIVOTDATA("Undergrad Student Credit Hour  FTE - Old",'FTE Pivot for regular counts'!$A$2,"State","TX","Category","9","Category2","Two-Year")</f>
        <v>77561.766666666677</v>
      </c>
      <c r="U119" s="15">
        <f>+GETPIVOTDATA("Undergrad Student Credit Hour  FTE - Old",'FTE Pivot for regular counts'!$A$2,"State","TX","Category","10","Category2","Two-Year")</f>
        <v>11588.999999999998</v>
      </c>
      <c r="V119" s="23">
        <f>+GETPIVOTDATA("Undergrad Student Credit Hour  FTE - Old",'FTE Pivot for regular counts'!$A$2,"State","TX","Category2","Two-Year")</f>
        <v>479180.86666666664</v>
      </c>
      <c r="W119" s="18">
        <f>+GETPIVOTDATA("Undergrad Student Credit Hour  FTE - Old",'FTE Pivot for regular counts'!$A$2,"State","TX","Category","12","Category2","Technical")</f>
        <v>0</v>
      </c>
      <c r="X119" s="15">
        <f>+GETPIVOTDATA("Undergrad Student Credit Hour  FTE - Old",'FTE Pivot for regular counts'!$A$2,"State","TX","Category","13","Category2","Technical")</f>
        <v>0</v>
      </c>
      <c r="Y119" s="25">
        <f>+GETPIVOTDATA("Undergrad Student Credit Hour  FTE - Old",'FTE Pivot for regular counts'!$A$2,"State","TX","Category2","Technical")</f>
        <v>0</v>
      </c>
      <c r="Z119" s="25"/>
    </row>
    <row r="120" spans="1:26" ht="15" customHeight="1">
      <c r="A120" s="1" t="s">
        <v>78</v>
      </c>
      <c r="B120" s="15">
        <f>+GETPIVOTDATA("Undergrad Student Credit Hour FTE - New",'FTE Pivot for regular counts'!$A$2,"State","VA","Category","7","Category2","Two-Year")</f>
        <v>0</v>
      </c>
      <c r="C120" s="15">
        <f>+GETPIVOTDATA("Undergrad Student Credit Hour FTE - New",'FTE Pivot for regular counts'!$A$2,"State","VA","Category","8","Category2","Two-Year")</f>
        <v>77373.599999999991</v>
      </c>
      <c r="D120" s="15">
        <f>+GETPIVOTDATA("Undergrad Student Credit Hour FTE - New",'FTE Pivot for regular counts'!$A$2,"State","VA","Category","9","Category2","Two-Year")</f>
        <v>39417.46666666666</v>
      </c>
      <c r="E120" s="15">
        <f>+GETPIVOTDATA("Undergrad Student Credit Hour FTE - New",'FTE Pivot for regular counts'!$A$2,"State","VA","Category","10","Category2","Two-Year")</f>
        <v>6896.7</v>
      </c>
      <c r="F120" s="23">
        <f>+GETPIVOTDATA("Undergrad Student Credit Hour FTE - New",'FTE Pivot for regular counts'!$A$2,"State","VA","Category2","Two-Year")</f>
        <v>123687.76666666665</v>
      </c>
      <c r="G120" s="18">
        <f>+GETPIVOTDATA("Undergrad Student Credit Hour FTE - New",'FTE Pivot for regular counts'!$A$2,"State","VA","Category","12","Category2","Technical")</f>
        <v>0</v>
      </c>
      <c r="H120" s="103">
        <f>+GETPIVOTDATA("Undergrad Student Credit Hour FTE - New",'FTE Pivot for regular counts'!$A$2,"State","VA","Category","13","Category2","Technical")</f>
        <v>0</v>
      </c>
      <c r="I120" s="73">
        <f>+GETPIVOTDATA("Undergrad Student Credit Hour FTE - New",'FTE Pivot for regular counts'!$A$2,"State","VA","Category2","Technical")</f>
        <v>0</v>
      </c>
      <c r="K120" s="73"/>
      <c r="L120" s="73"/>
      <c r="Q120" s="1" t="s">
        <v>78</v>
      </c>
      <c r="R120" s="15">
        <f>+GETPIVOTDATA("Undergrad Student Credit Hour  FTE - Old",'FTE Pivot for regular counts'!$A$2,"State","VA","Category","7","Category2","Two-Year")</f>
        <v>0</v>
      </c>
      <c r="S120" s="15">
        <f>+GETPIVOTDATA("Undergrad Student Credit Hour  FTE - Old",'FTE Pivot for regular counts'!$A$2,"State","VA","Category","8","Category2","Two-Year")</f>
        <v>80171.3</v>
      </c>
      <c r="T120" s="15">
        <f>+GETPIVOTDATA("Undergrad Student Credit Hour  FTE - Old",'FTE Pivot for regular counts'!$A$2,"State","VA","Category","9","Category2","Two-Year")</f>
        <v>41313.200000000004</v>
      </c>
      <c r="U120" s="15">
        <f>+GETPIVOTDATA("Undergrad Student Credit Hour  FTE - Old",'FTE Pivot for regular counts'!$A$2,"State","VA","Category","10","Category2","Two-Year")</f>
        <v>7484.2</v>
      </c>
      <c r="V120" s="23">
        <f>+GETPIVOTDATA("Undergrad Student Credit Hour  FTE - Old",'FTE Pivot for regular counts'!$A$2,"State","VA","Category2","Two-Year")</f>
        <v>128968.7</v>
      </c>
      <c r="W120" s="18">
        <f>+GETPIVOTDATA("Undergrad Student Credit Hour  FTE - Old",'FTE Pivot for regular counts'!$A$2,"State","VA","Category","12","Category2","Technical")</f>
        <v>0</v>
      </c>
      <c r="X120" s="15">
        <f>+GETPIVOTDATA("Undergrad Student Credit Hour  FTE - Old",'FTE Pivot for regular counts'!$A$2,"State","VA","Category","13","Category2","Technical")</f>
        <v>0</v>
      </c>
      <c r="Y120" s="25">
        <f>+GETPIVOTDATA("Undergrad Student Credit Hour  FTE - Old",'FTE Pivot for regular counts'!$A$2,"State","VA","Category2","Technical")</f>
        <v>0</v>
      </c>
      <c r="Z120" s="25"/>
    </row>
    <row r="121" spans="1:26" ht="15" customHeight="1">
      <c r="A121" s="3" t="s">
        <v>79</v>
      </c>
      <c r="B121" s="6">
        <f>+GETPIVOTDATA("Undergrad Student Credit Hour FTE - New",'FTE Pivot for regular counts'!$A$2,"State","WV","Category","7","Category2","Two-Year")</f>
        <v>4173.7</v>
      </c>
      <c r="C121" s="6">
        <f>+GETPIVOTDATA("Undergrad Student Credit Hour FTE - New",'FTE Pivot for regular counts'!$A$2,"State","WV","Category","8","Category2","Two-Year")</f>
        <v>0</v>
      </c>
      <c r="D121" s="6">
        <f>+GETPIVOTDATA("Undergrad Student Credit Hour FTE - New",'FTE Pivot for regular counts'!$A$2,"State","WV","Category","9","Category2","Two-Year")</f>
        <v>5780.9633333333331</v>
      </c>
      <c r="E121" s="6">
        <f>+GETPIVOTDATA("Undergrad Student Credit Hour FTE - New",'FTE Pivot for regular counts'!$A$2,"State","WV","Category","10","Category2","Two-Year")</f>
        <v>7506.6833333333334</v>
      </c>
      <c r="F121" s="24">
        <f>+GETPIVOTDATA("Undergrad Student Credit Hour FTE - New",'FTE Pivot for regular counts'!$A$2,"State","WV","Category2","Two-Year")</f>
        <v>17461.346666666668</v>
      </c>
      <c r="G121" s="19">
        <f>+GETPIVOTDATA("Undergrad Student Credit Hour FTE - New",'FTE Pivot for regular counts'!$A$2,"State","WV","Category","12","Category2","Technical")</f>
        <v>0</v>
      </c>
      <c r="H121" s="116">
        <f>+GETPIVOTDATA("Undergrad Student Credit Hour FTE - New",'FTE Pivot for regular counts'!$A$2,"State","WV","Category","13","Category2","Technical")</f>
        <v>0</v>
      </c>
      <c r="I121" s="83">
        <f>+GETPIVOTDATA("Undergrad Student Credit Hour FTE - New",'FTE Pivot for regular counts'!$A$2,"State","WV","Category2","Technical")</f>
        <v>0</v>
      </c>
      <c r="K121" s="73"/>
      <c r="L121" s="73"/>
      <c r="Q121" s="3" t="s">
        <v>79</v>
      </c>
      <c r="R121" s="6">
        <f>+GETPIVOTDATA("Undergrad Student Credit Hour  FTE - Old",'FTE Pivot for regular counts'!$A$2,"State","WV","Category","7","Category2","Two-Year")</f>
        <v>4472.5</v>
      </c>
      <c r="S121" s="6">
        <f>+GETPIVOTDATA("Undergrad Student Credit Hour  FTE - Old",'FTE Pivot for regular counts'!$A$2,"State","WV","Category","8","Category2","Two-Year")</f>
        <v>0</v>
      </c>
      <c r="T121" s="6">
        <f>+GETPIVOTDATA("Undergrad Student Credit Hour  FTE - Old",'FTE Pivot for regular counts'!$A$2,"State","WV","Category","9","Category2","Two-Year")</f>
        <v>6313.5433333333331</v>
      </c>
      <c r="U121" s="6">
        <f>+GETPIVOTDATA("Undergrad Student Credit Hour  FTE - Old",'FTE Pivot for regular counts'!$A$2,"State","WV","Category","10","Category2","Two-Year")</f>
        <v>7580.0366666666669</v>
      </c>
      <c r="V121" s="24">
        <f>+GETPIVOTDATA("Undergrad Student Credit Hour  FTE - Old",'FTE Pivot for regular counts'!$A$2,"State","WV","Category2","Two-Year")</f>
        <v>18366.080000000002</v>
      </c>
      <c r="W121" s="19">
        <f>+GETPIVOTDATA("Undergrad Student Credit Hour  FTE - Old",'FTE Pivot for regular counts'!$A$2,"State","WV","Category","12","Category2","Technical")</f>
        <v>0</v>
      </c>
      <c r="X121" s="6">
        <f>+GETPIVOTDATA("Undergrad Student Credit Hour  FTE - Old",'FTE Pivot for regular counts'!$A$2,"State","WV","Category","13","Category2","Technical")</f>
        <v>0</v>
      </c>
      <c r="Y121" s="3">
        <f>+GETPIVOTDATA("Undergrad Student Credit Hour  FTE - Old",'FTE Pivot for regular counts'!$A$2,"State","WV","Category2","Technical")</f>
        <v>0</v>
      </c>
      <c r="Z121" s="25"/>
    </row>
    <row r="122" spans="1:26" ht="36.75" customHeight="1">
      <c r="A122" s="834" t="s">
        <v>966</v>
      </c>
      <c r="B122" s="834"/>
      <c r="C122" s="834"/>
      <c r="D122" s="834"/>
      <c r="E122" s="834"/>
      <c r="F122" s="834"/>
      <c r="G122" s="834"/>
      <c r="H122" s="834"/>
      <c r="I122" s="834"/>
      <c r="J122" s="333"/>
      <c r="K122" s="163"/>
      <c r="L122" s="163"/>
      <c r="M122" s="200"/>
    </row>
    <row r="123" spans="1:26" ht="10.5" customHeight="1">
      <c r="I123" s="833" t="s">
        <v>982</v>
      </c>
      <c r="J123" s="169"/>
      <c r="K123" s="169"/>
      <c r="L123" s="169"/>
      <c r="M123" s="201"/>
    </row>
    <row r="124" spans="1:26" ht="18">
      <c r="A124" s="838" t="s">
        <v>167</v>
      </c>
      <c r="B124" s="838"/>
      <c r="C124" s="838"/>
      <c r="D124" s="838"/>
      <c r="E124" s="838"/>
      <c r="F124" s="838"/>
      <c r="G124" s="838"/>
      <c r="H124" s="838"/>
      <c r="I124" s="838"/>
      <c r="J124" s="838"/>
      <c r="K124" s="164"/>
      <c r="L124" s="164"/>
      <c r="M124" s="178"/>
    </row>
    <row r="125" spans="1:26" ht="15.75">
      <c r="A125" s="77"/>
      <c r="B125" s="17"/>
      <c r="C125" s="43"/>
      <c r="D125" s="55"/>
      <c r="E125" s="17"/>
      <c r="F125" s="17"/>
      <c r="G125" s="17"/>
      <c r="H125" s="117"/>
      <c r="I125" s="17"/>
      <c r="J125" s="117"/>
      <c r="K125" s="117"/>
      <c r="L125" s="117"/>
      <c r="Q125" s="1" t="s">
        <v>38</v>
      </c>
    </row>
    <row r="126" spans="1:26" ht="15.75">
      <c r="A126" s="839" t="s">
        <v>35</v>
      </c>
      <c r="B126" s="839"/>
      <c r="C126" s="839"/>
      <c r="D126" s="839"/>
      <c r="E126" s="839"/>
      <c r="F126" s="839"/>
      <c r="G126" s="839"/>
      <c r="H126" s="839"/>
      <c r="I126" s="839"/>
      <c r="J126" s="839"/>
      <c r="K126" s="132"/>
      <c r="L126" s="132"/>
      <c r="Q126" s="196" t="s">
        <v>35</v>
      </c>
      <c r="R126" s="132"/>
      <c r="S126" s="132"/>
      <c r="T126" s="132"/>
      <c r="U126" s="132"/>
      <c r="V126" s="132"/>
      <c r="W126" s="132"/>
      <c r="X126" s="132"/>
      <c r="Y126" s="132"/>
      <c r="Z126" s="132"/>
    </row>
    <row r="127" spans="1:26" ht="15.75">
      <c r="A127" s="839" t="s">
        <v>969</v>
      </c>
      <c r="B127" s="839"/>
      <c r="C127" s="839"/>
      <c r="D127" s="839"/>
      <c r="E127" s="839"/>
      <c r="F127" s="839"/>
      <c r="G127" s="839"/>
      <c r="H127" s="839"/>
      <c r="I127" s="839"/>
      <c r="J127" s="839"/>
      <c r="K127" s="132"/>
      <c r="L127" s="132"/>
      <c r="Q127" s="196" t="s">
        <v>170</v>
      </c>
      <c r="R127" s="132"/>
      <c r="S127" s="132"/>
      <c r="T127" s="132"/>
      <c r="U127" s="132"/>
      <c r="V127" s="132"/>
      <c r="W127" s="132"/>
      <c r="X127" s="132"/>
      <c r="Y127" s="132"/>
      <c r="Z127" s="132"/>
    </row>
    <row r="128" spans="1:26">
      <c r="A128" s="22"/>
      <c r="B128" s="22"/>
      <c r="C128" s="22"/>
      <c r="D128" s="22"/>
      <c r="E128" s="22"/>
      <c r="F128" s="22"/>
      <c r="G128" s="22"/>
      <c r="H128" s="106"/>
      <c r="I128" s="22"/>
      <c r="J128" s="106"/>
      <c r="K128" s="106"/>
      <c r="L128" s="106"/>
      <c r="Q128" s="22"/>
      <c r="R128" s="22"/>
      <c r="S128" s="22"/>
      <c r="T128" s="22"/>
      <c r="U128" s="22"/>
      <c r="V128" s="22"/>
      <c r="W128" s="22"/>
      <c r="X128" s="22"/>
      <c r="Y128" s="22"/>
      <c r="Z128" s="22"/>
    </row>
    <row r="129" spans="1:25">
      <c r="A129" s="404"/>
      <c r="B129" s="405" t="s">
        <v>63</v>
      </c>
      <c r="C129" s="405"/>
      <c r="D129" s="354"/>
      <c r="E129" s="354"/>
      <c r="F129" s="354"/>
      <c r="G129" s="406" t="s">
        <v>45</v>
      </c>
      <c r="H129" s="108"/>
      <c r="I129" s="407"/>
      <c r="J129" s="170" t="s">
        <v>28</v>
      </c>
      <c r="K129" s="170"/>
      <c r="L129" s="73"/>
      <c r="M129" s="1"/>
      <c r="P129" s="61"/>
      <c r="Q129" s="56" t="s">
        <v>63</v>
      </c>
      <c r="R129" s="56"/>
      <c r="S129" s="27"/>
      <c r="T129" s="27"/>
      <c r="U129" s="27"/>
      <c r="V129" s="57" t="s">
        <v>45</v>
      </c>
      <c r="W129" s="29"/>
      <c r="X129" s="30"/>
      <c r="Y129" s="417" t="s">
        <v>28</v>
      </c>
    </row>
    <row r="130" spans="1:25" ht="24">
      <c r="A130" s="45"/>
      <c r="B130" s="58" t="s">
        <v>140</v>
      </c>
      <c r="C130" s="46">
        <v>1</v>
      </c>
      <c r="D130" s="46">
        <v>2</v>
      </c>
      <c r="E130" s="46">
        <v>3</v>
      </c>
      <c r="F130" s="46" t="s">
        <v>30</v>
      </c>
      <c r="G130" s="60">
        <v>1</v>
      </c>
      <c r="H130" s="94">
        <v>2</v>
      </c>
      <c r="I130" s="93" t="s">
        <v>30</v>
      </c>
      <c r="J130" s="123"/>
      <c r="K130" s="123"/>
      <c r="L130" s="73"/>
      <c r="M130" s="1"/>
      <c r="P130" s="45"/>
      <c r="Q130" s="58" t="s">
        <v>140</v>
      </c>
      <c r="R130" s="46">
        <v>1</v>
      </c>
      <c r="S130" s="46">
        <v>2</v>
      </c>
      <c r="T130" s="46">
        <v>3</v>
      </c>
      <c r="U130" s="46" t="s">
        <v>30</v>
      </c>
      <c r="V130" s="60">
        <v>1</v>
      </c>
      <c r="W130" s="47">
        <v>2</v>
      </c>
      <c r="X130" s="46" t="s">
        <v>30</v>
      </c>
      <c r="Y130" s="418"/>
    </row>
    <row r="131" spans="1:25" ht="15" customHeight="1">
      <c r="A131" s="1" t="s">
        <v>64</v>
      </c>
      <c r="B131" s="7">
        <f>+GETPIVOTDATA(" Undergrad Contact Hour FTE - New",'FTE Pivot for regular counts'!$A$2,"Category","7","Category2","Two-Year")</f>
        <v>14353.422222222222</v>
      </c>
      <c r="C131" s="7">
        <f>+GETPIVOTDATA(" Undergrad Contact Hour FTE - New",'FTE Pivot for regular counts'!$A$2,"Category","8","Category2","Two-Year")</f>
        <v>33547.943333333329</v>
      </c>
      <c r="D131" s="7">
        <f>+GETPIVOTDATA(" Undergrad Contact Hour FTE - New",'FTE Pivot for regular counts'!$A$2,"Category","9","Category2","Two-Year")</f>
        <v>22238.104444444445</v>
      </c>
      <c r="E131" s="7">
        <f>+GETPIVOTDATA(" Undergrad Contact Hour FTE - New",'FTE Pivot for regular counts'!$A$2,"Category","10","Category2","Two-Year")</f>
        <v>10176.625555555554</v>
      </c>
      <c r="F131" s="8">
        <f>+GETPIVOTDATA(" Undergrad Contact Hour FTE - New",'FTE Pivot for regular counts'!$A$2,"Category2","Two-Year")</f>
        <v>80316.095555555556</v>
      </c>
      <c r="G131" s="7">
        <f>+GETPIVOTDATA(" Undergrad Contact Hour FTE - New",'FTE Pivot for regular counts'!$A$2,"Category","12","Category2","Technical")</f>
        <v>5058.6422666666658</v>
      </c>
      <c r="H131" s="118">
        <f>+GETPIVOTDATA(" Undergrad Contact Hour FTE - New",'FTE Pivot for regular counts'!$A$2,"Category","13","Category2","Technical")</f>
        <v>26292.14082222222</v>
      </c>
      <c r="I131" s="118">
        <f>+GETPIVOTDATA(" Undergrad Contact Hour FTE - New",'FTE Pivot for regular counts'!$A$2,"Category2","Technical")</f>
        <v>31350.783088888886</v>
      </c>
      <c r="J131" s="118"/>
      <c r="K131" s="118"/>
      <c r="L131" s="73"/>
      <c r="M131" s="1"/>
      <c r="P131" s="1" t="s">
        <v>64</v>
      </c>
      <c r="Q131" s="7">
        <f>+GETPIVOTDATA(" Undergrad Contact Hour FTE - Old",'FTE Pivot for regular counts'!$A$2,"Category","7","Category2","Two-Year")</f>
        <v>14085.411111111112</v>
      </c>
      <c r="R131" s="7">
        <f>+GETPIVOTDATA(" Undergrad Contact Hour FTE - Old",'FTE Pivot for regular counts'!$A$2,"Category","8","Category2","Two-Year")</f>
        <v>33938.606666666659</v>
      </c>
      <c r="S131" s="7">
        <f>+GETPIVOTDATA(" Undergrad Contact Hour FTE - Old",'FTE Pivot for regular counts'!$A$2,"Category","9","Category2","Two-Year")</f>
        <v>22837.375555555562</v>
      </c>
      <c r="T131" s="7">
        <f>+GETPIVOTDATA(" Undergrad Contact Hour FTE - Old",'FTE Pivot for regular counts'!$A$2,"Category","10","Category2","Two-Year")</f>
        <v>10384.823333333334</v>
      </c>
      <c r="U131" s="8">
        <f>+GETPIVOTDATA(" Undergrad Contact Hour FTE - Old",'FTE Pivot for regular counts'!$A$2,"Category2","Two-Year")</f>
        <v>81246.216666666674</v>
      </c>
      <c r="V131" s="7">
        <f>+GETPIVOTDATA(" Undergrad Contact Hour FTE - Old",'FTE Pivot for regular counts'!$A$2,"Category","12","Category2","Technical")</f>
        <v>5224.6822222222218</v>
      </c>
      <c r="W131" s="7">
        <f>+GETPIVOTDATA(" Undergrad Contact Hour FTE - Old",'FTE Pivot for regular counts'!$A$2,"Category","13","Category2","Technical")</f>
        <v>26223.767777777772</v>
      </c>
      <c r="X131" s="7">
        <f>+GETPIVOTDATA(" Undergrad Contact Hour FTE - Old",'FTE Pivot for regular counts'!$A$2,"Category2","Technical")</f>
        <v>31448.449999999997</v>
      </c>
      <c r="Y131" s="32"/>
    </row>
    <row r="132" spans="1:25" ht="15" customHeight="1">
      <c r="B132" s="7"/>
      <c r="C132" s="32"/>
      <c r="D132" s="32"/>
      <c r="G132" s="31"/>
      <c r="I132" s="4"/>
      <c r="L132" s="73"/>
      <c r="M132" s="1"/>
      <c r="Q132" s="7"/>
      <c r="R132" s="32"/>
      <c r="S132" s="32"/>
      <c r="V132" s="31"/>
      <c r="Y132" s="25"/>
    </row>
    <row r="133" spans="1:25" ht="15" customHeight="1">
      <c r="A133" s="1" t="s">
        <v>65</v>
      </c>
      <c r="B133" s="7">
        <f>+GETPIVOTDATA(" Undergrad Contact Hour FTE - New",'FTE Pivot for regular counts'!$A$2,"State","AL","Category","7","Category2","Two-Year")</f>
        <v>0</v>
      </c>
      <c r="C133" s="7">
        <f>+GETPIVOTDATA(" Undergrad Contact Hour FTE - New",'FTE Pivot for regular counts'!$A$2,"State","AL","Category","8","Category2","Two-Year")</f>
        <v>0</v>
      </c>
      <c r="D133" s="7">
        <f>+GETPIVOTDATA(" Undergrad Contact Hour FTE - New",'FTE Pivot for regular counts'!$A$2,"State","AL","Category","9","Category2","Two-Year")</f>
        <v>0</v>
      </c>
      <c r="E133" s="7">
        <f>+GETPIVOTDATA(" Undergrad Contact Hour FTE - New",'FTE Pivot for regular counts'!$A$2,"State","AL","Category","10","Category2","Two-Year")</f>
        <v>0</v>
      </c>
      <c r="F133" s="8">
        <f>+GETPIVOTDATA(" Undergrad Contact Hour FTE - New",'FTE Pivot for regular counts'!$A$2,"State","AL","Category2","Two-Year")</f>
        <v>0</v>
      </c>
      <c r="G133" s="7">
        <f>+GETPIVOTDATA(" Undergrad Contact Hour FTE - New",'FTE Pivot for regular counts'!$A$2,"State","AL","Category","12","Category2","Technical")</f>
        <v>0</v>
      </c>
      <c r="H133" s="118">
        <f>+GETPIVOTDATA(" Undergrad Contact Hour FTE - New",'FTE Pivot for regular counts'!$A$2,"State","AL","Category","13","Category2","Technical")</f>
        <v>0</v>
      </c>
      <c r="I133" s="118">
        <f>+GETPIVOTDATA(" Undergrad Contact Hour FTE - New",'FTE Pivot for regular counts'!$A$2,"State","AL","Category2","Technical")</f>
        <v>0</v>
      </c>
      <c r="J133" s="118"/>
      <c r="K133" s="118"/>
      <c r="L133" s="73"/>
      <c r="M133" s="1"/>
      <c r="P133" s="1" t="s">
        <v>65</v>
      </c>
      <c r="Q133" s="7">
        <f>+GETPIVOTDATA(" Undergrad Contact Hour FTE - Old",'FTE Pivot for regular counts'!$A$2,"State","AL","Category","7","Category2","Two-Year")</f>
        <v>0</v>
      </c>
      <c r="R133" s="7">
        <f>+GETPIVOTDATA(" Undergrad Contact Hour FTE - Old",'FTE Pivot for regular counts'!$A$2,"State","AL","Category","8","Category2","Two-Year")</f>
        <v>0</v>
      </c>
      <c r="S133" s="7">
        <f>+GETPIVOTDATA(" Undergrad Contact Hour FTE - Old",'FTE Pivot for regular counts'!$A$2,"State","AL","Category","9","Category2","Two-Year")</f>
        <v>0</v>
      </c>
      <c r="T133" s="7">
        <f>+GETPIVOTDATA(" Undergrad Contact Hour FTE - Old",'FTE Pivot for regular counts'!$A$2,"State","AL","Category","10","Category2","Two-Year")</f>
        <v>0</v>
      </c>
      <c r="U133" s="8">
        <f>+GETPIVOTDATA(" Undergrad Contact Hour FTE - Old",'FTE Pivot for regular counts'!$A$2,"State","AL","Category2","Two-Year")</f>
        <v>0</v>
      </c>
      <c r="V133" s="7">
        <f>+GETPIVOTDATA(" Undergrad Contact Hour FTE - Old",'FTE Pivot for regular counts'!$A$2,"State","AL","Category","12","Category2","Technical")</f>
        <v>0</v>
      </c>
      <c r="W133" s="7">
        <f>+GETPIVOTDATA(" Undergrad Contact Hour FTE - Old",'FTE Pivot for regular counts'!$A$2,"State","AL","Category","13","Category2","Technical")</f>
        <v>0</v>
      </c>
      <c r="X133" s="7">
        <f>+GETPIVOTDATA(" Undergrad Contact Hour FTE - Old",'FTE Pivot for regular counts'!$A$2,"State","AL","Category2","Technical")</f>
        <v>0</v>
      </c>
      <c r="Y133" s="32"/>
    </row>
    <row r="134" spans="1:25" ht="15" customHeight="1">
      <c r="A134" s="1" t="s">
        <v>66</v>
      </c>
      <c r="B134" s="32">
        <f>+GETPIVOTDATA(" Undergrad Contact Hour FTE - New",'FTE Pivot for regular counts'!$A$2,"State","AR","Category","7","Category2","Two-Year")</f>
        <v>0</v>
      </c>
      <c r="C134" s="32">
        <f>+GETPIVOTDATA(" Undergrad Contact Hour FTE - New",'FTE Pivot for regular counts'!$A$2,"State","AR","Category","8","Category2","Two-Year")</f>
        <v>0</v>
      </c>
      <c r="D134" s="32">
        <f>+GETPIVOTDATA(" Undergrad Contact Hour FTE - New",'FTE Pivot for regular counts'!$A$2,"State","AR","Category","9","Category2","Two-Year")</f>
        <v>0</v>
      </c>
      <c r="E134" s="32">
        <f>+GETPIVOTDATA(" Undergrad Contact Hour FTE - New",'FTE Pivot for regular counts'!$A$2,"State","AR","Category","10","Category2","Two-Year")</f>
        <v>0</v>
      </c>
      <c r="F134" s="8">
        <f>+GETPIVOTDATA(" Undergrad Contact Hour FTE - New",'FTE Pivot for regular counts'!$A$2,"State","AR","Category2","Two-Year")</f>
        <v>0</v>
      </c>
      <c r="G134" s="32">
        <f>+GETPIVOTDATA(" Undergrad Contact Hour FTE - New",'FTE Pivot for regular counts'!$A$2,"State","AR","Category","12","Category2","Technical")</f>
        <v>0</v>
      </c>
      <c r="H134" s="119">
        <f>+GETPIVOTDATA(" Undergrad Contact Hour FTE - New",'FTE Pivot for regular counts'!$A$2,"State","AR","Category","13","Category2","Technical")</f>
        <v>0</v>
      </c>
      <c r="I134" s="119">
        <f>+GETPIVOTDATA(" Undergrad Contact Hour FTE - New",'FTE Pivot for regular counts'!$A$2,"State","AR","Category2","Technical")</f>
        <v>0</v>
      </c>
      <c r="J134" s="119"/>
      <c r="K134" s="119"/>
      <c r="L134" s="73"/>
      <c r="M134" s="1"/>
      <c r="P134" s="1" t="s">
        <v>66</v>
      </c>
      <c r="Q134" s="32">
        <f>+GETPIVOTDATA(" Undergrad Contact Hour FTE - Old",'FTE Pivot for regular counts'!$A$2,"State","AR","Category","7","Category2","Two-Year")</f>
        <v>0</v>
      </c>
      <c r="R134" s="32">
        <f>+GETPIVOTDATA(" Undergrad Contact Hour FTE - Old",'FTE Pivot for regular counts'!$A$2,"State","AR","Category","8","Category2","Two-Year")</f>
        <v>0</v>
      </c>
      <c r="S134" s="32">
        <f>+GETPIVOTDATA(" Undergrad Contact Hour FTE - Old",'FTE Pivot for regular counts'!$A$2,"State","AR","Category","9","Category2","Two-Year")</f>
        <v>0</v>
      </c>
      <c r="T134" s="32">
        <f>+GETPIVOTDATA(" Undergrad Contact Hour FTE - Old",'FTE Pivot for regular counts'!$A$2,"State","AR","Category","10","Category2","Two-Year")</f>
        <v>0</v>
      </c>
      <c r="U134" s="8">
        <f>+GETPIVOTDATA(" Undergrad Contact Hour FTE - Old",'FTE Pivot for regular counts'!$A$2,"State","AR","Category2","Two-Year")</f>
        <v>0</v>
      </c>
      <c r="V134" s="32">
        <f>+GETPIVOTDATA(" Undergrad Contact Hour FTE - Old",'FTE Pivot for regular counts'!$A$2,"State","AR","Category","12","Category2","Technical")</f>
        <v>0</v>
      </c>
      <c r="W134" s="32">
        <f>+GETPIVOTDATA(" Undergrad Contact Hour FTE - Old",'FTE Pivot for regular counts'!$A$2,"State","AR","Category","13","Category2","Technical")</f>
        <v>0</v>
      </c>
      <c r="X134" s="32">
        <f>+GETPIVOTDATA(" Undergrad Contact Hour FTE - Old",'FTE Pivot for regular counts'!$A$2,"State","AR","Category2","Technical")</f>
        <v>0</v>
      </c>
      <c r="Y134" s="32"/>
    </row>
    <row r="135" spans="1:25" ht="15" customHeight="1">
      <c r="A135" s="1" t="s">
        <v>102</v>
      </c>
      <c r="B135" s="32">
        <f>+GETPIVOTDATA(" Undergrad Contact Hour FTE - New",'FTE Pivot for regular counts'!$A$2,"State","DE","Category","7","Category2","Two-Year")</f>
        <v>0</v>
      </c>
      <c r="C135" s="32">
        <f>+GETPIVOTDATA(" Undergrad Contact Hour FTE - New",'FTE Pivot for regular counts'!$A$2,"State","DE","Category","8","Category2","Two-Year")</f>
        <v>0</v>
      </c>
      <c r="D135" s="32">
        <f>+GETPIVOTDATA(" Undergrad Contact Hour FTE - New",'FTE Pivot for regular counts'!$A$2,"State","DE","Category","9","Category2","Two-Year")</f>
        <v>0</v>
      </c>
      <c r="E135" s="32">
        <f>+GETPIVOTDATA(" Undergrad Contact Hour FTE - New",'FTE Pivot for regular counts'!$A$2,"State","DE","Category","10","Category2","Two-Year")</f>
        <v>0</v>
      </c>
      <c r="F135" s="8">
        <f>+GETPIVOTDATA(" Undergrad Contact Hour FTE - New",'FTE Pivot for regular counts'!$A$2,"State","DE","Category2","Two-Year")</f>
        <v>0</v>
      </c>
      <c r="G135" s="32">
        <f>+GETPIVOTDATA(" Undergrad Contact Hour FTE - New",'FTE Pivot for regular counts'!$A$2,"State","DE","Category","12","Category2","Technical")</f>
        <v>0</v>
      </c>
      <c r="H135" s="119">
        <f>+GETPIVOTDATA(" Undergrad Contact Hour FTE - New",'FTE Pivot for regular counts'!$A$2,"State","DE","Category","13","Category2","Technical")</f>
        <v>0</v>
      </c>
      <c r="I135" s="119">
        <f>+GETPIVOTDATA(" Undergrad Contact Hour FTE - New",'FTE Pivot for regular counts'!$A$2,"State","DE","Category2","Technical")</f>
        <v>0</v>
      </c>
      <c r="J135" s="119"/>
      <c r="K135" s="119"/>
      <c r="L135" s="73"/>
      <c r="M135" s="1"/>
      <c r="P135" s="1" t="s">
        <v>102</v>
      </c>
      <c r="Q135" s="32">
        <f>+GETPIVOTDATA(" Undergrad Contact Hour FTE - Old",'FTE Pivot for regular counts'!$A$2,"State","DE","Category","7","Category2","Two-Year")</f>
        <v>0</v>
      </c>
      <c r="R135" s="32">
        <f>+GETPIVOTDATA(" Undergrad Contact Hour FTE - Old",'FTE Pivot for regular counts'!$A$2,"State","DE","Category","8","Category2","Two-Year")</f>
        <v>0</v>
      </c>
      <c r="S135" s="32">
        <f>+GETPIVOTDATA(" Undergrad Contact Hour FTE - Old",'FTE Pivot for regular counts'!$A$2,"State","DE","Category","9","Category2","Two-Year")</f>
        <v>0</v>
      </c>
      <c r="T135" s="32">
        <f>+GETPIVOTDATA(" Undergrad Contact Hour FTE - Old",'FTE Pivot for regular counts'!$A$2,"State","DE","Category","10","Category2","Two-Year")</f>
        <v>0</v>
      </c>
      <c r="U135" s="8">
        <f>+GETPIVOTDATA(" Undergrad Contact Hour FTE - Old",'FTE Pivot for regular counts'!$A$2,"State","DE","Category2","Two-Year")</f>
        <v>0</v>
      </c>
      <c r="V135" s="32">
        <f>+GETPIVOTDATA(" Undergrad Contact Hour FTE - Old",'FTE Pivot for regular counts'!$A$2,"State","DE","Category","12","Category2","Technical")</f>
        <v>0</v>
      </c>
      <c r="W135" s="32">
        <f>+GETPIVOTDATA(" Undergrad Contact Hour FTE - Old",'FTE Pivot for regular counts'!$A$2,"State","DE","Category","13","Category2","Technical")</f>
        <v>0</v>
      </c>
      <c r="X135" s="32">
        <f>+GETPIVOTDATA(" Undergrad Contact Hour FTE - Old",'FTE Pivot for regular counts'!$A$2,"State","DE","Category2","Technical")</f>
        <v>0</v>
      </c>
      <c r="Y135" s="32"/>
    </row>
    <row r="136" spans="1:25" ht="15" customHeight="1">
      <c r="A136" s="1" t="s">
        <v>67</v>
      </c>
      <c r="B136" s="32">
        <f>+GETPIVOTDATA(" Undergrad Contact Hour FTE - New",'FTE Pivot for regular counts'!$A$2,"State","FL","Category","7","Category2","Two-Year")</f>
        <v>13298.934444444443</v>
      </c>
      <c r="C136" s="32">
        <f>+GETPIVOTDATA(" Undergrad Contact Hour FTE - New",'FTE Pivot for regular counts'!$A$2,"State","FL","Category","8","Category2","Two-Year")</f>
        <v>6615.833333333333</v>
      </c>
      <c r="D136" s="32">
        <f>+GETPIVOTDATA(" Undergrad Contact Hour FTE - New",'FTE Pivot for regular counts'!$A$2,"State","FL","Category","9","Category2","Two-Year")</f>
        <v>1141.1011111111111</v>
      </c>
      <c r="E136" s="32">
        <f>+GETPIVOTDATA(" Undergrad Contact Hour FTE - New",'FTE Pivot for regular counts'!$A$2,"State","FL","Category","10","Category2","Two-Year")</f>
        <v>128.80555555555557</v>
      </c>
      <c r="F136" s="8">
        <f>+GETPIVOTDATA(" Undergrad Contact Hour FTE - New",'FTE Pivot for regular counts'!$A$2,"State","FL","Category2","Two-Year")</f>
        <v>21184.674444444441</v>
      </c>
      <c r="G136" s="32">
        <f>+GETPIVOTDATA(" Undergrad Contact Hour FTE - New",'FTE Pivot for regular counts'!$A$2,"State","FL","Category","12","Category2","Technical")</f>
        <v>0</v>
      </c>
      <c r="H136" s="119">
        <f>+GETPIVOTDATA(" Undergrad Contact Hour FTE - New",'FTE Pivot for regular counts'!$A$2,"State","FL","Category","13","Category2","Technical")</f>
        <v>0</v>
      </c>
      <c r="I136" s="119">
        <f>+GETPIVOTDATA(" Undergrad Contact Hour FTE - New",'FTE Pivot for regular counts'!$A$2,"State","FL","Category2","Technical")</f>
        <v>0</v>
      </c>
      <c r="J136" s="119"/>
      <c r="K136" s="119"/>
      <c r="L136" s="73"/>
      <c r="M136" s="1"/>
      <c r="P136" s="1" t="s">
        <v>67</v>
      </c>
      <c r="Q136" s="32">
        <f>+GETPIVOTDATA(" Undergrad Contact Hour FTE - Old",'FTE Pivot for regular counts'!$A$2,"State","FL","Category","7","Category2","Two-Year")</f>
        <v>13384.667777777779</v>
      </c>
      <c r="R136" s="32">
        <f>+GETPIVOTDATA(" Undergrad Contact Hour FTE - Old",'FTE Pivot for regular counts'!$A$2,"State","FL","Category","8","Category2","Two-Year")</f>
        <v>6992.9955555555562</v>
      </c>
      <c r="S136" s="32">
        <f>+GETPIVOTDATA(" Undergrad Contact Hour FTE - Old",'FTE Pivot for regular counts'!$A$2,"State","FL","Category","9","Category2","Two-Year")</f>
        <v>1292.1322222222223</v>
      </c>
      <c r="T136" s="32">
        <f>+GETPIVOTDATA(" Undergrad Contact Hour FTE - Old",'FTE Pivot for regular counts'!$A$2,"State","FL","Category","10","Category2","Two-Year")</f>
        <v>135.48444444444445</v>
      </c>
      <c r="U136" s="8">
        <f>+GETPIVOTDATA(" Undergrad Contact Hour FTE - Old",'FTE Pivot for regular counts'!$A$2,"State","FL","Category2","Two-Year")</f>
        <v>21805.280000000002</v>
      </c>
      <c r="V136" s="32">
        <f>+GETPIVOTDATA(" Undergrad Contact Hour FTE - Old",'FTE Pivot for regular counts'!$A$2,"State","FL","Category","12","Category2","Technical")</f>
        <v>0</v>
      </c>
      <c r="W136" s="32">
        <f>+GETPIVOTDATA(" Undergrad Contact Hour FTE - Old",'FTE Pivot for regular counts'!$A$2,"State","FL","Category","13","Category2","Technical")</f>
        <v>0</v>
      </c>
      <c r="X136" s="32">
        <f>+GETPIVOTDATA(" Undergrad Contact Hour FTE - Old",'FTE Pivot for regular counts'!$A$2,"State","FL","Category2","Technical")</f>
        <v>0</v>
      </c>
      <c r="Y136" s="32"/>
    </row>
    <row r="137" spans="1:25" ht="15" customHeight="1">
      <c r="B137" s="32"/>
      <c r="C137" s="32"/>
      <c r="D137" s="32"/>
      <c r="E137" s="32"/>
      <c r="F137" s="8"/>
      <c r="G137" s="32"/>
      <c r="H137" s="119"/>
      <c r="I137" s="119"/>
      <c r="J137" s="119"/>
      <c r="K137" s="119"/>
      <c r="L137" s="73"/>
      <c r="M137" s="1"/>
      <c r="Q137" s="32"/>
      <c r="R137" s="32"/>
      <c r="S137" s="32"/>
      <c r="T137" s="32"/>
      <c r="U137" s="8"/>
      <c r="V137" s="32"/>
      <c r="W137" s="32"/>
      <c r="X137" s="32"/>
      <c r="Y137" s="32"/>
    </row>
    <row r="138" spans="1:25" ht="15" customHeight="1">
      <c r="A138" s="1" t="s">
        <v>68</v>
      </c>
      <c r="B138" s="32">
        <f>+GETPIVOTDATA(" Undergrad Contact Hour FTE - New",'FTE Pivot for regular counts'!$A$2,"State","GA","Category","7","Category2","Two-Year")</f>
        <v>0</v>
      </c>
      <c r="C138" s="32">
        <f>+GETPIVOTDATA(" Undergrad Contact Hour FTE - New",'FTE Pivot for regular counts'!$A$2,"State","GA","Category","8","Category2","Two-Year")</f>
        <v>0</v>
      </c>
      <c r="D138" s="32">
        <f>+GETPIVOTDATA(" Undergrad Contact Hour FTE - New",'FTE Pivot for regular counts'!$A$2,"State","GA","Category","9","Category2","Two-Year")</f>
        <v>0</v>
      </c>
      <c r="E138" s="32">
        <f>+GETPIVOTDATA(" Undergrad Contact Hour FTE - New",'FTE Pivot for regular counts'!$A$2,"State","GA","Category","10","Category2","Two-Year")</f>
        <v>0</v>
      </c>
      <c r="F138" s="8">
        <f>+GETPIVOTDATA(" Undergrad Contact Hour FTE - New",'FTE Pivot for regular counts'!$A$2,"State","GA","Category2","Two-Year")</f>
        <v>0</v>
      </c>
      <c r="G138" s="32">
        <f>+GETPIVOTDATA(" Undergrad Contact Hour FTE - New",'FTE Pivot for regular counts'!$A$2,"State","GA","Category","12","Category2","Technical")</f>
        <v>0</v>
      </c>
      <c r="H138" s="119">
        <f>+GETPIVOTDATA(" Undergrad Contact Hour FTE - New",'FTE Pivot for regular counts'!$A$2,"State","GA","Category","13","Category2","Technical")</f>
        <v>0</v>
      </c>
      <c r="I138" s="119">
        <f>+GETPIVOTDATA(" Undergrad Contact Hour FTE - New",'FTE Pivot for regular counts'!$A$2,"State","GA","Category2","Technical")</f>
        <v>0</v>
      </c>
      <c r="J138" s="119"/>
      <c r="K138" s="119"/>
      <c r="L138" s="73"/>
      <c r="M138" s="1"/>
      <c r="P138" s="1" t="s">
        <v>68</v>
      </c>
      <c r="Q138" s="32">
        <f>+GETPIVOTDATA(" Undergrad Contact Hour FTE - Old",'FTE Pivot for regular counts'!$A$2,"State","GA","Category","7","Category2","Two-Year")</f>
        <v>0</v>
      </c>
      <c r="R138" s="32">
        <f>+GETPIVOTDATA(" Undergrad Contact Hour FTE - Old",'FTE Pivot for regular counts'!$A$2,"State","GA","Category","8","Category2","Two-Year")</f>
        <v>0</v>
      </c>
      <c r="S138" s="32">
        <f>+GETPIVOTDATA(" Undergrad Contact Hour FTE - Old",'FTE Pivot for regular counts'!$A$2,"State","GA","Category","9","Category2","Two-Year")</f>
        <v>0</v>
      </c>
      <c r="T138" s="32">
        <f>+GETPIVOTDATA(" Undergrad Contact Hour FTE - Old",'FTE Pivot for regular counts'!$A$2,"State","GA","Category","10","Category2","Two-Year")</f>
        <v>0</v>
      </c>
      <c r="U138" s="8">
        <f>+GETPIVOTDATA(" Undergrad Contact Hour FTE - Old",'FTE Pivot for regular counts'!$A$2,"State","GA","Category2","Two-Year")</f>
        <v>0</v>
      </c>
      <c r="V138" s="32">
        <f>+GETPIVOTDATA(" Undergrad Contact Hour FTE - Old",'FTE Pivot for regular counts'!$A$2,"State","GA","Category","12","Category2","Technical")</f>
        <v>0</v>
      </c>
      <c r="W138" s="32">
        <f>+GETPIVOTDATA(" Undergrad Contact Hour FTE - Old",'FTE Pivot for regular counts'!$A$2,"State","GA","Category","13","Category2","Technical")</f>
        <v>0</v>
      </c>
      <c r="X138" s="32">
        <f>+GETPIVOTDATA(" Undergrad Contact Hour FTE - Old",'FTE Pivot for regular counts'!$A$2,"State","GA","Category2","Technical")</f>
        <v>0</v>
      </c>
      <c r="Y138" s="32"/>
    </row>
    <row r="139" spans="1:25" ht="15" customHeight="1">
      <c r="A139" s="1" t="s">
        <v>69</v>
      </c>
      <c r="B139" s="32">
        <f>+GETPIVOTDATA(" Undergrad Contact Hour FTE - New",'FTE Pivot for regular counts'!$A$2,"State","KY","Category","7","Category2","Two-Year")</f>
        <v>0</v>
      </c>
      <c r="C139" s="32">
        <f>+GETPIVOTDATA(" Undergrad Contact Hour FTE - New",'FTE Pivot for regular counts'!$A$2,"State","KY","Category","8","Category2","Two-Year")</f>
        <v>0</v>
      </c>
      <c r="D139" s="32">
        <f>+GETPIVOTDATA(" Undergrad Contact Hour FTE - New",'FTE Pivot for regular counts'!$A$2,"State","KY","Category","9","Category2","Two-Year")</f>
        <v>0</v>
      </c>
      <c r="E139" s="32">
        <f>+GETPIVOTDATA(" Undergrad Contact Hour FTE - New",'FTE Pivot for regular counts'!$A$2,"State","KY","Category","10","Category2","Two-Year")</f>
        <v>0</v>
      </c>
      <c r="F139" s="8">
        <f>+GETPIVOTDATA(" Undergrad Contact Hour FTE - New",'FTE Pivot for regular counts'!$A$2,"State","KY","Category2","Two-Year")</f>
        <v>0</v>
      </c>
      <c r="G139" s="32">
        <f>+GETPIVOTDATA(" Undergrad Contact Hour FTE - New",'FTE Pivot for regular counts'!$A$2,"State","KY","Category","12","Category2","Technical")</f>
        <v>0</v>
      </c>
      <c r="H139" s="119">
        <f>+GETPIVOTDATA(" Undergrad Contact Hour FTE - New",'FTE Pivot for regular counts'!$A$2,"State","KY","Category","13","Category2","Technical")</f>
        <v>0</v>
      </c>
      <c r="I139" s="119">
        <f>+GETPIVOTDATA(" Undergrad Contact Hour FTE - New",'FTE Pivot for regular counts'!$A$2,"State","KY","Category2","Technical")</f>
        <v>0</v>
      </c>
      <c r="J139" s="119"/>
      <c r="K139" s="119"/>
      <c r="L139" s="73"/>
      <c r="M139" s="1"/>
      <c r="P139" s="1" t="s">
        <v>69</v>
      </c>
      <c r="Q139" s="32">
        <f>+GETPIVOTDATA(" Undergrad Contact Hour FTE - Old",'FTE Pivot for regular counts'!$A$2,"State","KY","Category","7","Category2","Two-Year")</f>
        <v>0</v>
      </c>
      <c r="R139" s="32">
        <f>+GETPIVOTDATA(" Undergrad Contact Hour FTE - Old",'FTE Pivot for regular counts'!$A$2,"State","KY","Category","8","Category2","Two-Year")</f>
        <v>0</v>
      </c>
      <c r="S139" s="32">
        <f>+GETPIVOTDATA(" Undergrad Contact Hour FTE - Old",'FTE Pivot for regular counts'!$A$2,"State","KY","Category","9","Category2","Two-Year")</f>
        <v>0</v>
      </c>
      <c r="T139" s="32">
        <f>+GETPIVOTDATA(" Undergrad Contact Hour FTE - Old",'FTE Pivot for regular counts'!$A$2,"State","KY","Category","10","Category2","Two-Year")</f>
        <v>0</v>
      </c>
      <c r="U139" s="8">
        <f>+GETPIVOTDATA(" Undergrad Contact Hour FTE - Old",'FTE Pivot for regular counts'!$A$2,"State","KY","Category2","Two-Year")</f>
        <v>0</v>
      </c>
      <c r="V139" s="32">
        <f>+GETPIVOTDATA(" Undergrad Contact Hour FTE - Old",'FTE Pivot for regular counts'!$A$2,"State","KY","Category","12","Category2","Technical")</f>
        <v>0</v>
      </c>
      <c r="W139" s="32">
        <f>+GETPIVOTDATA(" Undergrad Contact Hour FTE - Old",'FTE Pivot for regular counts'!$A$2,"State","KY","Category","13","Category2","Technical")</f>
        <v>0</v>
      </c>
      <c r="X139" s="32">
        <f>+GETPIVOTDATA(" Undergrad Contact Hour FTE - Old",'FTE Pivot for regular counts'!$A$2,"State","KY","Category2","Technical")</f>
        <v>0</v>
      </c>
      <c r="Y139" s="32"/>
    </row>
    <row r="140" spans="1:25" ht="15" customHeight="1">
      <c r="A140" s="1" t="s">
        <v>70</v>
      </c>
      <c r="B140" s="32">
        <f>+GETPIVOTDATA(" Undergrad Contact Hour FTE - New",'FTE Pivot for regular counts'!$A$2,"State","LA","Category","7","Category2","Two-Year")</f>
        <v>0</v>
      </c>
      <c r="C140" s="32">
        <f>+GETPIVOTDATA(" Undergrad Contact Hour FTE - New",'FTE Pivot for regular counts'!$A$2,"State","LA","Category","8","Category2","Two-Year")</f>
        <v>0</v>
      </c>
      <c r="D140" s="32">
        <f>+GETPIVOTDATA(" Undergrad Contact Hour FTE - New",'FTE Pivot for regular counts'!$A$2,"State","LA","Category","9","Category2","Two-Year")</f>
        <v>0</v>
      </c>
      <c r="E140" s="32">
        <f>+GETPIVOTDATA(" Undergrad Contact Hour FTE - New",'FTE Pivot for regular counts'!$A$2,"State","LA","Category","10","Category2","Two-Year")</f>
        <v>0</v>
      </c>
      <c r="F140" s="8">
        <f>+GETPIVOTDATA(" Undergrad Contact Hour FTE - New",'FTE Pivot for regular counts'!$A$2,"State","LA","Category2","Two-Year")</f>
        <v>0</v>
      </c>
      <c r="G140" s="32">
        <f>+GETPIVOTDATA(" Undergrad Contact Hour FTE - New",'FTE Pivot for regular counts'!$A$2,"State","LA","Category","12","Category2","Technical")</f>
        <v>107.50333333333333</v>
      </c>
      <c r="H140" s="119">
        <f>+GETPIVOTDATA(" Undergrad Contact Hour FTE - New",'FTE Pivot for regular counts'!$A$2,"State","LA","Category","13","Category2","Technical")</f>
        <v>0</v>
      </c>
      <c r="I140" s="119">
        <f>+GETPIVOTDATA(" Undergrad Contact Hour FTE - New",'FTE Pivot for regular counts'!$A$2,"State","LA","Category2","Technical")</f>
        <v>107.50333333333333</v>
      </c>
      <c r="J140" s="119"/>
      <c r="K140" s="119"/>
      <c r="L140" s="73"/>
      <c r="M140" s="1"/>
      <c r="P140" s="1" t="s">
        <v>70</v>
      </c>
      <c r="Q140" s="32">
        <f>+GETPIVOTDATA(" Undergrad Contact Hour FTE - Old",'FTE Pivot for regular counts'!$A$2,"State","LA","Category","7","Category2","Two-Year")</f>
        <v>0</v>
      </c>
      <c r="R140" s="32">
        <f>+GETPIVOTDATA(" Undergrad Contact Hour FTE - Old",'FTE Pivot for regular counts'!$A$2,"State","LA","Category","8","Category2","Two-Year")</f>
        <v>0</v>
      </c>
      <c r="S140" s="820">
        <f>+GETPIVOTDATA(" Undergrad Contact Hour FTE - Old",'FTE Pivot for regular counts'!$A$2,"State","LA","Category","9","Category2","Two-Year")</f>
        <v>1.2222222222222223E-2</v>
      </c>
      <c r="T140" s="32">
        <f>+GETPIVOTDATA(" Undergrad Contact Hour FTE - Old",'FTE Pivot for regular counts'!$A$2,"State","LA","Category","10","Category2","Two-Year")</f>
        <v>0</v>
      </c>
      <c r="U140" s="821">
        <f>+GETPIVOTDATA(" Undergrad Contact Hour FTE - Old",'FTE Pivot for regular counts'!$A$2,"State","LA","Category2","Two-Year")</f>
        <v>1.2222222222222223E-2</v>
      </c>
      <c r="V140" s="32">
        <f>+GETPIVOTDATA(" Undergrad Contact Hour FTE - Old",'FTE Pivot for regular counts'!$A$2,"State","LA","Category","12","Category2","Technical")</f>
        <v>136.60999999999999</v>
      </c>
      <c r="W140" s="32">
        <f>+GETPIVOTDATA(" Undergrad Contact Hour FTE - Old",'FTE Pivot for regular counts'!$A$2,"State","LA","Category","13","Category2","Technical")</f>
        <v>0</v>
      </c>
      <c r="X140" s="32">
        <f>+GETPIVOTDATA(" Undergrad Contact Hour FTE - Old",'FTE Pivot for regular counts'!$A$2,"State","LA","Category2","Technical")</f>
        <v>136.60999999999999</v>
      </c>
      <c r="Y140" s="32"/>
    </row>
    <row r="141" spans="1:25" ht="15" customHeight="1">
      <c r="A141" s="1" t="s">
        <v>71</v>
      </c>
      <c r="B141" s="32">
        <f>+GETPIVOTDATA(" Undergrad Contact Hour FTE - New",'FTE Pivot for regular counts'!$A$2,"State","MD","Category","7","Category2","Two-Year")</f>
        <v>0</v>
      </c>
      <c r="C141" s="32">
        <f>+GETPIVOTDATA(" Undergrad Contact Hour FTE - New",'FTE Pivot for regular counts'!$A$2,"State","MD","Category","8","Category2","Two-Year")</f>
        <v>0</v>
      </c>
      <c r="D141" s="32">
        <f>+GETPIVOTDATA(" Undergrad Contact Hour FTE - New",'FTE Pivot for regular counts'!$A$2,"State","MD","Category","9","Category2","Two-Year")</f>
        <v>0</v>
      </c>
      <c r="E141" s="32">
        <f>+GETPIVOTDATA(" Undergrad Contact Hour FTE - New",'FTE Pivot for regular counts'!$A$2,"State","MD","Category","10","Category2","Two-Year")</f>
        <v>0</v>
      </c>
      <c r="F141" s="8">
        <f>+GETPIVOTDATA(" Undergrad Contact Hour FTE - New",'FTE Pivot for regular counts'!$A$2,"State","MD","Category2","Two-Year")</f>
        <v>0</v>
      </c>
      <c r="G141" s="32">
        <f>+GETPIVOTDATA(" Undergrad Contact Hour FTE - New",'FTE Pivot for regular counts'!$A$2,"State","MD","Category","12","Category2","Technical")</f>
        <v>0</v>
      </c>
      <c r="H141" s="119">
        <f>+GETPIVOTDATA(" Undergrad Contact Hour FTE - New",'FTE Pivot for regular counts'!$A$2,"State","MD","Category","13","Category2","Technical")</f>
        <v>0</v>
      </c>
      <c r="I141" s="119">
        <f>+GETPIVOTDATA(" Undergrad Contact Hour FTE - New",'FTE Pivot for regular counts'!$A$2,"State","MD","Category2","Technical")</f>
        <v>0</v>
      </c>
      <c r="J141" s="119"/>
      <c r="K141" s="119"/>
      <c r="L141" s="73"/>
      <c r="M141" s="1"/>
      <c r="P141" s="1" t="s">
        <v>71</v>
      </c>
      <c r="Q141" s="32">
        <f>+GETPIVOTDATA(" Undergrad Contact Hour FTE - Old",'FTE Pivot for regular counts'!$A$2,"State","MD","Category","7","Category2","Two-Year")</f>
        <v>0</v>
      </c>
      <c r="R141" s="32">
        <f>+GETPIVOTDATA(" Undergrad Contact Hour FTE - Old",'FTE Pivot for regular counts'!$A$2,"State","MD","Category","8","Category2","Two-Year")</f>
        <v>0</v>
      </c>
      <c r="S141" s="32">
        <f>+GETPIVOTDATA(" Undergrad Contact Hour FTE - Old",'FTE Pivot for regular counts'!$A$2,"State","MD","Category","9","Category2","Two-Year")</f>
        <v>0</v>
      </c>
      <c r="T141" s="32">
        <f>+GETPIVOTDATA(" Undergrad Contact Hour FTE - Old",'FTE Pivot for regular counts'!$A$2,"State","MD","Category","10","Category2","Two-Year")</f>
        <v>0</v>
      </c>
      <c r="U141" s="8">
        <f>+GETPIVOTDATA(" Undergrad Contact Hour FTE - Old",'FTE Pivot for regular counts'!$A$2,"State","MD","Category2","Two-Year")</f>
        <v>0</v>
      </c>
      <c r="V141" s="32">
        <f>+GETPIVOTDATA(" Undergrad Contact Hour FTE - Old",'FTE Pivot for regular counts'!$A$2,"State","MD","Category","12","Category2","Technical")</f>
        <v>0</v>
      </c>
      <c r="W141" s="32">
        <f>+GETPIVOTDATA(" Undergrad Contact Hour FTE - Old",'FTE Pivot for regular counts'!$A$2,"State","MD","Category","13","Category2","Technical")</f>
        <v>0</v>
      </c>
      <c r="X141" s="32">
        <f>+GETPIVOTDATA(" Undergrad Contact Hour FTE - Old",'FTE Pivot for regular counts'!$A$2,"State","MD","Category2","Technical")</f>
        <v>0</v>
      </c>
      <c r="Y141" s="32"/>
    </row>
    <row r="142" spans="1:25" ht="15" customHeight="1">
      <c r="B142" s="32"/>
      <c r="C142" s="32"/>
      <c r="D142" s="32"/>
      <c r="E142" s="32"/>
      <c r="F142" s="8"/>
      <c r="G142" s="32"/>
      <c r="H142" s="119"/>
      <c r="I142" s="119"/>
      <c r="J142" s="119"/>
      <c r="K142" s="119"/>
      <c r="L142" s="73"/>
      <c r="M142" s="1"/>
      <c r="Q142" s="32"/>
      <c r="R142" s="32"/>
      <c r="S142" s="32"/>
      <c r="T142" s="32"/>
      <c r="U142" s="8"/>
      <c r="V142" s="32"/>
      <c r="W142" s="32"/>
      <c r="X142" s="32"/>
      <c r="Y142" s="32"/>
    </row>
    <row r="143" spans="1:25" ht="15" customHeight="1">
      <c r="A143" s="1" t="s">
        <v>72</v>
      </c>
      <c r="B143" s="32">
        <f>+GETPIVOTDATA(" Undergrad Contact Hour FTE - New",'FTE Pivot for regular counts'!$A$2,"State","MS","Category","7","Category2","Two-Year")</f>
        <v>0</v>
      </c>
      <c r="C143" s="32">
        <f>+GETPIVOTDATA(" Undergrad Contact Hour FTE - New",'FTE Pivot for regular counts'!$A$2,"State","MS","Category","8","Category2","Two-Year")</f>
        <v>0</v>
      </c>
      <c r="D143" s="32">
        <f>+GETPIVOTDATA(" Undergrad Contact Hour FTE - New",'FTE Pivot for regular counts'!$A$2,"State","MS","Category","9","Category2","Two-Year")</f>
        <v>0</v>
      </c>
      <c r="E143" s="32">
        <f>+GETPIVOTDATA(" Undergrad Contact Hour FTE - New",'FTE Pivot for regular counts'!$A$2,"State","MS","Category","10","Category2","Two-Year")</f>
        <v>0</v>
      </c>
      <c r="F143" s="8">
        <f>+GETPIVOTDATA(" Undergrad Contact Hour FTE - New",'FTE Pivot for regular counts'!$A$2,"State","MS","Category2","Two-Year")</f>
        <v>0</v>
      </c>
      <c r="G143" s="32">
        <f>+GETPIVOTDATA(" Undergrad Contact Hour FTE - New",'FTE Pivot for regular counts'!$A$2,"State","MS","Category","12","Category2","Technical")</f>
        <v>0</v>
      </c>
      <c r="H143" s="119">
        <f>+GETPIVOTDATA(" Undergrad Contact Hour FTE - New",'FTE Pivot for regular counts'!$A$2,"State","MS","Category","13","Category2","Technical")</f>
        <v>0</v>
      </c>
      <c r="I143" s="119">
        <f>+GETPIVOTDATA(" Undergrad Contact Hour FTE - New",'FTE Pivot for regular counts'!$A$2,"State","MS","Category2","Technical")</f>
        <v>0</v>
      </c>
      <c r="J143" s="119"/>
      <c r="K143" s="119"/>
      <c r="L143" s="73"/>
      <c r="M143" s="1"/>
      <c r="P143" s="1" t="s">
        <v>72</v>
      </c>
      <c r="Q143" s="32">
        <f>+GETPIVOTDATA(" Undergrad Contact Hour FTE - Old",'FTE Pivot for regular counts'!$A$2,"State","MS","Category","7","Category2","Two-Year")</f>
        <v>0</v>
      </c>
      <c r="R143" s="32">
        <f>+GETPIVOTDATA(" Undergrad Contact Hour FTE - Old",'FTE Pivot for regular counts'!$A$2,"State","MS","Category","8","Category2","Two-Year")</f>
        <v>0</v>
      </c>
      <c r="S143" s="32">
        <f>+GETPIVOTDATA(" Undergrad Contact Hour FTE - Old",'FTE Pivot for regular counts'!$A$2,"State","MS","Category","9","Category2","Two-Year")</f>
        <v>0</v>
      </c>
      <c r="T143" s="32">
        <f>+GETPIVOTDATA(" Undergrad Contact Hour FTE - Old",'FTE Pivot for regular counts'!$A$2,"State","MS","Category","10","Category2","Two-Year")</f>
        <v>0</v>
      </c>
      <c r="U143" s="8">
        <f>+GETPIVOTDATA(" Undergrad Contact Hour FTE - Old",'FTE Pivot for regular counts'!$A$2,"State","MS","Category2","Two-Year")</f>
        <v>0</v>
      </c>
      <c r="V143" s="32">
        <f>+GETPIVOTDATA(" Undergrad Contact Hour FTE - Old",'FTE Pivot for regular counts'!$A$2,"State","MS","Category","12","Category2","Technical")</f>
        <v>0</v>
      </c>
      <c r="W143" s="32">
        <f>+GETPIVOTDATA(" Undergrad Contact Hour FTE - Old",'FTE Pivot for regular counts'!$A$2,"State","MS","Category","13","Category2","Technical")</f>
        <v>0</v>
      </c>
      <c r="X143" s="32">
        <f>+GETPIVOTDATA(" Undergrad Contact Hour FTE - Old",'FTE Pivot for regular counts'!$A$2,"State","MS","Category2","Technical")</f>
        <v>0</v>
      </c>
      <c r="Y143" s="32"/>
    </row>
    <row r="144" spans="1:25" ht="15" customHeight="1">
      <c r="A144" s="1" t="s">
        <v>73</v>
      </c>
      <c r="B144" s="32">
        <f>+GETPIVOTDATA(" Undergrad Contact Hour FTE - New",'FTE Pivot for regular counts'!$A$2,"State","NC","Category","7","Category2","Two-Year")</f>
        <v>0</v>
      </c>
      <c r="C144" s="32">
        <f>+GETPIVOTDATA(" Undergrad Contact Hour FTE - New",'FTE Pivot for regular counts'!$A$2,"State","NC","Category","8","Category2","Two-Year")</f>
        <v>13726.247777777779</v>
      </c>
      <c r="D144" s="32">
        <f>+GETPIVOTDATA(" Undergrad Contact Hour FTE - New",'FTE Pivot for regular counts'!$A$2,"State","NC","Category","9","Category2","Two-Year")</f>
        <v>16663.054444444446</v>
      </c>
      <c r="E144" s="32">
        <f>+GETPIVOTDATA(" Undergrad Contact Hour FTE - New",'FTE Pivot for regular counts'!$A$2,"State","NC","Category","10","Category2","Two-Year")</f>
        <v>9594.8466666666664</v>
      </c>
      <c r="F144" s="8">
        <f>+GETPIVOTDATA(" Undergrad Contact Hour FTE - New",'FTE Pivot for regular counts'!$A$2,"State","NC","Category2","Two-Year")</f>
        <v>39984.148888888893</v>
      </c>
      <c r="G144" s="32">
        <f>+GETPIVOTDATA(" Undergrad Contact Hour FTE - New",'FTE Pivot for regular counts'!$A$2,"State","NC","Category","12","Category2","Technical")</f>
        <v>0</v>
      </c>
      <c r="H144" s="119">
        <f>+GETPIVOTDATA(" Undergrad Contact Hour FTE - New",'FTE Pivot for regular counts'!$A$2,"State","NC","Category","13","Category2","Technical")</f>
        <v>0</v>
      </c>
      <c r="I144" s="119">
        <f>+GETPIVOTDATA(" Undergrad Contact Hour FTE - New",'FTE Pivot for regular counts'!$A$2,"State","NC","Category2","Technical")</f>
        <v>0</v>
      </c>
      <c r="J144" s="119"/>
      <c r="K144" s="119"/>
      <c r="L144" s="73"/>
      <c r="M144" s="1"/>
      <c r="P144" s="1" t="s">
        <v>73</v>
      </c>
      <c r="Q144" s="32">
        <f>+GETPIVOTDATA(" Undergrad Contact Hour FTE - Old",'FTE Pivot for regular counts'!$A$2,"State","NC","Category","7","Category2","Two-Year")</f>
        <v>0</v>
      </c>
      <c r="R144" s="32">
        <f>+GETPIVOTDATA(" Undergrad Contact Hour FTE - Old",'FTE Pivot for regular counts'!$A$2,"State","NC","Category","8","Category2","Two-Year")</f>
        <v>13630.188888888888</v>
      </c>
      <c r="S144" s="32">
        <f>+GETPIVOTDATA(" Undergrad Contact Hour FTE - Old",'FTE Pivot for regular counts'!$A$2,"State","NC","Category","9","Category2","Two-Year")</f>
        <v>17005.330000000002</v>
      </c>
      <c r="T144" s="32">
        <f>+GETPIVOTDATA(" Undergrad Contact Hour FTE - Old",'FTE Pivot for regular counts'!$A$2,"State","NC","Category","10","Category2","Two-Year")</f>
        <v>9779.4077777777784</v>
      </c>
      <c r="U144" s="8">
        <f>+GETPIVOTDATA(" Undergrad Contact Hour FTE - Old",'FTE Pivot for regular counts'!$A$2,"State","NC","Category2","Two-Year")</f>
        <v>40414.926666666666</v>
      </c>
      <c r="V144" s="32">
        <f>+GETPIVOTDATA(" Undergrad Contact Hour FTE - Old",'FTE Pivot for regular counts'!$A$2,"State","NC","Category","12","Category2","Technical")</f>
        <v>0</v>
      </c>
      <c r="W144" s="32">
        <f>+GETPIVOTDATA(" Undergrad Contact Hour FTE - Old",'FTE Pivot for regular counts'!$A$2,"State","NC","Category","13","Category2","Technical")</f>
        <v>0</v>
      </c>
      <c r="X144" s="32">
        <f>+GETPIVOTDATA(" Undergrad Contact Hour FTE - Old",'FTE Pivot for regular counts'!$A$2,"State","NC","Category2","Technical")</f>
        <v>0</v>
      </c>
      <c r="Y144" s="32"/>
    </row>
    <row r="145" spans="1:88" ht="15" customHeight="1">
      <c r="A145" s="1" t="s">
        <v>74</v>
      </c>
      <c r="B145" s="32">
        <f>+GETPIVOTDATA(" Undergrad Contact Hour FTE - New",'FTE Pivot for regular counts'!$A$2,"State","OK","Category","7","Category2","Two-Year")</f>
        <v>0</v>
      </c>
      <c r="C145" s="32">
        <f>+GETPIVOTDATA(" Undergrad Contact Hour FTE - New",'FTE Pivot for regular counts'!$A$2,"State","OK","Category","8","Category2","Two-Year")</f>
        <v>0</v>
      </c>
      <c r="D145" s="32">
        <f>+GETPIVOTDATA(" Undergrad Contact Hour FTE - New",'FTE Pivot for regular counts'!$A$2,"State","OK","Category","9","Category2","Two-Year")</f>
        <v>0</v>
      </c>
      <c r="E145" s="32">
        <f>+GETPIVOTDATA(" Undergrad Contact Hour FTE - New",'FTE Pivot for regular counts'!$A$2,"State","OK","Category","10","Category2","Two-Year")</f>
        <v>0</v>
      </c>
      <c r="F145" s="8">
        <f>+GETPIVOTDATA(" Undergrad Contact Hour FTE - New",'FTE Pivot for regular counts'!$A$2,"State","OK","Category2","Two-Year")</f>
        <v>0</v>
      </c>
      <c r="G145" s="32">
        <f>+GETPIVOTDATA(" Undergrad Contact Hour FTE - New",'FTE Pivot for regular counts'!$A$2,"State","OK","Category","12","Category2","Technical")</f>
        <v>3864.6067111111106</v>
      </c>
      <c r="H145" s="119">
        <f>+GETPIVOTDATA(" Undergrad Contact Hour FTE - New",'FTE Pivot for regular counts'!$A$2,"State","OK","Category","13","Category2","Technical")</f>
        <v>16054.077488888888</v>
      </c>
      <c r="I145" s="119">
        <f>+GETPIVOTDATA(" Undergrad Contact Hour FTE - New",'FTE Pivot for regular counts'!$A$2,"State","OK","Category2","Technical")</f>
        <v>19918.6842</v>
      </c>
      <c r="J145" s="119"/>
      <c r="K145" s="119"/>
      <c r="L145" s="73"/>
      <c r="M145" s="1"/>
      <c r="P145" s="1" t="s">
        <v>74</v>
      </c>
      <c r="Q145" s="32">
        <f>+GETPIVOTDATA(" Undergrad Contact Hour FTE - Old",'FTE Pivot for regular counts'!$A$2,"State","OK","Category","7","Category2","Two-Year")</f>
        <v>0</v>
      </c>
      <c r="R145" s="32">
        <f>+GETPIVOTDATA(" Undergrad Contact Hour FTE - Old",'FTE Pivot for regular counts'!$A$2,"State","OK","Category","8","Category2","Two-Year")</f>
        <v>0</v>
      </c>
      <c r="S145" s="32">
        <f>+GETPIVOTDATA(" Undergrad Contact Hour FTE - Old",'FTE Pivot for regular counts'!$A$2,"State","OK","Category","9","Category2","Two-Year")</f>
        <v>0</v>
      </c>
      <c r="T145" s="32">
        <f>+GETPIVOTDATA(" Undergrad Contact Hour FTE - Old",'FTE Pivot for regular counts'!$A$2,"State","OK","Category","10","Category2","Two-Year")</f>
        <v>0</v>
      </c>
      <c r="U145" s="8">
        <f>+GETPIVOTDATA(" Undergrad Contact Hour FTE - Old",'FTE Pivot for regular counts'!$A$2,"State","OK","Category2","Two-Year")</f>
        <v>0</v>
      </c>
      <c r="V145" s="32">
        <f>+GETPIVOTDATA(" Undergrad Contact Hour FTE - Old",'FTE Pivot for regular counts'!$A$2,"State","OK","Category","12","Category2","Technical")</f>
        <v>4046.5422222222219</v>
      </c>
      <c r="W145" s="32">
        <f>+GETPIVOTDATA(" Undergrad Contact Hour FTE - Old",'FTE Pivot for regular counts'!$A$2,"State","OK","Category","13","Category2","Technical")</f>
        <v>15930.953333333329</v>
      </c>
      <c r="X145" s="32">
        <f>+GETPIVOTDATA(" Undergrad Contact Hour FTE - Old",'FTE Pivot for regular counts'!$A$2,"State","OK","Category2","Technical")</f>
        <v>19977.49555555555</v>
      </c>
      <c r="Y145" s="32"/>
    </row>
    <row r="146" spans="1:88" ht="15" customHeight="1">
      <c r="A146" s="1" t="s">
        <v>75</v>
      </c>
      <c r="B146" s="32">
        <f>+GETPIVOTDATA(" Undergrad Contact Hour FTE - New",'FTE Pivot for regular counts'!$A$2,"State","SC","Category","7","Category2","Two-Year")</f>
        <v>0</v>
      </c>
      <c r="C146" s="32">
        <f>+GETPIVOTDATA(" Undergrad Contact Hour FTE - New",'FTE Pivot for regular counts'!$A$2,"State","SC","Category","8","Category2","Two-Year")</f>
        <v>0</v>
      </c>
      <c r="D146" s="32">
        <f>+GETPIVOTDATA(" Undergrad Contact Hour FTE - New",'FTE Pivot for regular counts'!$A$2,"State","SC","Category","9","Category2","Two-Year")</f>
        <v>0</v>
      </c>
      <c r="E146" s="32">
        <f>+GETPIVOTDATA(" Undergrad Contact Hour FTE - New",'FTE Pivot for regular counts'!$A$2,"State","SC","Category","10","Category2","Two-Year")</f>
        <v>0</v>
      </c>
      <c r="F146" s="8">
        <f>+GETPIVOTDATA(" Undergrad Contact Hour FTE - New",'FTE Pivot for regular counts'!$A$2,"State","SC","Category2","Two-Year")</f>
        <v>0</v>
      </c>
      <c r="G146" s="32">
        <f>+GETPIVOTDATA(" Undergrad Contact Hour FTE - New",'FTE Pivot for regular counts'!$A$2,"State","SC","Category","12","Category2","Technical")</f>
        <v>0</v>
      </c>
      <c r="H146" s="119">
        <f>+GETPIVOTDATA(" Undergrad Contact Hour FTE - New",'FTE Pivot for regular counts'!$A$2,"State","SC","Category","13","Category2","Technical")</f>
        <v>0</v>
      </c>
      <c r="I146" s="119">
        <f>+GETPIVOTDATA(" Undergrad Contact Hour FTE - New",'FTE Pivot for regular counts'!$A$2,"State","SC","Category2","Technical")</f>
        <v>0</v>
      </c>
      <c r="J146" s="119"/>
      <c r="K146" s="119"/>
      <c r="L146" s="73"/>
      <c r="M146" s="1"/>
      <c r="P146" s="1" t="s">
        <v>75</v>
      </c>
      <c r="Q146" s="32">
        <f>+GETPIVOTDATA(" Undergrad Contact Hour FTE - Old",'FTE Pivot for regular counts'!$A$2,"State","SC","Category","7","Category2","Two-Year")</f>
        <v>0</v>
      </c>
      <c r="R146" s="32">
        <f>+GETPIVOTDATA(" Undergrad Contact Hour FTE - Old",'FTE Pivot for regular counts'!$A$2,"State","SC","Category","8","Category2","Two-Year")</f>
        <v>0</v>
      </c>
      <c r="S146" s="32">
        <f>+GETPIVOTDATA(" Undergrad Contact Hour FTE - Old",'FTE Pivot for regular counts'!$A$2,"State","SC","Category","9","Category2","Two-Year")</f>
        <v>0</v>
      </c>
      <c r="T146" s="32">
        <f>+GETPIVOTDATA(" Undergrad Contact Hour FTE - Old",'FTE Pivot for regular counts'!$A$2,"State","SC","Category","10","Category2","Two-Year")</f>
        <v>0</v>
      </c>
      <c r="U146" s="8">
        <f>+GETPIVOTDATA(" Undergrad Contact Hour FTE - Old",'FTE Pivot for regular counts'!$A$2,"State","SC","Category2","Two-Year")</f>
        <v>0</v>
      </c>
      <c r="V146" s="32">
        <f>+GETPIVOTDATA(" Undergrad Contact Hour FTE - Old",'FTE Pivot for regular counts'!$A$2,"State","SC","Category","12","Category2","Technical")</f>
        <v>0</v>
      </c>
      <c r="W146" s="32">
        <f>+GETPIVOTDATA(" Undergrad Contact Hour FTE - Old",'FTE Pivot for regular counts'!$A$2,"State","SC","Category","13","Category2","Technical")</f>
        <v>0</v>
      </c>
      <c r="X146" s="32">
        <f>+GETPIVOTDATA(" Undergrad Contact Hour FTE - Old",'FTE Pivot for regular counts'!$A$2,"State","SC","Category2","Technical")</f>
        <v>0</v>
      </c>
      <c r="Y146" s="32"/>
    </row>
    <row r="147" spans="1:88" ht="15" customHeight="1">
      <c r="B147" s="32"/>
      <c r="C147" s="32"/>
      <c r="D147" s="32"/>
      <c r="E147" s="32"/>
      <c r="F147" s="8"/>
      <c r="G147" s="32"/>
      <c r="H147" s="119"/>
      <c r="I147" s="119"/>
      <c r="J147" s="119"/>
      <c r="K147" s="119"/>
      <c r="L147" s="73"/>
      <c r="M147" s="1"/>
      <c r="Q147" s="32"/>
      <c r="R147" s="32"/>
      <c r="S147" s="32"/>
      <c r="T147" s="32"/>
      <c r="U147" s="8"/>
      <c r="V147" s="32"/>
      <c r="W147" s="32"/>
      <c r="X147" s="32"/>
      <c r="Y147" s="32"/>
    </row>
    <row r="148" spans="1:88" ht="15" customHeight="1">
      <c r="A148" s="1" t="s">
        <v>76</v>
      </c>
      <c r="B148" s="32">
        <f>+GETPIVOTDATA(" Undergrad Contact Hour FTE - New",'FTE Pivot for regular counts'!$A$2,"State","TN","Category","7","Category2","Two-Year")</f>
        <v>0</v>
      </c>
      <c r="C148" s="32">
        <f>+GETPIVOTDATA(" Undergrad Contact Hour FTE - New",'FTE Pivot for regular counts'!$A$2,"State","TN","Category","8","Category2","Two-Year")</f>
        <v>0</v>
      </c>
      <c r="D148" s="32">
        <f>+GETPIVOTDATA(" Undergrad Contact Hour FTE - New",'FTE Pivot for regular counts'!$A$2,"State","TN","Category","9","Category2","Two-Year")</f>
        <v>0</v>
      </c>
      <c r="E148" s="32">
        <f>+GETPIVOTDATA(" Undergrad Contact Hour FTE - New",'FTE Pivot for regular counts'!$A$2,"State","TN","Category","10","Category2","Two-Year")</f>
        <v>0</v>
      </c>
      <c r="F148" s="8">
        <f>+GETPIVOTDATA(" Undergrad Contact Hour FTE - New",'FTE Pivot for regular counts'!$A$2,"State","TN","Category2","Two-Year")</f>
        <v>0</v>
      </c>
      <c r="G148" s="32">
        <f>+GETPIVOTDATA(" Undergrad Contact Hour FTE - New",'FTE Pivot for regular counts'!$A$2,"State","TN","Category","12","Category2","Technical")</f>
        <v>1086.5322222222221</v>
      </c>
      <c r="H148" s="119">
        <f>+GETPIVOTDATA(" Undergrad Contact Hour FTE - New",'FTE Pivot for regular counts'!$A$2,"State","TN","Category","13","Category2","Technical")</f>
        <v>10238.063333333332</v>
      </c>
      <c r="I148" s="119">
        <f>+GETPIVOTDATA(" Undergrad Contact Hour FTE - New",'FTE Pivot for regular counts'!$A$2,"State","TN","Category2","Technical")</f>
        <v>11324.595555555554</v>
      </c>
      <c r="J148" s="119"/>
      <c r="K148" s="119"/>
      <c r="L148" s="73"/>
      <c r="M148" s="1"/>
      <c r="P148" s="1" t="s">
        <v>76</v>
      </c>
      <c r="Q148" s="32">
        <f>+GETPIVOTDATA(" Undergrad Contact Hour FTE - Old",'FTE Pivot for regular counts'!$A$2,"State","TN","Category","7","Category2","Two-Year")</f>
        <v>0</v>
      </c>
      <c r="R148" s="32">
        <f>+GETPIVOTDATA(" Undergrad Contact Hour FTE - Old",'FTE Pivot for regular counts'!$A$2,"State","TN","Category","8","Category2","Two-Year")</f>
        <v>0</v>
      </c>
      <c r="S148" s="32">
        <f>+GETPIVOTDATA(" Undergrad Contact Hour FTE - Old",'FTE Pivot for regular counts'!$A$2,"State","TN","Category","9","Category2","Two-Year")</f>
        <v>0</v>
      </c>
      <c r="T148" s="32">
        <f>+GETPIVOTDATA(" Undergrad Contact Hour FTE - Old",'FTE Pivot for regular counts'!$A$2,"State","TN","Category","10","Category2","Two-Year")</f>
        <v>0</v>
      </c>
      <c r="U148" s="8">
        <f>+GETPIVOTDATA(" Undergrad Contact Hour FTE - Old",'FTE Pivot for regular counts'!$A$2,"State","TN","Category2","Two-Year")</f>
        <v>0</v>
      </c>
      <c r="V148" s="32">
        <f>+GETPIVOTDATA(" Undergrad Contact Hour FTE - Old",'FTE Pivot for regular counts'!$A$2,"State","TN","Category","12","Category2","Technical")</f>
        <v>1041.53</v>
      </c>
      <c r="W148" s="32">
        <f>+GETPIVOTDATA(" Undergrad Contact Hour FTE - Old",'FTE Pivot for regular counts'!$A$2,"State","TN","Category","13","Category2","Technical")</f>
        <v>10292.814444444444</v>
      </c>
      <c r="X148" s="32">
        <f>+GETPIVOTDATA(" Undergrad Contact Hour FTE - Old",'FTE Pivot for regular counts'!$A$2,"State","TN","Category2","Technical")</f>
        <v>11334.344444444445</v>
      </c>
      <c r="Y148" s="32"/>
    </row>
    <row r="149" spans="1:88" ht="15" customHeight="1">
      <c r="A149" s="1" t="s">
        <v>77</v>
      </c>
      <c r="B149" s="32">
        <f>+GETPIVOTDATA(" Undergrad Contact Hour FTE - New",'FTE Pivot for regular counts'!$A$2,"State","TX","Category","7","Category2","Two-Year")</f>
        <v>1054.4877777777779</v>
      </c>
      <c r="C149" s="32">
        <f>+GETPIVOTDATA(" Undergrad Contact Hour FTE - New",'FTE Pivot for regular counts'!$A$2,"State","TX","Category","8","Category2","Two-Year")</f>
        <v>13205.86222222222</v>
      </c>
      <c r="D149" s="32">
        <f>+GETPIVOTDATA(" Undergrad Contact Hour FTE - New",'FTE Pivot for regular counts'!$A$2,"State","TX","Category","9","Category2","Two-Year")</f>
        <v>4433.9488888888882</v>
      </c>
      <c r="E149" s="32">
        <f>+GETPIVOTDATA(" Undergrad Contact Hour FTE - New",'FTE Pivot for regular counts'!$A$2,"State","TX","Category","10","Category2","Two-Year")</f>
        <v>452.97333333333336</v>
      </c>
      <c r="F149" s="8">
        <f>+GETPIVOTDATA(" Undergrad Contact Hour FTE - New",'FTE Pivot for regular counts'!$A$2,"State","TX","Category2","Two-Year")</f>
        <v>19147.272222222222</v>
      </c>
      <c r="G149" s="32">
        <f>+GETPIVOTDATA(" Undergrad Contact Hour FTE - New",'FTE Pivot for regular counts'!$A$2,"State","TX","Category","12","Category2","Technical")</f>
        <v>0</v>
      </c>
      <c r="H149" s="119">
        <f>+GETPIVOTDATA(" Undergrad Contact Hour FTE - New",'FTE Pivot for regular counts'!$A$2,"State","TX","Category","13","Category2","Technical")</f>
        <v>0</v>
      </c>
      <c r="I149" s="119">
        <f>+GETPIVOTDATA(" Undergrad Contact Hour FTE - New",'FTE Pivot for regular counts'!$A$2,"State","TX","Category2","Technical")</f>
        <v>0</v>
      </c>
      <c r="J149" s="119"/>
      <c r="K149" s="119"/>
      <c r="L149" s="73"/>
      <c r="M149" s="1"/>
      <c r="P149" s="1" t="s">
        <v>77</v>
      </c>
      <c r="Q149" s="32">
        <f>+GETPIVOTDATA(" Undergrad Contact Hour FTE - Old",'FTE Pivot for regular counts'!$A$2,"State","TX","Category","7","Category2","Two-Year")</f>
        <v>700.74333333333334</v>
      </c>
      <c r="R149" s="32">
        <f>+GETPIVOTDATA(" Undergrad Contact Hour FTE - Old",'FTE Pivot for regular counts'!$A$2,"State","TX","Category","8","Category2","Two-Year")</f>
        <v>13315.422222222216</v>
      </c>
      <c r="S149" s="32">
        <f>+GETPIVOTDATA(" Undergrad Contact Hour FTE - Old",'FTE Pivot for regular counts'!$A$2,"State","TX","Category","9","Category2","Two-Year")</f>
        <v>4539.9011111111122</v>
      </c>
      <c r="T149" s="32">
        <f>+GETPIVOTDATA(" Undergrad Contact Hour FTE - Old",'FTE Pivot for regular counts'!$A$2,"State","TX","Category","10","Category2","Two-Year")</f>
        <v>469.93111111111108</v>
      </c>
      <c r="U149" s="8">
        <f>+GETPIVOTDATA(" Undergrad Contact Hour FTE - Old",'FTE Pivot for regular counts'!$A$2,"State","TX","Category2","Two-Year")</f>
        <v>19025.997777777775</v>
      </c>
      <c r="V149" s="32">
        <f>+GETPIVOTDATA(" Undergrad Contact Hour FTE - Old",'FTE Pivot for regular counts'!$A$2,"State","TX","Category","12","Category2","Technical")</f>
        <v>0</v>
      </c>
      <c r="W149" s="32">
        <f>+GETPIVOTDATA(" Undergrad Contact Hour FTE - Old",'FTE Pivot for regular counts'!$A$2,"State","TX","Category","13","Category2","Technical")</f>
        <v>0</v>
      </c>
      <c r="X149" s="32">
        <f>+GETPIVOTDATA(" Undergrad Contact Hour FTE - Old",'FTE Pivot for regular counts'!$A$2,"State","TX","Category2","Technical")</f>
        <v>0</v>
      </c>
      <c r="Y149" s="32"/>
    </row>
    <row r="150" spans="1:88" ht="15" customHeight="1">
      <c r="A150" s="1" t="s">
        <v>78</v>
      </c>
      <c r="B150" s="32">
        <f>+GETPIVOTDATA(" Undergrad Contact Hour FTE - New",'FTE Pivot for regular counts'!$A$2,"State","VA","Category","7","Category2","Two-Year")</f>
        <v>0</v>
      </c>
      <c r="C150" s="32">
        <f>+GETPIVOTDATA(" Undergrad Contact Hour FTE - New",'FTE Pivot for regular counts'!$A$2,"State","VA","Category","8","Category2","Two-Year")</f>
        <v>0</v>
      </c>
      <c r="D150" s="32">
        <f>+GETPIVOTDATA(" Undergrad Contact Hour FTE - New",'FTE Pivot for regular counts'!$A$2,"State","VA","Category","9","Category2","Two-Year")</f>
        <v>0</v>
      </c>
      <c r="E150" s="32">
        <f>+GETPIVOTDATA(" Undergrad Contact Hour FTE - New",'FTE Pivot for regular counts'!$A$2,"State","VA","Category","10","Category2","Two-Year")</f>
        <v>0</v>
      </c>
      <c r="F150" s="8">
        <f>+GETPIVOTDATA(" Undergrad Contact Hour FTE - New",'FTE Pivot for regular counts'!$A$2,"State","VA","Category2","Two-Year")</f>
        <v>0</v>
      </c>
      <c r="G150" s="32">
        <f>+GETPIVOTDATA(" Undergrad Contact Hour FTE - New",'FTE Pivot for regular counts'!$A$2,"State","VA","Category","12","Category2","Technical")</f>
        <v>0</v>
      </c>
      <c r="H150" s="119">
        <f>+GETPIVOTDATA(" Undergrad Contact Hour FTE - New",'FTE Pivot for regular counts'!$A$2,"State","VA","Category","13","Category2","Technical")</f>
        <v>0</v>
      </c>
      <c r="I150" s="119">
        <f>+GETPIVOTDATA(" Undergrad Contact Hour FTE - New",'FTE Pivot for regular counts'!$A$2,"State","VA","Category2","Technical")</f>
        <v>0</v>
      </c>
      <c r="J150" s="119"/>
      <c r="K150" s="119"/>
      <c r="L150" s="73"/>
      <c r="M150" s="1"/>
      <c r="P150" s="1" t="s">
        <v>78</v>
      </c>
      <c r="Q150" s="32">
        <f>+GETPIVOTDATA(" Undergrad Contact Hour FTE - Old",'FTE Pivot for regular counts'!$A$2,"State","VA","Category","7","Category2","Two-Year")</f>
        <v>0</v>
      </c>
      <c r="R150" s="32">
        <f>+GETPIVOTDATA(" Undergrad Contact Hour FTE - Old",'FTE Pivot for regular counts'!$A$2,"State","VA","Category","8","Category2","Two-Year")</f>
        <v>0</v>
      </c>
      <c r="S150" s="32">
        <f>+GETPIVOTDATA(" Undergrad Contact Hour FTE - Old",'FTE Pivot for regular counts'!$A$2,"State","VA","Category","9","Category2","Two-Year")</f>
        <v>0</v>
      </c>
      <c r="T150" s="32">
        <f>+GETPIVOTDATA(" Undergrad Contact Hour FTE - Old",'FTE Pivot for regular counts'!$A$2,"State","VA","Category","10","Category2","Two-Year")</f>
        <v>0</v>
      </c>
      <c r="U150" s="8">
        <f>+GETPIVOTDATA(" Undergrad Contact Hour FTE - Old",'FTE Pivot for regular counts'!$A$2,"State","VA","Category2","Two-Year")</f>
        <v>0</v>
      </c>
      <c r="V150" s="32">
        <f>+GETPIVOTDATA(" Undergrad Contact Hour FTE - Old",'FTE Pivot for regular counts'!$A$2,"State","VA","Category","12","Category2","Technical")</f>
        <v>0</v>
      </c>
      <c r="W150" s="32">
        <f>+GETPIVOTDATA(" Undergrad Contact Hour FTE - Old",'FTE Pivot for regular counts'!$A$2,"State","VA","Category","13","Category2","Technical")</f>
        <v>0</v>
      </c>
      <c r="X150" s="32">
        <f>+GETPIVOTDATA(" Undergrad Contact Hour FTE - Old",'FTE Pivot for regular counts'!$A$2,"State","VA","Category2","Technical")</f>
        <v>0</v>
      </c>
      <c r="Y150" s="32"/>
    </row>
    <row r="151" spans="1:88" ht="15" customHeight="1">
      <c r="A151" s="3" t="s">
        <v>79</v>
      </c>
      <c r="B151" s="9">
        <f>+GETPIVOTDATA(" Undergrad Contact Hour FTE - New",'FTE Pivot for regular counts'!$A$2,"State","WV","Category","7","Category2","Two-Year")</f>
        <v>0</v>
      </c>
      <c r="C151" s="9">
        <f>+GETPIVOTDATA(" Undergrad Contact Hour FTE - New",'FTE Pivot for regular counts'!$A$2,"State","WV","Category","8","Category2","Two-Year")</f>
        <v>0</v>
      </c>
      <c r="D151" s="9">
        <f>+GETPIVOTDATA(" Undergrad Contact Hour FTE - New",'FTE Pivot for regular counts'!$A$2,"State","WV","Category","9","Category2","Two-Year")</f>
        <v>0</v>
      </c>
      <c r="E151" s="9">
        <f>+GETPIVOTDATA(" Undergrad Contact Hour FTE - New",'FTE Pivot for regular counts'!$A$2,"State","WV","Category","10","Category2","Two-Year")</f>
        <v>0</v>
      </c>
      <c r="F151" s="10">
        <f>+GETPIVOTDATA(" Undergrad Contact Hour FTE - New",'FTE Pivot for regular counts'!$A$2,"State","WV","Category2","Two-Year")</f>
        <v>0</v>
      </c>
      <c r="G151" s="9">
        <f>+GETPIVOTDATA(" Undergrad Contact Hour FTE - New",'FTE Pivot for regular counts'!$A$2,"State","WV","Category","12","Category2","Technical")</f>
        <v>0</v>
      </c>
      <c r="H151" s="120">
        <f>+GETPIVOTDATA(" Undergrad Contact Hour FTE - New",'FTE Pivot for regular counts'!$A$2,"State","WV","Category","13","Category2","Technical")</f>
        <v>0</v>
      </c>
      <c r="I151" s="120">
        <f>+GETPIVOTDATA(" Undergrad Contact Hour FTE - New",'FTE Pivot for regular counts'!$A$2,"State","WV","Category2","Technical")</f>
        <v>0</v>
      </c>
      <c r="J151" s="119"/>
      <c r="K151" s="119"/>
      <c r="L151" s="73"/>
      <c r="M151" s="1"/>
      <c r="P151" s="3" t="s">
        <v>79</v>
      </c>
      <c r="Q151" s="9">
        <f>+GETPIVOTDATA(" Undergrad Contact Hour FTE - Old",'FTE Pivot for regular counts'!$A$2,"State","WV","Category","7","Category2","Two-Year")</f>
        <v>0</v>
      </c>
      <c r="R151" s="9">
        <f>+GETPIVOTDATA(" Undergrad Contact Hour FTE - Old",'FTE Pivot for regular counts'!$A$2,"State","WV","Category","8","Category2","Two-Year")</f>
        <v>0</v>
      </c>
      <c r="S151" s="9">
        <f>+GETPIVOTDATA(" Undergrad Contact Hour FTE - Old",'FTE Pivot for regular counts'!$A$2,"State","WV","Category","9","Category2","Two-Year")</f>
        <v>0</v>
      </c>
      <c r="T151" s="9">
        <f>+GETPIVOTDATA(" Undergrad Contact Hour FTE - Old",'FTE Pivot for regular counts'!$A$2,"State","WV","Category","10","Category2","Two-Year")</f>
        <v>0</v>
      </c>
      <c r="U151" s="10">
        <f>+GETPIVOTDATA(" Undergrad Contact Hour FTE - Old",'FTE Pivot for regular counts'!$A$2,"State","WV","Category2","Two-Year")</f>
        <v>0</v>
      </c>
      <c r="V151" s="9">
        <f>+GETPIVOTDATA(" Undergrad Contact Hour FTE - Old",'FTE Pivot for regular counts'!$A$2,"State","WV","Category","12","Category2","Technical")</f>
        <v>0</v>
      </c>
      <c r="W151" s="9">
        <f>+GETPIVOTDATA(" Undergrad Contact Hour FTE - Old",'FTE Pivot for regular counts'!$A$2,"State","WV","Category","13","Category2","Technical")</f>
        <v>0</v>
      </c>
      <c r="X151" s="9">
        <f>+GETPIVOTDATA(" Undergrad Contact Hour FTE - Old",'FTE Pivot for regular counts'!$A$2,"State","WV","Category2","Technical")</f>
        <v>0</v>
      </c>
      <c r="Y151" s="32"/>
    </row>
    <row r="152" spans="1:88" s="25" customFormat="1" ht="36" customHeight="1">
      <c r="A152" s="834" t="s">
        <v>966</v>
      </c>
      <c r="B152" s="834"/>
      <c r="C152" s="834"/>
      <c r="D152" s="834"/>
      <c r="E152" s="834"/>
      <c r="F152" s="834"/>
      <c r="G152" s="834"/>
      <c r="H152" s="834"/>
      <c r="I152" s="834"/>
      <c r="J152" s="408"/>
      <c r="K152" s="103"/>
      <c r="L152" s="103"/>
    </row>
    <row r="153" spans="1:88" ht="10.5" customHeight="1">
      <c r="I153" s="833" t="s">
        <v>982</v>
      </c>
      <c r="J153" s="169"/>
      <c r="K153" s="163"/>
      <c r="L153" s="163"/>
      <c r="M153" s="1"/>
    </row>
    <row r="154" spans="1:88" ht="18">
      <c r="A154" s="115" t="s">
        <v>168</v>
      </c>
      <c r="B154" s="115"/>
      <c r="C154" s="115"/>
      <c r="D154" s="115"/>
      <c r="E154" s="115"/>
      <c r="F154" s="115"/>
      <c r="G154" s="115"/>
      <c r="H154" s="115"/>
      <c r="I154" s="115"/>
      <c r="J154" s="115"/>
      <c r="K154" s="115"/>
      <c r="L154" s="169"/>
      <c r="M154" s="1"/>
      <c r="P154" s="4"/>
      <c r="Q154" s="4"/>
      <c r="R154" s="4"/>
      <c r="S154" s="4"/>
      <c r="T154" s="4"/>
      <c r="U154" s="4"/>
      <c r="V154" s="4"/>
      <c r="W154" s="4"/>
      <c r="X154" s="4"/>
      <c r="Y154" s="4"/>
      <c r="Z154" s="4"/>
      <c r="AA154" s="4"/>
      <c r="AB154" s="4"/>
      <c r="AC154" s="4"/>
      <c r="AD154" s="228"/>
      <c r="AE154" s="146"/>
      <c r="AF154" s="146"/>
      <c r="AG154" s="146"/>
      <c r="AH154" s="146"/>
      <c r="AI154" s="4"/>
      <c r="AT154" s="4"/>
      <c r="AU154" s="4"/>
      <c r="AV154" s="25"/>
      <c r="AW154" s="25"/>
      <c r="AX154" s="25"/>
      <c r="AY154" s="25"/>
      <c r="AZ154" s="25"/>
      <c r="BA154" s="25"/>
      <c r="BB154" s="25"/>
      <c r="BC154" s="25"/>
      <c r="BD154" s="25"/>
      <c r="BE154" s="25"/>
      <c r="BF154" s="25"/>
      <c r="BG154" s="25"/>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row>
    <row r="155" spans="1:88" s="4" customFormat="1" ht="15.75" customHeight="1">
      <c r="A155" s="21"/>
      <c r="B155" s="21"/>
      <c r="C155" s="21"/>
      <c r="D155" s="21"/>
      <c r="E155" s="21"/>
      <c r="F155" s="21"/>
      <c r="G155" s="21"/>
      <c r="H155" s="105"/>
      <c r="I155" s="21"/>
      <c r="J155" s="105"/>
      <c r="K155" s="105"/>
      <c r="L155" s="177"/>
      <c r="P155" s="1"/>
      <c r="Q155" s="1"/>
      <c r="R155" s="1"/>
      <c r="S155" s="1"/>
      <c r="T155" s="1"/>
      <c r="U155" s="1"/>
      <c r="V155" s="1"/>
      <c r="W155" s="1"/>
      <c r="X155" s="1"/>
      <c r="Y155" s="1"/>
      <c r="Z155" s="1"/>
      <c r="AA155" s="1"/>
      <c r="AB155" s="1"/>
      <c r="AC155" s="146"/>
      <c r="AD155" s="1"/>
      <c r="AE155" s="1"/>
      <c r="AF155" s="1"/>
      <c r="AG155" s="1"/>
      <c r="AH155" s="1"/>
      <c r="AI155" s="146"/>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row>
    <row r="156" spans="1:88" ht="18.75" customHeight="1">
      <c r="A156" s="43" t="s">
        <v>36</v>
      </c>
      <c r="B156" s="43"/>
      <c r="C156" s="43"/>
      <c r="D156" s="43"/>
      <c r="E156" s="43"/>
      <c r="F156" s="43"/>
      <c r="G156" s="43"/>
      <c r="H156" s="43"/>
      <c r="I156" s="43"/>
      <c r="J156" s="43"/>
      <c r="K156" s="43"/>
      <c r="L156" s="105"/>
      <c r="M156" s="1"/>
      <c r="AC156" s="100"/>
      <c r="AD156" s="100"/>
      <c r="AE156" s="100"/>
      <c r="AF156" s="100"/>
      <c r="AG156" s="100"/>
      <c r="AH156" s="100"/>
      <c r="AI156" s="100"/>
      <c r="AN156" s="25"/>
      <c r="AO156" s="25"/>
      <c r="AP156" s="25"/>
      <c r="AQ156" s="25"/>
      <c r="AR156" s="228" t="s">
        <v>985</v>
      </c>
      <c r="AY156" s="228" t="s">
        <v>985</v>
      </c>
      <c r="BE156" s="25"/>
      <c r="BF156" s="25"/>
      <c r="BG156" s="25"/>
    </row>
    <row r="157" spans="1:88" ht="15.75">
      <c r="A157" s="43" t="s">
        <v>970</v>
      </c>
      <c r="B157" s="43"/>
      <c r="C157" s="43"/>
      <c r="D157" s="43"/>
      <c r="E157" s="43"/>
      <c r="F157" s="43"/>
      <c r="G157" s="43"/>
      <c r="H157" s="43"/>
      <c r="I157" s="43"/>
      <c r="J157" s="43"/>
      <c r="K157" s="43"/>
      <c r="L157" s="132"/>
      <c r="M157" s="1"/>
      <c r="Q157" s="126" t="s">
        <v>38</v>
      </c>
      <c r="AC157" s="100"/>
      <c r="AD157" s="100"/>
      <c r="AE157" s="100"/>
      <c r="AF157" s="100"/>
      <c r="AG157" s="100"/>
      <c r="AH157" s="100"/>
      <c r="AI157" s="100"/>
      <c r="AR157" s="857" t="s">
        <v>144</v>
      </c>
      <c r="AY157" s="857" t="s">
        <v>38</v>
      </c>
    </row>
    <row r="158" spans="1:88" ht="15.75">
      <c r="B158" s="2"/>
      <c r="C158" s="2"/>
      <c r="D158" s="2"/>
      <c r="E158" s="171"/>
      <c r="F158" s="2"/>
      <c r="G158" s="171"/>
      <c r="H158" s="202"/>
      <c r="I158" s="171"/>
      <c r="J158" s="202"/>
      <c r="K158" s="202"/>
      <c r="L158" s="132"/>
      <c r="M158" s="199"/>
      <c r="P158" s="3"/>
      <c r="Q158" s="236" t="s">
        <v>153</v>
      </c>
      <c r="R158" s="3"/>
      <c r="S158" s="3"/>
      <c r="T158" s="3"/>
      <c r="U158" s="3"/>
      <c r="V158" s="3"/>
      <c r="W158" s="3"/>
      <c r="X158" s="3"/>
      <c r="Y158" s="3"/>
      <c r="Z158" s="3"/>
      <c r="AA158" s="3"/>
      <c r="AC158" s="100"/>
      <c r="AD158" s="235" t="s">
        <v>39</v>
      </c>
      <c r="AE158" s="100"/>
      <c r="AF158" s="100"/>
      <c r="AG158" s="100"/>
      <c r="AH158" s="100"/>
      <c r="AI158" s="100"/>
      <c r="AJ158" s="461"/>
      <c r="AK158" s="450" t="s">
        <v>39</v>
      </c>
      <c r="AL158" s="449"/>
      <c r="AM158" s="449"/>
      <c r="AN158" s="449"/>
      <c r="AO158" s="449"/>
      <c r="AP158" s="449"/>
      <c r="AQ158" s="25"/>
      <c r="AR158" s="3"/>
      <c r="AS158" s="3" t="s">
        <v>986</v>
      </c>
      <c r="AT158" s="3">
        <v>1</v>
      </c>
      <c r="AU158" s="3">
        <v>2</v>
      </c>
      <c r="AV158" s="3">
        <v>3</v>
      </c>
      <c r="AW158" s="3" t="s">
        <v>30</v>
      </c>
      <c r="AY158" s="3"/>
      <c r="AZ158" s="3" t="s">
        <v>986</v>
      </c>
      <c r="BA158" s="3">
        <v>1</v>
      </c>
      <c r="BB158" s="3">
        <v>2</v>
      </c>
      <c r="BC158" s="3">
        <v>3</v>
      </c>
      <c r="BD158" s="3" t="s">
        <v>30</v>
      </c>
      <c r="BE158" s="25"/>
      <c r="BF158" s="25"/>
      <c r="BG158" s="25"/>
    </row>
    <row r="159" spans="1:88" ht="12.75" customHeight="1" thickBot="1">
      <c r="A159" s="409"/>
      <c r="B159" s="410" t="s">
        <v>140</v>
      </c>
      <c r="C159" s="65"/>
      <c r="D159" s="411">
        <v>1</v>
      </c>
      <c r="F159" s="206">
        <v>2</v>
      </c>
      <c r="H159" s="206">
        <v>3</v>
      </c>
      <c r="J159" s="206" t="s">
        <v>30</v>
      </c>
      <c r="K159" s="204"/>
      <c r="L159" s="191"/>
      <c r="M159" s="191"/>
      <c r="N159" s="25"/>
      <c r="O159" s="25"/>
      <c r="P159" s="36"/>
      <c r="Q159" s="36"/>
      <c r="R159" s="36" t="s">
        <v>156</v>
      </c>
      <c r="S159" s="36"/>
      <c r="T159" s="233" t="s">
        <v>154</v>
      </c>
      <c r="U159" s="36"/>
      <c r="V159" s="233">
        <v>2</v>
      </c>
      <c r="W159" s="36"/>
      <c r="X159" s="233">
        <v>3</v>
      </c>
      <c r="Y159" s="36"/>
      <c r="Z159" s="233" t="s">
        <v>0</v>
      </c>
      <c r="AA159" s="36"/>
      <c r="AC159" s="100"/>
      <c r="AD159" s="135" t="s">
        <v>63</v>
      </c>
      <c r="AE159" s="135"/>
      <c r="AF159" s="136"/>
      <c r="AG159" s="136"/>
      <c r="AH159" s="136"/>
      <c r="AI159" s="136"/>
      <c r="AJ159" s="462"/>
      <c r="AK159" s="451" t="s">
        <v>63</v>
      </c>
      <c r="AL159" s="451"/>
      <c r="AM159" s="452"/>
      <c r="AN159" s="452"/>
      <c r="AO159" s="452"/>
      <c r="AP159" s="452"/>
    </row>
    <row r="160" spans="1:88" ht="78" customHeight="1" thickBot="1">
      <c r="A160" s="203"/>
      <c r="B160" s="204" t="s">
        <v>143</v>
      </c>
      <c r="C160" s="166" t="s">
        <v>22</v>
      </c>
      <c r="D160" s="205" t="s">
        <v>143</v>
      </c>
      <c r="E160" s="166" t="s">
        <v>22</v>
      </c>
      <c r="F160" s="205" t="s">
        <v>143</v>
      </c>
      <c r="G160" s="166" t="s">
        <v>22</v>
      </c>
      <c r="H160" s="205" t="s">
        <v>143</v>
      </c>
      <c r="I160" s="166" t="s">
        <v>22</v>
      </c>
      <c r="J160" s="205" t="s">
        <v>143</v>
      </c>
      <c r="K160" s="166" t="s">
        <v>22</v>
      </c>
      <c r="Q160" s="3"/>
      <c r="R160" s="232" t="s">
        <v>2</v>
      </c>
      <c r="S160" s="232" t="s">
        <v>4</v>
      </c>
      <c r="T160" s="234" t="s">
        <v>2</v>
      </c>
      <c r="U160" s="232" t="s">
        <v>4</v>
      </c>
      <c r="V160" s="234" t="s">
        <v>2</v>
      </c>
      <c r="W160" s="232" t="s">
        <v>4</v>
      </c>
      <c r="X160" s="234" t="s">
        <v>2</v>
      </c>
      <c r="Y160" s="232" t="s">
        <v>4</v>
      </c>
      <c r="Z160" s="234" t="s">
        <v>2</v>
      </c>
      <c r="AA160" s="232" t="s">
        <v>4</v>
      </c>
      <c r="AC160" s="310" t="s">
        <v>144</v>
      </c>
      <c r="AD160" s="141" t="s">
        <v>140</v>
      </c>
      <c r="AE160" s="448">
        <v>1</v>
      </c>
      <c r="AF160" s="142">
        <v>2</v>
      </c>
      <c r="AG160" s="142">
        <v>3</v>
      </c>
      <c r="AH160" s="141" t="s">
        <v>27</v>
      </c>
      <c r="AI160" s="142" t="s">
        <v>30</v>
      </c>
      <c r="AJ160" s="463" t="s">
        <v>38</v>
      </c>
      <c r="AK160" s="453" t="s">
        <v>140</v>
      </c>
      <c r="AL160" s="454">
        <v>1</v>
      </c>
      <c r="AM160" s="454">
        <v>2</v>
      </c>
      <c r="AN160" s="454">
        <v>3</v>
      </c>
      <c r="AO160" s="454" t="s">
        <v>27</v>
      </c>
      <c r="AP160" s="454" t="s">
        <v>30</v>
      </c>
      <c r="AQ160" s="25"/>
      <c r="AR160" s="3"/>
      <c r="AS160" s="851" t="s">
        <v>984</v>
      </c>
      <c r="AT160" s="851" t="s">
        <v>984</v>
      </c>
      <c r="AU160" s="851" t="s">
        <v>984</v>
      </c>
      <c r="AV160" s="851" t="s">
        <v>984</v>
      </c>
      <c r="AW160" s="851" t="s">
        <v>984</v>
      </c>
      <c r="AY160" s="3"/>
      <c r="AZ160" s="851" t="s">
        <v>984</v>
      </c>
      <c r="BA160" s="851" t="s">
        <v>984</v>
      </c>
      <c r="BB160" s="851" t="s">
        <v>984</v>
      </c>
      <c r="BC160" s="851" t="s">
        <v>984</v>
      </c>
      <c r="BD160" s="851" t="s">
        <v>984</v>
      </c>
      <c r="BE160" s="25"/>
      <c r="BF160" s="25"/>
      <c r="BG160" s="25"/>
    </row>
    <row r="161" spans="1:88" ht="12.75" customHeight="1">
      <c r="A161" s="1" t="s">
        <v>64</v>
      </c>
      <c r="B161" s="7">
        <f>+'NEW-Tables 80-86'!B101+'NEW-Tables 80-86'!B131</f>
        <v>259129.48888888894</v>
      </c>
      <c r="D161" s="173">
        <f>+'NEW-Tables 80-86'!C101+'NEW-Tables 80-86'!C131</f>
        <v>965921.16</v>
      </c>
      <c r="F161" s="173">
        <f>+'NEW-Tables 80-86'!D101+'NEW-Tables 80-86'!D131</f>
        <v>421230.75111111108</v>
      </c>
      <c r="H161" s="175">
        <f>+'NEW-Tables 80-86'!E101+'NEW-Tables 80-86'!E131</f>
        <v>124156.29222222221</v>
      </c>
      <c r="J161" s="173">
        <f>+'NEW-Tables 80-86'!F101+'NEW-Tables 80-86'!F131</f>
        <v>1770437.6922222222</v>
      </c>
      <c r="K161" s="1"/>
      <c r="Q161" s="1" t="s">
        <v>64</v>
      </c>
      <c r="R161" s="433"/>
      <c r="S161" s="422">
        <f>C161-R161</f>
        <v>0</v>
      </c>
      <c r="T161" s="240"/>
      <c r="U161" s="422">
        <f>E161-T161</f>
        <v>0</v>
      </c>
      <c r="V161" s="240"/>
      <c r="W161" s="422">
        <f>G161-V161</f>
        <v>0</v>
      </c>
      <c r="X161" s="240"/>
      <c r="Y161" s="422">
        <f>I161-X161</f>
        <v>0</v>
      </c>
      <c r="Z161" s="240"/>
      <c r="AA161" s="422">
        <f>K161-Z161</f>
        <v>0</v>
      </c>
      <c r="AC161" s="100" t="s">
        <v>64</v>
      </c>
      <c r="AD161" s="80">
        <f t="shared" ref="AD161:AI161" si="24">SUM(AD163:AD181)</f>
        <v>259129.48888888894</v>
      </c>
      <c r="AE161" s="80">
        <f t="shared" si="24"/>
        <v>890297.59888888896</v>
      </c>
      <c r="AF161" s="80">
        <f t="shared" si="24"/>
        <v>409768.17</v>
      </c>
      <c r="AG161" s="80">
        <f t="shared" si="24"/>
        <v>117753.57222222221</v>
      </c>
      <c r="AH161" s="80">
        <f t="shared" si="24"/>
        <v>87642.162222222221</v>
      </c>
      <c r="AI161" s="80">
        <f t="shared" si="24"/>
        <v>1770437.6922222222</v>
      </c>
      <c r="AJ161" s="462" t="s">
        <v>64</v>
      </c>
      <c r="AK161" s="455">
        <f t="shared" ref="AK161:AP161" si="25">SUM(AK163:AK181)</f>
        <v>266105.24444444443</v>
      </c>
      <c r="AL161" s="455">
        <f t="shared" si="25"/>
        <v>850650.40711111121</v>
      </c>
      <c r="AM161" s="455">
        <f t="shared" si="25"/>
        <v>386529.90988888888</v>
      </c>
      <c r="AN161" s="455">
        <f t="shared" si="25"/>
        <v>122916.79488888888</v>
      </c>
      <c r="AO161" s="455">
        <f t="shared" si="25"/>
        <v>89093.266666666663</v>
      </c>
      <c r="AP161" s="455">
        <f t="shared" si="25"/>
        <v>1843113.3230000001</v>
      </c>
      <c r="AR161" s="1" t="s">
        <v>64</v>
      </c>
      <c r="AY161" s="1" t="s">
        <v>64</v>
      </c>
      <c r="BH161" s="75"/>
      <c r="BI161" s="75"/>
      <c r="BJ161" s="75"/>
    </row>
    <row r="162" spans="1:88" ht="12.75" customHeight="1">
      <c r="A162" s="262"/>
      <c r="B162" s="263"/>
      <c r="C162" s="258" t="s">
        <v>178</v>
      </c>
      <c r="D162" s="259" t="s">
        <v>28</v>
      </c>
      <c r="E162" s="258" t="s">
        <v>179</v>
      </c>
      <c r="F162" s="259" t="s">
        <v>28</v>
      </c>
      <c r="G162" s="260" t="s">
        <v>180</v>
      </c>
      <c r="H162" s="261" t="s">
        <v>28</v>
      </c>
      <c r="I162" s="260" t="s">
        <v>181</v>
      </c>
      <c r="J162" s="261" t="s">
        <v>28</v>
      </c>
      <c r="K162" s="258" t="s">
        <v>182</v>
      </c>
      <c r="L162" s="4" t="s">
        <v>28</v>
      </c>
      <c r="P162" s="75"/>
      <c r="R162" s="429" t="s">
        <v>207</v>
      </c>
      <c r="S162" s="434"/>
      <c r="T162" s="430" t="s">
        <v>215</v>
      </c>
      <c r="U162" s="434"/>
      <c r="V162" s="430" t="s">
        <v>216</v>
      </c>
      <c r="W162" s="434"/>
      <c r="X162" s="430" t="s">
        <v>217</v>
      </c>
      <c r="Y162" s="434"/>
      <c r="Z162" s="430" t="s">
        <v>218</v>
      </c>
      <c r="AA162" s="434"/>
      <c r="AB162" s="75"/>
      <c r="AC162" s="100"/>
      <c r="AD162" s="80"/>
      <c r="AE162" s="80"/>
      <c r="AF162" s="80"/>
      <c r="AG162" s="80"/>
      <c r="AH162" s="80"/>
      <c r="AI162" s="80"/>
      <c r="AJ162" s="462"/>
      <c r="AK162" s="455"/>
      <c r="AL162" s="456"/>
      <c r="AM162" s="456"/>
      <c r="AN162" s="449"/>
      <c r="AO162" s="449"/>
      <c r="AP162" s="449"/>
      <c r="AQ162" s="25"/>
      <c r="BE162" s="25"/>
      <c r="BF162" s="25"/>
      <c r="BG162" s="2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row>
    <row r="163" spans="1:88" s="75" customFormat="1" ht="15" customHeight="1">
      <c r="A163" s="1" t="s">
        <v>65</v>
      </c>
      <c r="B163" s="7">
        <f>+'NEW-Tables 80-86'!B103+'NEW-Tables 80-86'!B133</f>
        <v>0</v>
      </c>
      <c r="C163" s="96">
        <f>+GETPIVOTDATA("Sum of New-HS % of Total",'Pivot-HS Student % of Undergrad'!$A$3,"State","AL","Category",7,"Category2","Two-Year")</f>
        <v>0</v>
      </c>
      <c r="D163" s="173">
        <f>+'NEW-Tables 80-86'!C103+'NEW-Tables 80-86'!C133</f>
        <v>22900.433333333334</v>
      </c>
      <c r="E163" s="96">
        <f>+GETPIVOTDATA("Sum of New-HS % of Total",'Pivot-HS Student % of Undergrad'!$A$3,"State","AL","Category",8,"Category2","Two-Year")</f>
        <v>3.0602041009413213E-2</v>
      </c>
      <c r="F163" s="173">
        <f>+'NEW-Tables 80-86'!D103+'NEW-Tables 80-86'!D133</f>
        <v>32209.466666666667</v>
      </c>
      <c r="G163" s="96">
        <f>+GETPIVOTDATA("Sum of New-HS % of Total",'Pivot-HS Student % of Undergrad'!$A$3,"State","AL","Category",9,"Category2","Two-Year")</f>
        <v>2.776616398491541E-2</v>
      </c>
      <c r="H163" s="173">
        <f>+'NEW-Tables 80-86'!E103+'NEW-Tables 80-86'!E133</f>
        <v>8428.0999999999985</v>
      </c>
      <c r="I163" s="96">
        <f>+GETPIVOTDATA("Sum of New-HS % of Total",'Pivot-HS Student % of Undergrad'!$A$3,"State","AL","Category",10,"Category2","Two-Year")</f>
        <v>2.8681830226662396E-2</v>
      </c>
      <c r="J163" s="173">
        <f>+'NEW-Tables 80-86'!F103+'NEW-Tables 80-86'!F133</f>
        <v>63538</v>
      </c>
      <c r="K163" s="96">
        <f>+GETPIVOTDATA("Sum of New-HS % of Total",'Pivot-HS Student % of Undergrad'!$A$3,"State","AL","Category2","Group2")</f>
        <v>2.890973380759021E-2</v>
      </c>
      <c r="L163" s="75" t="s">
        <v>28</v>
      </c>
      <c r="P163" s="1"/>
      <c r="Q163" s="1" t="s">
        <v>65</v>
      </c>
      <c r="R163" s="239">
        <f>+GETPIVOTDATA("Sum of Old-HS % of Total",'Pivot-HS Student % of Undergrad'!$A$3,"State","AL","Category",7,"Category2","Two-Year")</f>
        <v>0</v>
      </c>
      <c r="S163" s="470">
        <f>(C163-R163)*100</f>
        <v>0</v>
      </c>
      <c r="T163" s="240">
        <f>+GETPIVOTDATA("Sum of Old-HS % of Total",'Pivot-HS Student % of Undergrad'!$A$3,"State","AL","Category",8,"Category2","Two-Year")</f>
        <v>3.0873495002310399E-2</v>
      </c>
      <c r="U163" s="470">
        <f>(E163-T163)*100</f>
        <v>-2.7145399289718597E-2</v>
      </c>
      <c r="V163" s="240">
        <f>+GETPIVOTDATA("Sum of Old-HS % of Total",'Pivot-HS Student % of Undergrad'!$A$3,"State","AL","Category",9,"Category2","Two-Year")</f>
        <v>2.3735873416464388E-2</v>
      </c>
      <c r="W163" s="470">
        <f>(G163-V163)*100</f>
        <v>0.40302905684510215</v>
      </c>
      <c r="X163" s="240">
        <f>+GETPIVOTDATA("Sum of Old-HS % of Total",'Pivot-HS Student % of Undergrad'!$A$3,"State","AL","Category",10,"Category2","Two-Year")</f>
        <v>2.8071010720292847E-2</v>
      </c>
      <c r="Y163" s="470">
        <f>(I163-X163)*100</f>
        <v>6.1081950636954901E-2</v>
      </c>
      <c r="Z163" s="240">
        <f>+GETPIVOTDATA("Sum of Old-HS % of Total",'Pivot-HS Student % of Undergrad'!$A$3,"State","AL","Category2","Two-Year")</f>
        <v>2.6882869304166966E-2</v>
      </c>
      <c r="AA163" s="470">
        <f>(K163-Z163)*100</f>
        <v>0.20268645034232438</v>
      </c>
      <c r="AB163" s="1"/>
      <c r="AC163" s="100" t="s">
        <v>65</v>
      </c>
      <c r="AD163" s="80">
        <f>+B163</f>
        <v>0</v>
      </c>
      <c r="AE163" s="80">
        <f>+D163</f>
        <v>22900.433333333334</v>
      </c>
      <c r="AF163" s="80">
        <f>+F163</f>
        <v>32209.466666666667</v>
      </c>
      <c r="AG163" s="80">
        <f>+H163</f>
        <v>8428.0999999999985</v>
      </c>
      <c r="AH163" s="80"/>
      <c r="AI163" s="80">
        <f>+J163</f>
        <v>63538</v>
      </c>
      <c r="AJ163" s="462" t="s">
        <v>65</v>
      </c>
      <c r="AK163" s="455">
        <f>+'NEW-Tables 80-86'!R103+'NEW-Tables 80-86'!Q133</f>
        <v>0</v>
      </c>
      <c r="AL163" s="455">
        <f>+'NEW-Tables 80-86'!S103+'NEW-Tables 80-86'!R133</f>
        <v>24454.633333333335</v>
      </c>
      <c r="AM163" s="455">
        <f>+'NEW-Tables 80-86'!T103+'NEW-Tables 80-86'!S133</f>
        <v>34235.100000000006</v>
      </c>
      <c r="AN163" s="455">
        <f>+'NEW-Tables 80-86'!U103+'NEW-Tables 80-86'!T133</f>
        <v>8541.4333333333343</v>
      </c>
      <c r="AO163" s="455"/>
      <c r="AP163" s="457">
        <f>+'NEW-Tables 80-86'!V103+'NEW-Tables 80-86'!U133</f>
        <v>67231.166666666672</v>
      </c>
      <c r="AQ163" s="1"/>
      <c r="AR163" s="1" t="s">
        <v>65</v>
      </c>
      <c r="AS163" s="858">
        <f>C163*100</f>
        <v>0</v>
      </c>
      <c r="AT163" s="858">
        <f>E163*100</f>
        <v>3.0602041009413212</v>
      </c>
      <c r="AU163" s="858">
        <f>G163*100</f>
        <v>2.7766163984915408</v>
      </c>
      <c r="AV163" s="858">
        <f>I163*100</f>
        <v>2.8681830226662397</v>
      </c>
      <c r="AW163" s="858">
        <f>K163*100</f>
        <v>2.890973380759021</v>
      </c>
      <c r="AY163" s="1" t="s">
        <v>65</v>
      </c>
      <c r="AZ163" s="858">
        <f>R163*100</f>
        <v>0</v>
      </c>
      <c r="BA163" s="858">
        <f>T163*100</f>
        <v>3.0873495002310398</v>
      </c>
      <c r="BB163" s="858">
        <f>V163*100</f>
        <v>2.3735873416464388</v>
      </c>
      <c r="BC163" s="858">
        <f>X163*100</f>
        <v>2.8071010720292846</v>
      </c>
      <c r="BD163" s="858">
        <f>Z163*100</f>
        <v>2.6882869304166968</v>
      </c>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row>
    <row r="164" spans="1:88" ht="15" customHeight="1">
      <c r="A164" s="1" t="s">
        <v>66</v>
      </c>
      <c r="B164" s="32">
        <f>+'NEW-Tables 80-86'!B104+'NEW-Tables 80-86'!B134</f>
        <v>0</v>
      </c>
      <c r="C164" s="96">
        <f>+GETPIVOTDATA("Sum of New-HS % of Total",'Pivot-HS Student % of Undergrad'!$A$3,"State","AR","Category",7,"Category2","Two-Year")</f>
        <v>0</v>
      </c>
      <c r="D164" s="173">
        <f>+'NEW-Tables 80-86'!C104+'NEW-Tables 80-86'!C134</f>
        <v>13442.133333333333</v>
      </c>
      <c r="E164" s="96">
        <f>+GETPIVOTDATA("Sum of New-HS % of Total",'Pivot-HS Student % of Undergrad'!$A$3,"State","AR","Category",8,"Category2","Two-Year")</f>
        <v>2.3746230757022695E-2</v>
      </c>
      <c r="F164" s="173">
        <f>+'NEW-Tables 80-86'!D104+'NEW-Tables 80-86'!D134</f>
        <v>5431.4</v>
      </c>
      <c r="G164" s="96">
        <f>+GETPIVOTDATA("Sum of New-HS % of Total",'Pivot-HS Student % of Undergrad'!$A$3,"State","AR","Category",9,"Category2","Two-Year")</f>
        <v>8.8896662616145622E-2</v>
      </c>
      <c r="H164" s="173">
        <f>+'NEW-Tables 80-86'!E104+'NEW-Tables 80-86'!E134</f>
        <v>21940.73333333333</v>
      </c>
      <c r="I164" s="96">
        <f>+GETPIVOTDATA("Sum of New-HS % of Total",'Pivot-HS Student % of Undergrad'!$A$3,"State","AR","Category",10,"Category2","Two-Year")</f>
        <v>9.0802191357930911E-2</v>
      </c>
      <c r="J164" s="173">
        <f>+'NEW-Tables 80-86'!F104+'NEW-Tables 80-86'!F134</f>
        <v>40814.266666666663</v>
      </c>
      <c r="K164" s="96">
        <f>+GETPIVOTDATA("Sum of New-HS % of Total",'Pivot-HS Student % of Undergrad'!$A$3,"State","AR","Category2","Group2")</f>
        <v>6.8463805140032738E-2</v>
      </c>
      <c r="Q164" s="4" t="s">
        <v>66</v>
      </c>
      <c r="R164" s="239">
        <f>+GETPIVOTDATA("Sum of Old-HS % of Total",'Pivot-HS Student % of Undergrad'!$A$3,"State","AR","Category",7,"Category2","Two-Year")</f>
        <v>0</v>
      </c>
      <c r="S164" s="470">
        <f t="shared" ref="S164:S181" si="26">(C164-R164)*100</f>
        <v>0</v>
      </c>
      <c r="T164" s="240">
        <f>+GETPIVOTDATA("Sum of Old-HS % of Total",'Pivot-HS Student % of Undergrad'!$A$3,"State","AR","Category",8,"Category2","Two-Year")</f>
        <v>1.7979474157292823E-2</v>
      </c>
      <c r="U164" s="470">
        <f t="shared" ref="U164:U181" si="27">(E164-T164)*100</f>
        <v>0.57667565997298709</v>
      </c>
      <c r="V164" s="240">
        <f>+GETPIVOTDATA("Sum of Old-HS % of Total",'Pivot-HS Student % of Undergrad'!$A$3,"State","AR","Category",9,"Category2","Two-Year")</f>
        <v>6.2153356101773805E-2</v>
      </c>
      <c r="W164" s="470">
        <f t="shared" ref="W164:W181" si="28">(G164-V164)*100</f>
        <v>2.6743306514371818</v>
      </c>
      <c r="X164" s="240">
        <f>+GETPIVOTDATA("Sum of Old-HS % of Total",'Pivot-HS Student % of Undergrad'!$A$3,"State","AR","Category",10,"Category2","Two-Year")</f>
        <v>6.2525601396645938E-2</v>
      </c>
      <c r="Y164" s="470">
        <f t="shared" ref="Y164:Y181" si="29">(I164-X164)*100</f>
        <v>2.8276589961284975</v>
      </c>
      <c r="Z164" s="240">
        <f>+GETPIVOTDATA("Sum of Old-HS % of Total",'Pivot-HS Student % of Undergrad'!$A$3,"State","AR","Category2","Two-Year")</f>
        <v>4.7480290268791685E-2</v>
      </c>
      <c r="AA164" s="470">
        <f t="shared" ref="AA164:AA181" si="30">(K164-Z164)*100</f>
        <v>2.0983514871241051</v>
      </c>
      <c r="AB164" s="270"/>
      <c r="AC164" s="100" t="s">
        <v>66</v>
      </c>
      <c r="AD164" s="80">
        <f>+B164</f>
        <v>0</v>
      </c>
      <c r="AE164" s="80">
        <f>+D164</f>
        <v>13442.133333333333</v>
      </c>
      <c r="AF164" s="80">
        <f>+F164</f>
        <v>5431.4</v>
      </c>
      <c r="AG164" s="80">
        <f>+H164</f>
        <v>21940.73333333333</v>
      </c>
      <c r="AH164" s="80"/>
      <c r="AI164" s="80">
        <f>+J164</f>
        <v>40814.266666666663</v>
      </c>
      <c r="AJ164" s="462" t="s">
        <v>66</v>
      </c>
      <c r="AK164" s="456">
        <f>+'NEW-Tables 80-86'!R104+'NEW-Tables 80-86'!Q134</f>
        <v>0</v>
      </c>
      <c r="AL164" s="456">
        <f>+'NEW-Tables 80-86'!S104+'NEW-Tables 80-86'!R134</f>
        <v>14203.233333333334</v>
      </c>
      <c r="AM164" s="456">
        <f>+'NEW-Tables 80-86'!T104+'NEW-Tables 80-86'!S134</f>
        <v>5943.9</v>
      </c>
      <c r="AN164" s="456">
        <f>+'NEW-Tables 80-86'!U104+'NEW-Tables 80-86'!T134</f>
        <v>22052.833333333336</v>
      </c>
      <c r="AO164" s="456"/>
      <c r="AP164" s="457">
        <f>+'NEW-Tables 80-86'!V104+'NEW-Tables 80-86'!U134</f>
        <v>42199.966666666667</v>
      </c>
      <c r="AQ164" s="25"/>
      <c r="AR164" s="4" t="s">
        <v>66</v>
      </c>
      <c r="AS164" s="858">
        <f t="shared" ref="AS164:AS181" si="31">C164*100</f>
        <v>0</v>
      </c>
      <c r="AT164" s="858">
        <f t="shared" ref="AT164:AT181" si="32">E164*100</f>
        <v>2.3746230757022695</v>
      </c>
      <c r="AU164" s="858">
        <f t="shared" ref="AU164:AU181" si="33">G164*100</f>
        <v>8.889666261614563</v>
      </c>
      <c r="AV164" s="858">
        <f t="shared" ref="AV164:AV181" si="34">I164*100</f>
        <v>9.0802191357930919</v>
      </c>
      <c r="AW164" s="858">
        <f t="shared" ref="AW164:AW181" si="35">K164*100</f>
        <v>6.8463805140032736</v>
      </c>
      <c r="AY164" s="4" t="s">
        <v>66</v>
      </c>
      <c r="AZ164" s="858">
        <f t="shared" ref="AZ164:AZ181" si="36">R164*100</f>
        <v>0</v>
      </c>
      <c r="BA164" s="858">
        <f t="shared" ref="BA164:BA181" si="37">T164*100</f>
        <v>1.7979474157292823</v>
      </c>
      <c r="BB164" s="858">
        <f t="shared" ref="BB164:BB181" si="38">V164*100</f>
        <v>6.2153356101773802</v>
      </c>
      <c r="BC164" s="858">
        <f t="shared" ref="BC164:BC181" si="39">X164*100</f>
        <v>6.2525601396645936</v>
      </c>
      <c r="BD164" s="858">
        <f t="shared" ref="BD164:BD181" si="40">Z164*100</f>
        <v>4.7480290268791681</v>
      </c>
      <c r="BE164" s="25"/>
      <c r="BF164" s="25"/>
      <c r="BG164" s="25"/>
    </row>
    <row r="165" spans="1:88" ht="15" customHeight="1">
      <c r="A165" s="1" t="s">
        <v>102</v>
      </c>
      <c r="B165" s="32">
        <f>+'NEW-Tables 80-86'!B105+'NEW-Tables 80-86'!B135</f>
        <v>0</v>
      </c>
      <c r="C165" s="96">
        <f>+GETPIVOTDATA("Sum of New-HS % of Total",'Pivot-HS Student % of Undergrad'!$A$3,"State","DE","Category",7,"Category2","Two-Year")</f>
        <v>0</v>
      </c>
      <c r="D165" s="173">
        <f>+'NEW-Tables 80-86'!C105+'NEW-Tables 80-86'!C135</f>
        <v>4970.666666666667</v>
      </c>
      <c r="E165" s="96">
        <f>+GETPIVOTDATA("Sum of New-HS % of Total",'Pivot-HS Student % of Undergrad'!$A$3,"State","DE","Category",8,"Category2","Two-Year")</f>
        <v>0</v>
      </c>
      <c r="F165" s="173">
        <f>+'NEW-Tables 80-86'!D105+'NEW-Tables 80-86'!D135</f>
        <v>5424.5666666666675</v>
      </c>
      <c r="G165" s="96">
        <f>+GETPIVOTDATA("Sum of New-HS % of Total",'Pivot-HS Student % of Undergrad'!$A$3,"State","DE","Category",9,"Category2","Two-Year")</f>
        <v>0</v>
      </c>
      <c r="H165" s="173">
        <f>+'NEW-Tables 80-86'!E105+'NEW-Tables 80-86'!E135</f>
        <v>0</v>
      </c>
      <c r="I165" s="96">
        <f>+GETPIVOTDATA("Sum of New-HS % of Total",'Pivot-HS Student % of Undergrad'!$A$3,"State","DE","Category",10,"Category2","Two-Year")</f>
        <v>0</v>
      </c>
      <c r="J165" s="173">
        <f>+'NEW-Tables 80-86'!F105+'NEW-Tables 80-86'!F135</f>
        <v>10395.233333333334</v>
      </c>
      <c r="K165" s="96">
        <f>+GETPIVOTDATA("Sum of New-HS % of Total",'Pivot-HS Student % of Undergrad'!$A$3,"State","DE","Category2","Group2")</f>
        <v>0</v>
      </c>
      <c r="Q165" s="1" t="s">
        <v>102</v>
      </c>
      <c r="R165" s="239">
        <f>+GETPIVOTDATA("Sum of Old-HS % of Total",'Pivot-HS Student % of Undergrad'!$A$3,"State","DE","Category",7,"Category2","Two-Year")</f>
        <v>0</v>
      </c>
      <c r="S165" s="470">
        <f t="shared" si="26"/>
        <v>0</v>
      </c>
      <c r="T165" s="240">
        <f>+GETPIVOTDATA("Sum of Old-HS % of Total",'Pivot-HS Student % of Undergrad'!$A$3,"State","DE","Category",8,"Category2","Two-Year")</f>
        <v>0</v>
      </c>
      <c r="U165" s="470">
        <f t="shared" si="27"/>
        <v>0</v>
      </c>
      <c r="V165" s="240">
        <f>+GETPIVOTDATA("Sum of Old-HS % of Total",'Pivot-HS Student % of Undergrad'!$A$3,"State","DE","Category",9,"Category2","Two-Year")</f>
        <v>0</v>
      </c>
      <c r="W165" s="470">
        <f t="shared" si="28"/>
        <v>0</v>
      </c>
      <c r="X165" s="240">
        <f>+GETPIVOTDATA("Sum of Old-HS % of Total",'Pivot-HS Student % of Undergrad'!$A$3,"State","DE","Category",10,"Category2","Two-Year")</f>
        <v>0</v>
      </c>
      <c r="Y165" s="470">
        <f t="shared" si="29"/>
        <v>0</v>
      </c>
      <c r="Z165" s="240">
        <f>+GETPIVOTDATA("Sum of Old-HS % of Total",'Pivot-HS Student % of Undergrad'!$A$3,"State","DE","Category2","Two-Year")</f>
        <v>0</v>
      </c>
      <c r="AA165" s="470">
        <f t="shared" si="30"/>
        <v>0</v>
      </c>
      <c r="AC165" s="100" t="s">
        <v>102</v>
      </c>
      <c r="AD165" s="80">
        <f>+B165</f>
        <v>0</v>
      </c>
      <c r="AE165" s="80">
        <f>+D165</f>
        <v>4970.666666666667</v>
      </c>
      <c r="AF165" s="80">
        <f>+F165</f>
        <v>5424.5666666666675</v>
      </c>
      <c r="AG165" s="80">
        <f>+H165</f>
        <v>0</v>
      </c>
      <c r="AH165" s="80"/>
      <c r="AI165" s="80">
        <f>+J165</f>
        <v>10395.233333333334</v>
      </c>
      <c r="AJ165" s="462" t="s">
        <v>102</v>
      </c>
      <c r="AK165" s="456">
        <f>+'NEW-Tables 80-86'!R105+'NEW-Tables 80-86'!Q135</f>
        <v>0</v>
      </c>
      <c r="AL165" s="456">
        <f>+'NEW-Tables 80-86'!S105+'NEW-Tables 80-86'!R135</f>
        <v>5113.5333333333338</v>
      </c>
      <c r="AM165" s="456">
        <f>+'NEW-Tables 80-86'!T105+'NEW-Tables 80-86'!S135</f>
        <v>5661.4333333333334</v>
      </c>
      <c r="AN165" s="456">
        <f>+'NEW-Tables 80-86'!U105+'NEW-Tables 80-86'!T135</f>
        <v>0</v>
      </c>
      <c r="AO165" s="456"/>
      <c r="AP165" s="457">
        <f>+'NEW-Tables 80-86'!V105+'NEW-Tables 80-86'!U135</f>
        <v>10774.966666666667</v>
      </c>
      <c r="AR165" s="1" t="s">
        <v>102</v>
      </c>
      <c r="AS165" s="858">
        <f t="shared" si="31"/>
        <v>0</v>
      </c>
      <c r="AT165" s="858">
        <f t="shared" si="32"/>
        <v>0</v>
      </c>
      <c r="AU165" s="858">
        <f t="shared" si="33"/>
        <v>0</v>
      </c>
      <c r="AV165" s="858">
        <f t="shared" si="34"/>
        <v>0</v>
      </c>
      <c r="AW165" s="858">
        <f t="shared" si="35"/>
        <v>0</v>
      </c>
      <c r="AY165" s="1" t="s">
        <v>102</v>
      </c>
      <c r="AZ165" s="858">
        <f t="shared" si="36"/>
        <v>0</v>
      </c>
      <c r="BA165" s="858">
        <f t="shared" si="37"/>
        <v>0</v>
      </c>
      <c r="BB165" s="858">
        <f t="shared" si="38"/>
        <v>0</v>
      </c>
      <c r="BC165" s="858">
        <f t="shared" si="39"/>
        <v>0</v>
      </c>
      <c r="BD165" s="858">
        <f t="shared" si="40"/>
        <v>0</v>
      </c>
    </row>
    <row r="166" spans="1:88" ht="15" customHeight="1">
      <c r="A166" s="1" t="s">
        <v>67</v>
      </c>
      <c r="B166" s="32">
        <f>+'NEW-Tables 80-86'!B106+'NEW-Tables 80-86'!B136</f>
        <v>212066.73444444448</v>
      </c>
      <c r="C166" s="96">
        <f>+GETPIVOTDATA("Sum of New-HS % of Total",'Pivot-HS Student % of Undergrad'!$A$3,"State","FL","Category",7,"Category2","Two-Year")</f>
        <v>2.3621136984983613E-2</v>
      </c>
      <c r="D166" s="173">
        <f>+'NEW-Tables 80-86'!C106+'NEW-Tables 80-86'!C136</f>
        <v>120199.23333333332</v>
      </c>
      <c r="E166" s="96">
        <f>+GETPIVOTDATA("Sum of New-HS % of Total",'Pivot-HS Student % of Undergrad'!$A$3,"State","FL","Category",8,"Category2","Two-Year")</f>
        <v>3.1998177264255662E-2</v>
      </c>
      <c r="F166" s="173">
        <f>+'NEW-Tables 80-86'!D106+'NEW-Tables 80-86'!D136</f>
        <v>11548.334444444445</v>
      </c>
      <c r="G166" s="96">
        <f>+GETPIVOTDATA("Sum of New-HS % of Total",'Pivot-HS Student % of Undergrad'!$A$3,"State","FL","Category",9,"Category2","Two-Year")</f>
        <v>9.1242734511741266E-2</v>
      </c>
      <c r="H166" s="173">
        <f>+'NEW-Tables 80-86'!E106+'NEW-Tables 80-86'!E136</f>
        <v>1644.6388888888889</v>
      </c>
      <c r="I166" s="96">
        <f>+GETPIVOTDATA("Sum of New-HS % of Total",'Pivot-HS Student % of Undergrad'!$A$3,"State","FL","Category",10,"Category2","Two-Year")</f>
        <v>3.214993804213135E-2</v>
      </c>
      <c r="J166" s="173">
        <f>+'NEW-Tables 80-86'!F106+'NEW-Tables 80-86'!F136</f>
        <v>345458.94111111108</v>
      </c>
      <c r="K166" s="96">
        <f>+GETPIVOTDATA("Sum of New-HS % of Total",'Pivot-HS Student % of Undergrad'!$A$3,"State","FL","Category2","Group2")</f>
        <v>2.9537547793523296E-2</v>
      </c>
      <c r="Q166" s="1" t="s">
        <v>67</v>
      </c>
      <c r="R166" s="239">
        <f>+GETPIVOTDATA("Sum of Old-HS % of Total",'Pivot-HS Student % of Undergrad'!$A$3,"State","FL","Category",7,"Category2","Two-Year")</f>
        <v>2.3469719015277946E-2</v>
      </c>
      <c r="S166" s="470">
        <f t="shared" si="26"/>
        <v>1.5141796970566737E-2</v>
      </c>
      <c r="T166" s="435">
        <f>+GETPIVOTDATA("Sum of Old-HS % of Total",'Pivot-HS Student % of Undergrad'!$A$3,"State","FL","Category",8,"Category2","Two-Year")</f>
        <v>3.1169082264631071E-2</v>
      </c>
      <c r="U166" s="470">
        <f t="shared" si="27"/>
        <v>8.2909499962459041E-2</v>
      </c>
      <c r="V166" s="240">
        <f>+GETPIVOTDATA("Sum of Old-HS % of Total",'Pivot-HS Student % of Undergrad'!$A$3,"State","FL","Category",9,"Category2","Two-Year")</f>
        <v>9.2125049147693594E-2</v>
      </c>
      <c r="W166" s="470">
        <f t="shared" si="28"/>
        <v>-8.8231463595232762E-2</v>
      </c>
      <c r="X166" s="240">
        <f>+GETPIVOTDATA("Sum of Old-HS % of Total",'Pivot-HS Student % of Undergrad'!$A$3,"State","FL","Category",10,"Category2","Two-Year")</f>
        <v>3.1505905166874994E-2</v>
      </c>
      <c r="Y166" s="470">
        <f t="shared" si="29"/>
        <v>6.4403287525635622E-2</v>
      </c>
      <c r="Z166" s="240">
        <f>+GETPIVOTDATA("Sum of Old-HS % of Total",'Pivot-HS Student % of Undergrad'!$A$3,"State","FL","Category2","Two-Year")</f>
        <v>2.9517162843105637E-2</v>
      </c>
      <c r="AA166" s="470">
        <f t="shared" si="30"/>
        <v>2.0384950417659531E-3</v>
      </c>
      <c r="AC166" s="100" t="s">
        <v>67</v>
      </c>
      <c r="AD166" s="80">
        <f>+B166</f>
        <v>212066.73444444448</v>
      </c>
      <c r="AE166" s="80">
        <f>+D166</f>
        <v>120199.23333333332</v>
      </c>
      <c r="AF166" s="80">
        <f>+F166</f>
        <v>11548.334444444445</v>
      </c>
      <c r="AG166" s="80">
        <f>+H166</f>
        <v>1644.6388888888889</v>
      </c>
      <c r="AH166" s="80"/>
      <c r="AI166" s="80">
        <f>+J166</f>
        <v>345458.94111111108</v>
      </c>
      <c r="AJ166" s="462" t="s">
        <v>67</v>
      </c>
      <c r="AK166" s="456">
        <f>+'NEW-Tables 80-86'!R106+'NEW-Tables 80-86'!Q136</f>
        <v>218782.73444444442</v>
      </c>
      <c r="AL166" s="456">
        <f>+'NEW-Tables 80-86'!S106+'NEW-Tables 80-86'!R136</f>
        <v>126150.89555555554</v>
      </c>
      <c r="AM166" s="456">
        <f>+'NEW-Tables 80-86'!T106+'NEW-Tables 80-86'!S136</f>
        <v>12293.132222222222</v>
      </c>
      <c r="AN166" s="456">
        <f>+'NEW-Tables 80-86'!U106+'NEW-Tables 80-86'!T136</f>
        <v>1777.817777777778</v>
      </c>
      <c r="AO166" s="456"/>
      <c r="AP166" s="457">
        <f>+'NEW-Tables 80-86'!V106+'NEW-Tables 80-86'!U136</f>
        <v>359004.58</v>
      </c>
      <c r="AQ166" s="25"/>
      <c r="AR166" s="1" t="s">
        <v>67</v>
      </c>
      <c r="AS166" s="858">
        <f t="shared" si="31"/>
        <v>2.3621136984983613</v>
      </c>
      <c r="AT166" s="858">
        <f t="shared" si="32"/>
        <v>3.1998177264255663</v>
      </c>
      <c r="AU166" s="858">
        <f t="shared" si="33"/>
        <v>9.1242734511741261</v>
      </c>
      <c r="AV166" s="858">
        <f t="shared" si="34"/>
        <v>3.214993804213135</v>
      </c>
      <c r="AW166" s="858">
        <f t="shared" si="35"/>
        <v>2.9537547793523298</v>
      </c>
      <c r="AY166" s="1" t="s">
        <v>67</v>
      </c>
      <c r="AZ166" s="858">
        <f t="shared" si="36"/>
        <v>2.3469719015277946</v>
      </c>
      <c r="BA166" s="858">
        <f t="shared" si="37"/>
        <v>3.1169082264631069</v>
      </c>
      <c r="BB166" s="858">
        <f t="shared" si="38"/>
        <v>9.2125049147693598</v>
      </c>
      <c r="BC166" s="858">
        <f t="shared" si="39"/>
        <v>3.1505905166874992</v>
      </c>
      <c r="BD166" s="858">
        <f t="shared" si="40"/>
        <v>2.9517162843105638</v>
      </c>
      <c r="BE166" s="25"/>
      <c r="BF166" s="25"/>
      <c r="BG166" s="25"/>
    </row>
    <row r="167" spans="1:88" ht="15" customHeight="1">
      <c r="B167" s="32"/>
      <c r="C167" s="96"/>
      <c r="D167" s="173"/>
      <c r="E167" s="96"/>
      <c r="F167" s="173"/>
      <c r="G167" s="96"/>
      <c r="H167" s="173"/>
      <c r="I167" s="96"/>
      <c r="J167" s="173"/>
      <c r="K167" s="96"/>
      <c r="R167" s="239"/>
      <c r="S167" s="470"/>
      <c r="T167" s="435"/>
      <c r="U167" s="470"/>
      <c r="V167" s="240"/>
      <c r="W167" s="470"/>
      <c r="X167" s="240"/>
      <c r="Y167" s="470"/>
      <c r="Z167" s="240"/>
      <c r="AA167" s="470"/>
      <c r="AC167" s="100"/>
      <c r="AD167" s="80"/>
      <c r="AE167" s="80"/>
      <c r="AF167" s="80"/>
      <c r="AG167" s="80"/>
      <c r="AH167" s="80"/>
      <c r="AI167" s="80"/>
      <c r="AJ167" s="462"/>
      <c r="AK167" s="456"/>
      <c r="AL167" s="456"/>
      <c r="AM167" s="456"/>
      <c r="AN167" s="456"/>
      <c r="AO167" s="456"/>
      <c r="AP167" s="457"/>
      <c r="AQ167" s="25"/>
      <c r="AS167" s="858">
        <f t="shared" si="31"/>
        <v>0</v>
      </c>
      <c r="AT167" s="858">
        <f t="shared" si="32"/>
        <v>0</v>
      </c>
      <c r="AU167" s="858">
        <f t="shared" si="33"/>
        <v>0</v>
      </c>
      <c r="AV167" s="858">
        <f t="shared" si="34"/>
        <v>0</v>
      </c>
      <c r="AW167" s="858">
        <f t="shared" si="35"/>
        <v>0</v>
      </c>
      <c r="AZ167" s="858">
        <f t="shared" si="36"/>
        <v>0</v>
      </c>
      <c r="BA167" s="858">
        <f t="shared" si="37"/>
        <v>0</v>
      </c>
      <c r="BB167" s="858">
        <f t="shared" si="38"/>
        <v>0</v>
      </c>
      <c r="BC167" s="858">
        <f t="shared" si="39"/>
        <v>0</v>
      </c>
      <c r="BD167" s="858">
        <f t="shared" si="40"/>
        <v>0</v>
      </c>
      <c r="BE167" s="25"/>
      <c r="BF167" s="25"/>
      <c r="BG167" s="25"/>
    </row>
    <row r="168" spans="1:88" ht="15" customHeight="1">
      <c r="A168" s="1" t="s">
        <v>68</v>
      </c>
      <c r="B168" s="32">
        <f>+'NEW-Tables 80-86'!B108+'NEW-Tables 80-86'!B138</f>
        <v>8326.9666666666672</v>
      </c>
      <c r="C168" s="96">
        <f>+GETPIVOTDATA("Sum of New-HS % of Total",'Pivot-HS Student % of Undergrad'!$A$3,"State","GA","Category",7,"Category2","Two-Year")</f>
        <v>2.1400349867298617E-2</v>
      </c>
      <c r="D168" s="173">
        <f>+'NEW-Tables 80-86'!C108+'NEW-Tables 80-86'!C138</f>
        <v>15720.066666666668</v>
      </c>
      <c r="E168" s="96">
        <f>+GETPIVOTDATA("Sum of New-HS % of Total",'Pivot-HS Student % of Undergrad'!$A$3,"State","GA","Category",8,"Category2","Two-Year")</f>
        <v>2.7005822706434663E-2</v>
      </c>
      <c r="F168" s="173">
        <f>+'NEW-Tables 80-86'!D108+'NEW-Tables 80-86'!D138</f>
        <v>18111.633333333335</v>
      </c>
      <c r="G168" s="96">
        <f>+GETPIVOTDATA("Sum of New-HS % of Total",'Pivot-HS Student % of Undergrad'!$A$3,"State","GA","Category",9,"Category2","Two-Year")</f>
        <v>1.3276917782125301E-2</v>
      </c>
      <c r="H168" s="173">
        <f>+'NEW-Tables 80-86'!E108+'NEW-Tables 80-86'!E138</f>
        <v>0</v>
      </c>
      <c r="I168" s="96">
        <f>+GETPIVOTDATA("Sum of New-HS % of Total",'Pivot-HS Student % of Undergrad'!$A$3,"State","GA","Category",10,"Category2","Two-Year")</f>
        <v>0</v>
      </c>
      <c r="J168" s="173">
        <f>+'NEW-Tables 80-86'!F108+'NEW-Tables 80-86'!F138</f>
        <v>42158.666666666672</v>
      </c>
      <c r="K168" s="96">
        <f>+GETPIVOTDATA("Sum of New-HS % of Total",'Pivot-HS Student % of Undergrad'!$A$3,"State","GA","Category2","Group2")</f>
        <v>2.0000632531073089E-2</v>
      </c>
      <c r="Q168" s="1" t="s">
        <v>68</v>
      </c>
      <c r="R168" s="239">
        <f>+GETPIVOTDATA("Sum of Old-HS % of Total",'Pivot-HS Student % of Undergrad'!$A$3,"State","GA","Category",7,"Category2","Two-Year")</f>
        <v>1.5971118796149174E-2</v>
      </c>
      <c r="S168" s="470">
        <f t="shared" si="26"/>
        <v>0.5429231071149444</v>
      </c>
      <c r="T168" s="240">
        <f>+GETPIVOTDATA("Sum of Old-HS % of Total",'Pivot-HS Student % of Undergrad'!$A$3,"State","GA","Category",8,"Category2","Two-Year")</f>
        <v>2.1289135106219003E-2</v>
      </c>
      <c r="U168" s="470">
        <f t="shared" si="27"/>
        <v>0.57166876002156597</v>
      </c>
      <c r="V168" s="240">
        <f>+GETPIVOTDATA("Sum of Old-HS % of Total",'Pivot-HS Student % of Undergrad'!$A$3,"State","GA","Category",9,"Category2","Two-Year")</f>
        <v>1.1127329995333397E-2</v>
      </c>
      <c r="W168" s="470">
        <f t="shared" si="28"/>
        <v>0.21495877867919039</v>
      </c>
      <c r="X168" s="240">
        <f>+GETPIVOTDATA("Sum of Old-HS % of Total",'Pivot-HS Student % of Undergrad'!$A$3,"State","GA","Category",10,"Category2","Two-Year")</f>
        <v>0</v>
      </c>
      <c r="Y168" s="470">
        <f t="shared" si="29"/>
        <v>0</v>
      </c>
      <c r="Z168" s="240">
        <f>+GETPIVOTDATA("Sum of Old-HS % of Total",'Pivot-HS Student % of Undergrad'!$A$3,"State","GA","Category2","Two-Year")</f>
        <v>1.603839316995748E-2</v>
      </c>
      <c r="AA168" s="470">
        <f t="shared" si="30"/>
        <v>0.39622393611156093</v>
      </c>
      <c r="AC168" s="100" t="s">
        <v>68</v>
      </c>
      <c r="AD168" s="80">
        <f>+B168</f>
        <v>8326.9666666666672</v>
      </c>
      <c r="AE168" s="80">
        <f>+D168</f>
        <v>15720.066666666668</v>
      </c>
      <c r="AF168" s="80">
        <f>+F168</f>
        <v>18111.633333333335</v>
      </c>
      <c r="AG168" s="80">
        <f>+H168</f>
        <v>0</v>
      </c>
      <c r="AH168" s="80"/>
      <c r="AI168" s="80">
        <f>+J168</f>
        <v>42158.666666666672</v>
      </c>
      <c r="AJ168" s="462" t="s">
        <v>68</v>
      </c>
      <c r="AK168" s="456">
        <f>+'NEW-Tables 80-86'!R108+'NEW-Tables 80-86'!Q138</f>
        <v>8559.2000000000007</v>
      </c>
      <c r="AL168" s="456">
        <f>+'NEW-Tables 80-86'!S108+'NEW-Tables 80-86'!R138</f>
        <v>18381.833333333332</v>
      </c>
      <c r="AM168" s="456">
        <f>+'NEW-Tables 80-86'!T108+'NEW-Tables 80-86'!S138</f>
        <v>19535.983333333334</v>
      </c>
      <c r="AN168" s="456">
        <f>+'NEW-Tables 80-86'!U108+'NEW-Tables 80-86'!T138</f>
        <v>0</v>
      </c>
      <c r="AO168" s="456"/>
      <c r="AP168" s="457">
        <f>+'NEW-Tables 80-86'!V108+'NEW-Tables 80-86'!U138</f>
        <v>46477.016666666663</v>
      </c>
      <c r="AQ168" s="25"/>
      <c r="AR168" s="1" t="s">
        <v>68</v>
      </c>
      <c r="AS168" s="858">
        <f t="shared" si="31"/>
        <v>2.1400349867298618</v>
      </c>
      <c r="AT168" s="858">
        <f t="shared" si="32"/>
        <v>2.7005822706434661</v>
      </c>
      <c r="AU168" s="858">
        <f t="shared" si="33"/>
        <v>1.3276917782125301</v>
      </c>
      <c r="AV168" s="858">
        <f t="shared" si="34"/>
        <v>0</v>
      </c>
      <c r="AW168" s="858">
        <f t="shared" si="35"/>
        <v>2.0000632531073088</v>
      </c>
      <c r="AY168" s="1" t="s">
        <v>68</v>
      </c>
      <c r="AZ168" s="858">
        <f t="shared" si="36"/>
        <v>1.5971118796149173</v>
      </c>
      <c r="BA168" s="858">
        <f t="shared" si="37"/>
        <v>2.1289135106219002</v>
      </c>
      <c r="BB168" s="858">
        <f t="shared" si="38"/>
        <v>1.1127329995333397</v>
      </c>
      <c r="BC168" s="858">
        <f t="shared" si="39"/>
        <v>0</v>
      </c>
      <c r="BD168" s="858">
        <f t="shared" si="40"/>
        <v>1.6038393169957481</v>
      </c>
      <c r="BE168" s="25"/>
      <c r="BF168" s="25"/>
      <c r="BG168" s="25"/>
    </row>
    <row r="169" spans="1:88" ht="15" customHeight="1">
      <c r="A169" s="1" t="s">
        <v>69</v>
      </c>
      <c r="B169" s="32">
        <f>+'NEW-Tables 80-86'!B109+'NEW-Tables 80-86'!B139</f>
        <v>0</v>
      </c>
      <c r="C169" s="96">
        <f>+GETPIVOTDATA("Sum of New-HS % of Total",'Pivot-HS Student % of Undergrad'!$A$3,"State","KY","Category",7,"Category2","Two-Year")</f>
        <v>0</v>
      </c>
      <c r="D169" s="173">
        <f>+'NEW-Tables 80-86'!C109+'NEW-Tables 80-86'!C139</f>
        <v>15588.466666666667</v>
      </c>
      <c r="E169" s="96">
        <f>+GETPIVOTDATA("Sum of New-HS % of Total",'Pivot-HS Student % of Undergrad'!$A$3,"State","KY","Category",8,"Category2","Two-Year")</f>
        <v>4.1406681007753597E-2</v>
      </c>
      <c r="F169" s="173">
        <f>+'NEW-Tables 80-86'!D109+'NEW-Tables 80-86'!D139</f>
        <v>31886.366666666665</v>
      </c>
      <c r="G169" s="96">
        <f>+GETPIVOTDATA("Sum of New-HS % of Total",'Pivot-HS Student % of Undergrad'!$A$3,"State","KY","Category",9,"Category2","Two-Year")</f>
        <v>5.2629598229546382E-2</v>
      </c>
      <c r="H169" s="173">
        <f>+'NEW-Tables 80-86'!E109+'NEW-Tables 80-86'!E139</f>
        <v>1303.7666666666667</v>
      </c>
      <c r="I169" s="96">
        <f>+GETPIVOTDATA("Sum of New-HS % of Total",'Pivot-HS Student % of Undergrad'!$A$3,"State","KY","Category",10,"Category2","Two-Year")</f>
        <v>4.2032060951601773E-2</v>
      </c>
      <c r="J169" s="173">
        <f>+'NEW-Tables 80-86'!F109+'NEW-Tables 80-86'!F139</f>
        <v>48778.6</v>
      </c>
      <c r="K169" s="96">
        <f>+GETPIVOTDATA("Sum of New-HS % of Total",'Pivot-HS Student % of Undergrad'!$A$3,"State","KY","Category2","Group2")</f>
        <v>4.8759770336445352E-2</v>
      </c>
      <c r="Q169" s="1" t="s">
        <v>69</v>
      </c>
      <c r="R169" s="239">
        <f>+GETPIVOTDATA("Sum of Old-HS % of Total",'Pivot-HS Student % of Undergrad'!$A$3,"State","KY","Category",7,"Category2","Two-Year")</f>
        <v>0</v>
      </c>
      <c r="S169" s="470">
        <f t="shared" si="26"/>
        <v>0</v>
      </c>
      <c r="T169" s="240">
        <f>+GETPIVOTDATA("Sum of Old-HS % of Total",'Pivot-HS Student % of Undergrad'!$A$3,"State","KY","Category",8,"Category2","Two-Year")</f>
        <v>3.4406654199781832E-2</v>
      </c>
      <c r="U169" s="470">
        <f t="shared" si="27"/>
        <v>0.70000268079717654</v>
      </c>
      <c r="V169" s="240">
        <f>+GETPIVOTDATA("Sum of Old-HS % of Total",'Pivot-HS Student % of Undergrad'!$A$3,"State","KY","Category",9,"Category2","Two-Year")</f>
        <v>5.4808691909101245E-2</v>
      </c>
      <c r="W169" s="470">
        <f t="shared" si="28"/>
        <v>-0.21790936795548638</v>
      </c>
      <c r="X169" s="240">
        <f>+GETPIVOTDATA("Sum of Old-HS % of Total",'Pivot-HS Student % of Undergrad'!$A$3,"State","KY","Category",10,"Category2","Two-Year")</f>
        <v>4.7444586920681445E-2</v>
      </c>
      <c r="Y169" s="470">
        <f t="shared" si="29"/>
        <v>-0.54125259690796723</v>
      </c>
      <c r="Z169" s="240">
        <f>+GETPIVOTDATA("Sum of Old-HS % of Total",'Pivot-HS Student % of Undergrad'!$A$3,"State","KY","Category2","Two-Year")</f>
        <v>4.7809389807631358E-2</v>
      </c>
      <c r="AA169" s="470">
        <f t="shared" si="30"/>
        <v>9.5038052881399326E-2</v>
      </c>
      <c r="AC169" s="100" t="s">
        <v>69</v>
      </c>
      <c r="AD169" s="80">
        <f>+B169</f>
        <v>0</v>
      </c>
      <c r="AE169" s="80">
        <f>+D169</f>
        <v>15588.466666666667</v>
      </c>
      <c r="AF169" s="80">
        <f>+F169</f>
        <v>31886.366666666665</v>
      </c>
      <c r="AG169" s="80">
        <f>+H169</f>
        <v>1303.7666666666667</v>
      </c>
      <c r="AH169" s="80"/>
      <c r="AI169" s="80">
        <f>+J169</f>
        <v>48778.6</v>
      </c>
      <c r="AJ169" s="462" t="s">
        <v>69</v>
      </c>
      <c r="AK169" s="456">
        <f>+'NEW-Tables 80-86'!R109+'NEW-Tables 80-86'!Q139</f>
        <v>0</v>
      </c>
      <c r="AL169" s="456">
        <f>+'NEW-Tables 80-86'!S109+'NEW-Tables 80-86'!R139</f>
        <v>17112</v>
      </c>
      <c r="AM169" s="456">
        <f>+'NEW-Tables 80-86'!T109+'NEW-Tables 80-86'!S139</f>
        <v>32833.599999999999</v>
      </c>
      <c r="AN169" s="456">
        <f>+'NEW-Tables 80-86'!U109+'NEW-Tables 80-86'!T139</f>
        <v>1273.7666666666667</v>
      </c>
      <c r="AO169" s="456"/>
      <c r="AP169" s="457">
        <f>+'NEW-Tables 80-86'!V109+'NEW-Tables 80-86'!U139</f>
        <v>51219.366666666669</v>
      </c>
      <c r="AR169" s="1" t="s">
        <v>69</v>
      </c>
      <c r="AS169" s="858">
        <f t="shared" si="31"/>
        <v>0</v>
      </c>
      <c r="AT169" s="858">
        <f t="shared" si="32"/>
        <v>4.1406681007753594</v>
      </c>
      <c r="AU169" s="858">
        <f t="shared" si="33"/>
        <v>5.2629598229546382</v>
      </c>
      <c r="AV169" s="858">
        <f t="shared" si="34"/>
        <v>4.2032060951601773</v>
      </c>
      <c r="AW169" s="858">
        <f t="shared" si="35"/>
        <v>4.8759770336445349</v>
      </c>
      <c r="AY169" s="1" t="s">
        <v>69</v>
      </c>
      <c r="AZ169" s="858">
        <f t="shared" si="36"/>
        <v>0</v>
      </c>
      <c r="BA169" s="858">
        <f t="shared" si="37"/>
        <v>3.440665419978183</v>
      </c>
      <c r="BB169" s="858">
        <f t="shared" si="38"/>
        <v>5.4808691909101244</v>
      </c>
      <c r="BC169" s="858">
        <f t="shared" si="39"/>
        <v>4.7444586920681449</v>
      </c>
      <c r="BD169" s="858">
        <f t="shared" si="40"/>
        <v>4.7809389807631355</v>
      </c>
    </row>
    <row r="170" spans="1:88" ht="15" customHeight="1">
      <c r="A170" s="1" t="s">
        <v>70</v>
      </c>
      <c r="B170" s="32">
        <f>+'NEW-Tables 80-86'!B110+'NEW-Tables 80-86'!B140</f>
        <v>0</v>
      </c>
      <c r="C170" s="96">
        <f>+GETPIVOTDATA("Sum of New-HS % of Total",'Pivot-HS Student % of Undergrad'!$A$3,"State","LA","Category",7,"Category2","Two-Year")</f>
        <v>0</v>
      </c>
      <c r="D170" s="173">
        <f>+'NEW-Tables 80-86'!C110+'NEW-Tables 80-86'!C140</f>
        <v>25187.666666666664</v>
      </c>
      <c r="E170" s="96">
        <f>+GETPIVOTDATA("Sum of New-HS % of Total",'Pivot-HS Student % of Undergrad'!$A$3,"State","LA","Category",8,"Category2","Two-Year")</f>
        <v>1.1840451014385347E-2</v>
      </c>
      <c r="F170" s="173">
        <f>+'NEW-Tables 80-86'!D110+'NEW-Tables 80-86'!D140</f>
        <v>11762.866666666667</v>
      </c>
      <c r="G170" s="96">
        <f>+GETPIVOTDATA("Sum of New-HS % of Total",'Pivot-HS Student % of Undergrad'!$A$3,"State","LA","Category",9,"Category2","Two-Year")</f>
        <v>7.6701824385212225E-2</v>
      </c>
      <c r="H170" s="173">
        <f>+'NEW-Tables 80-86'!E110+'NEW-Tables 80-86'!E140</f>
        <v>3108.2333333333331</v>
      </c>
      <c r="I170" s="96">
        <f>+GETPIVOTDATA("Sum of New-HS % of Total",'Pivot-HS Student % of Undergrad'!$A$3,"State","LA","Category",10,"Category2","Two-Year")</f>
        <v>0.17436485892307527</v>
      </c>
      <c r="J170" s="173">
        <f>+'NEW-Tables 80-86'!F110+'NEW-Tables 80-86'!F140</f>
        <v>40058.766666666663</v>
      </c>
      <c r="K170" s="96">
        <f>+GETPIVOTDATA("Sum of New-HS % of Total",'Pivot-HS Student % of Undergrad'!$A$3,"State","LA","Category2","Group2")</f>
        <v>4.3496929095004591E-2</v>
      </c>
      <c r="Q170" s="1" t="s">
        <v>70</v>
      </c>
      <c r="R170" s="239">
        <f>+GETPIVOTDATA("Sum of Old-HS % of Total",'Pivot-HS Student % of Undergrad'!$A$3,"State","LA","Category",7,"Category2","Two-Year")</f>
        <v>0</v>
      </c>
      <c r="S170" s="470">
        <f t="shared" si="26"/>
        <v>0</v>
      </c>
      <c r="T170" s="240">
        <f>+GETPIVOTDATA("Sum of Old-HS % of Total",'Pivot-HS Student % of Undergrad'!$A$3,"State","LA","Category",8,"Category2","Two-Year")</f>
        <v>9.0402988195990505E-3</v>
      </c>
      <c r="U170" s="470">
        <f t="shared" si="27"/>
        <v>0.28001521947862967</v>
      </c>
      <c r="V170" s="240">
        <f>+GETPIVOTDATA("Sum of Old-HS % of Total",'Pivot-HS Student % of Undergrad'!$A$3,"State","LA","Category",9,"Category2","Two-Year")</f>
        <v>6.7823151146522334E-2</v>
      </c>
      <c r="W170" s="470">
        <f t="shared" si="28"/>
        <v>0.88786732386898914</v>
      </c>
      <c r="X170" s="240">
        <f>+GETPIVOTDATA("Sum of Old-HS % of Total",'Pivot-HS Student % of Undergrad'!$A$3,"State","LA","Category",10,"Category2","Two-Year")</f>
        <v>0.15722897210856732</v>
      </c>
      <c r="Y170" s="470">
        <f t="shared" si="29"/>
        <v>1.713588681450795</v>
      </c>
      <c r="Z170" s="240">
        <f>+GETPIVOTDATA("Sum of Old-HS % of Total",'Pivot-HS Student % of Undergrad'!$A$3,"State","LA","Category2","Two-Year")</f>
        <v>3.8749696164757222E-2</v>
      </c>
      <c r="AA170" s="470">
        <f t="shared" si="30"/>
        <v>0.47472329302473693</v>
      </c>
      <c r="AC170" s="100" t="s">
        <v>70</v>
      </c>
      <c r="AD170" s="80">
        <f>+B170</f>
        <v>0</v>
      </c>
      <c r="AE170" s="80">
        <f>+D170</f>
        <v>25187.666666666664</v>
      </c>
      <c r="AF170" s="80">
        <f>+F170</f>
        <v>11762.866666666667</v>
      </c>
      <c r="AG170" s="80">
        <f>+H170</f>
        <v>3108.2333333333331</v>
      </c>
      <c r="AH170" s="80"/>
      <c r="AI170" s="80">
        <f>+J170</f>
        <v>40058.766666666663</v>
      </c>
      <c r="AJ170" s="462" t="s">
        <v>70</v>
      </c>
      <c r="AK170" s="456">
        <f>+'NEW-Tables 80-86'!R110+'NEW-Tables 80-86'!Q140</f>
        <v>0</v>
      </c>
      <c r="AL170" s="456">
        <f>+'NEW-Tables 80-86'!S110+'NEW-Tables 80-86'!R140</f>
        <v>25183.533333333333</v>
      </c>
      <c r="AM170" s="456">
        <f>+'NEW-Tables 80-86'!T110+'NEW-Tables 80-86'!S140</f>
        <v>12686.928888888888</v>
      </c>
      <c r="AN170" s="456">
        <f>+'NEW-Tables 80-86'!U110+'NEW-Tables 80-86'!T140</f>
        <v>3201.7</v>
      </c>
      <c r="AO170" s="456"/>
      <c r="AP170" s="457">
        <f>+'NEW-Tables 80-86'!V110+'NEW-Tables 80-86'!U140</f>
        <v>41072.162222222214</v>
      </c>
      <c r="AQ170" s="25"/>
      <c r="AR170" s="1" t="s">
        <v>70</v>
      </c>
      <c r="AS170" s="858">
        <f t="shared" si="31"/>
        <v>0</v>
      </c>
      <c r="AT170" s="858">
        <f t="shared" si="32"/>
        <v>1.1840451014385347</v>
      </c>
      <c r="AU170" s="858">
        <f t="shared" si="33"/>
        <v>7.6701824385212225</v>
      </c>
      <c r="AV170" s="858">
        <f t="shared" si="34"/>
        <v>17.436485892307527</v>
      </c>
      <c r="AW170" s="858">
        <f t="shared" si="35"/>
        <v>4.3496929095004591</v>
      </c>
      <c r="AY170" s="1" t="s">
        <v>70</v>
      </c>
      <c r="AZ170" s="858">
        <f t="shared" si="36"/>
        <v>0</v>
      </c>
      <c r="BA170" s="858">
        <f t="shared" si="37"/>
        <v>0.90402988195990508</v>
      </c>
      <c r="BB170" s="858">
        <f t="shared" si="38"/>
        <v>6.7823151146522331</v>
      </c>
      <c r="BC170" s="858">
        <f t="shared" si="39"/>
        <v>15.722897210856731</v>
      </c>
      <c r="BD170" s="858">
        <f t="shared" si="40"/>
        <v>3.8749696164757221</v>
      </c>
      <c r="BE170" s="25"/>
      <c r="BF170" s="25"/>
      <c r="BG170" s="25"/>
    </row>
    <row r="171" spans="1:88" ht="15" customHeight="1">
      <c r="A171" s="1" t="s">
        <v>71</v>
      </c>
      <c r="B171" s="32">
        <f>+'NEW-Tables 80-86'!B111+'NEW-Tables 80-86'!B141</f>
        <v>0</v>
      </c>
      <c r="C171" s="96">
        <f>+GETPIVOTDATA("Sum of New-HS % of Total",'Pivot-HS Student % of Undergrad'!$A$3,"State","MD","Category",7,"Category2","Two-Year")</f>
        <v>0</v>
      </c>
      <c r="D171" s="173">
        <f>+'NEW-Tables 80-86'!C111+'NEW-Tables 80-86'!C141</f>
        <v>67256.116666666669</v>
      </c>
      <c r="E171" s="96">
        <f>+GETPIVOTDATA("Sum of New-HS % of Total",'Pivot-HS Student % of Undergrad'!$A$3,"State","MD","Category",8,"Category2","Two-Year")</f>
        <v>0</v>
      </c>
      <c r="F171" s="173">
        <f>+'NEW-Tables 80-86'!D111+'NEW-Tables 80-86'!D141</f>
        <v>22083.983333333334</v>
      </c>
      <c r="G171" s="96">
        <f>+GETPIVOTDATA("Sum of New-HS % of Total",'Pivot-HS Student % of Undergrad'!$A$3,"State","MD","Category",9,"Category2","Two-Year")</f>
        <v>0</v>
      </c>
      <c r="H171" s="173">
        <f>+'NEW-Tables 80-86'!E111+'NEW-Tables 80-86'!E141</f>
        <v>3801.0166666666664</v>
      </c>
      <c r="I171" s="96">
        <f>+GETPIVOTDATA("Sum of New-HS % of Total",'Pivot-HS Student % of Undergrad'!$A$3,"State","MD","Category",10,"Category2","Two-Year")</f>
        <v>0</v>
      </c>
      <c r="J171" s="173">
        <f>+'NEW-Tables 80-86'!F111+'NEW-Tables 80-86'!F141</f>
        <v>93141.116666666669</v>
      </c>
      <c r="K171" s="96">
        <f>+GETPIVOTDATA("Sum of New-HS % of Total",'Pivot-HS Student % of Undergrad'!$A$3,"State","MD","Category2","Group2")</f>
        <v>0</v>
      </c>
      <c r="Q171" s="1" t="s">
        <v>71</v>
      </c>
      <c r="R171" s="239">
        <f>+GETPIVOTDATA("Sum of Old-HS % of Total",'Pivot-HS Student % of Undergrad'!$A$3,"State","MD","Category",7,"Category2","Two-Year")</f>
        <v>0</v>
      </c>
      <c r="S171" s="470">
        <f t="shared" si="26"/>
        <v>0</v>
      </c>
      <c r="T171" s="240">
        <f>+GETPIVOTDATA("Sum of Old-HS % of Total",'Pivot-HS Student % of Undergrad'!$A$3,"State","MD","Category",8,"Category2","Two-Year")</f>
        <v>0</v>
      </c>
      <c r="U171" s="470">
        <f t="shared" si="27"/>
        <v>0</v>
      </c>
      <c r="V171" s="240">
        <f>+GETPIVOTDATA("Sum of Old-HS % of Total",'Pivot-HS Student % of Undergrad'!$A$3,"State","MD","Category",9,"Category2","Two-Year")</f>
        <v>0</v>
      </c>
      <c r="W171" s="470">
        <f t="shared" si="28"/>
        <v>0</v>
      </c>
      <c r="X171" s="240">
        <f>+GETPIVOTDATA("Sum of Old-HS % of Total",'Pivot-HS Student % of Undergrad'!$A$3,"State","MD","Category",10,"Category2","Two-Year")</f>
        <v>0</v>
      </c>
      <c r="Y171" s="470">
        <f t="shared" si="29"/>
        <v>0</v>
      </c>
      <c r="Z171" s="240">
        <f>+GETPIVOTDATA("Sum of Old-HS % of Total",'Pivot-HS Student % of Undergrad'!$A$3,"State","MD","Category2","Two-Year")</f>
        <v>0</v>
      </c>
      <c r="AA171" s="470">
        <f t="shared" si="30"/>
        <v>0</v>
      </c>
      <c r="AC171" s="100" t="s">
        <v>71</v>
      </c>
      <c r="AD171" s="80">
        <f>+B171</f>
        <v>0</v>
      </c>
      <c r="AE171" s="80">
        <f>+D171</f>
        <v>67256.116666666669</v>
      </c>
      <c r="AF171" s="80">
        <f>+F171</f>
        <v>22083.983333333334</v>
      </c>
      <c r="AG171" s="80">
        <f>+H171</f>
        <v>3801.0166666666664</v>
      </c>
      <c r="AH171" s="80"/>
      <c r="AI171" s="80">
        <f>+J171</f>
        <v>93141.116666666669</v>
      </c>
      <c r="AJ171" s="462" t="s">
        <v>71</v>
      </c>
      <c r="AK171" s="456">
        <f>+'NEW-Tables 80-86'!R111+'NEW-Tables 80-86'!Q141</f>
        <v>0</v>
      </c>
      <c r="AL171" s="456">
        <f>+'NEW-Tables 80-86'!S111+'NEW-Tables 80-86'!R141</f>
        <v>77461.149999999994</v>
      </c>
      <c r="AM171" s="456">
        <f>+'NEW-Tables 80-86'!T111+'NEW-Tables 80-86'!S141</f>
        <v>22938.799999999999</v>
      </c>
      <c r="AN171" s="456">
        <f>+'NEW-Tables 80-86'!U111+'NEW-Tables 80-86'!T141</f>
        <v>4085.5666666666666</v>
      </c>
      <c r="AO171" s="456"/>
      <c r="AP171" s="457">
        <f>+'NEW-Tables 80-86'!V111+'NEW-Tables 80-86'!U141</f>
        <v>104485.51666666666</v>
      </c>
      <c r="AR171" s="1" t="s">
        <v>71</v>
      </c>
      <c r="AS171" s="858">
        <f t="shared" si="31"/>
        <v>0</v>
      </c>
      <c r="AT171" s="858">
        <f t="shared" si="32"/>
        <v>0</v>
      </c>
      <c r="AU171" s="858">
        <f t="shared" si="33"/>
        <v>0</v>
      </c>
      <c r="AV171" s="858">
        <f t="shared" si="34"/>
        <v>0</v>
      </c>
      <c r="AW171" s="858">
        <f t="shared" si="35"/>
        <v>0</v>
      </c>
      <c r="AY171" s="1" t="s">
        <v>71</v>
      </c>
      <c r="AZ171" s="858">
        <f t="shared" si="36"/>
        <v>0</v>
      </c>
      <c r="BA171" s="858">
        <f t="shared" si="37"/>
        <v>0</v>
      </c>
      <c r="BB171" s="858">
        <f t="shared" si="38"/>
        <v>0</v>
      </c>
      <c r="BC171" s="858">
        <f t="shared" si="39"/>
        <v>0</v>
      </c>
      <c r="BD171" s="858">
        <f t="shared" si="40"/>
        <v>0</v>
      </c>
    </row>
    <row r="172" spans="1:88" ht="15" customHeight="1">
      <c r="B172" s="32"/>
      <c r="C172" s="96"/>
      <c r="D172" s="173"/>
      <c r="E172" s="96"/>
      <c r="F172" s="173"/>
      <c r="G172" s="96"/>
      <c r="H172" s="173"/>
      <c r="I172" s="96"/>
      <c r="J172" s="173"/>
      <c r="K172" s="96"/>
      <c r="R172" s="239"/>
      <c r="S172" s="470"/>
      <c r="T172" s="240"/>
      <c r="U172" s="470"/>
      <c r="V172" s="240"/>
      <c r="W172" s="470"/>
      <c r="X172" s="240"/>
      <c r="Y172" s="470"/>
      <c r="Z172" s="240"/>
      <c r="AA172" s="470"/>
      <c r="AC172" s="100"/>
      <c r="AD172" s="80"/>
      <c r="AE172" s="80"/>
      <c r="AF172" s="80"/>
      <c r="AG172" s="80"/>
      <c r="AH172" s="80"/>
      <c r="AI172" s="80"/>
      <c r="AJ172" s="462"/>
      <c r="AK172" s="456"/>
      <c r="AL172" s="456"/>
      <c r="AM172" s="456"/>
      <c r="AN172" s="456"/>
      <c r="AO172" s="456"/>
      <c r="AP172" s="457"/>
      <c r="AS172" s="858">
        <f t="shared" si="31"/>
        <v>0</v>
      </c>
      <c r="AT172" s="858">
        <f t="shared" si="32"/>
        <v>0</v>
      </c>
      <c r="AU172" s="858">
        <f t="shared" si="33"/>
        <v>0</v>
      </c>
      <c r="AV172" s="858">
        <f t="shared" si="34"/>
        <v>0</v>
      </c>
      <c r="AW172" s="858">
        <f t="shared" si="35"/>
        <v>0</v>
      </c>
      <c r="AZ172" s="858">
        <f t="shared" si="36"/>
        <v>0</v>
      </c>
      <c r="BA172" s="858">
        <f t="shared" si="37"/>
        <v>0</v>
      </c>
      <c r="BB172" s="858">
        <f t="shared" si="38"/>
        <v>0</v>
      </c>
      <c r="BC172" s="858">
        <f t="shared" si="39"/>
        <v>0</v>
      </c>
      <c r="BD172" s="858">
        <f t="shared" si="40"/>
        <v>0</v>
      </c>
    </row>
    <row r="173" spans="1:88" ht="15" customHeight="1">
      <c r="A173" s="1" t="s">
        <v>72</v>
      </c>
      <c r="B173" s="32">
        <f>+'NEW-Tables 80-86'!B113+'NEW-Tables 80-86'!B143</f>
        <v>0</v>
      </c>
      <c r="C173" s="96">
        <f>+GETPIVOTDATA("Sum of New-HS % of Total",'Pivot-HS Student % of Undergrad'!$A$3,"State","MS","Category",7,"Category2","Two-Year")</f>
        <v>0</v>
      </c>
      <c r="D173" s="173">
        <f>+'NEW-Tables 80-86'!C113+'NEW-Tables 80-86'!C143</f>
        <v>29283.366666666669</v>
      </c>
      <c r="E173" s="96">
        <f>+GETPIVOTDATA("Sum of New-HS % of Total",'Pivot-HS Student % of Undergrad'!$A$3,"State","MS","Category",8,"Category2","Two-Year")</f>
        <v>1.6819559681776116E-2</v>
      </c>
      <c r="F173" s="173">
        <f>+'NEW-Tables 80-86'!D113+'NEW-Tables 80-86'!D143</f>
        <v>30095.266666666666</v>
      </c>
      <c r="G173" s="96">
        <f>+GETPIVOTDATA("Sum of New-HS % of Total",'Pivot-HS Student % of Undergrad'!$A$3,"State","MS","Category",9,"Category2","Two-Year")</f>
        <v>1.5988117732799619E-2</v>
      </c>
      <c r="H173" s="173">
        <f>+'NEW-Tables 80-86'!E113+'NEW-Tables 80-86'!E143</f>
        <v>3255.9666666666667</v>
      </c>
      <c r="I173" s="96">
        <f>+GETPIVOTDATA("Sum of New-HS % of Total",'Pivot-HS Student % of Undergrad'!$A$3,"State","MS","Category",10,"Category2","Two-Year")</f>
        <v>1.6636124448448489E-2</v>
      </c>
      <c r="J173" s="173">
        <f>+'NEW-Tables 80-86'!F113+'NEW-Tables 80-86'!F143</f>
        <v>62634.6</v>
      </c>
      <c r="K173" s="96">
        <f>+GETPIVOTDATA("Sum of New-HS % of Total",'Pivot-HS Student % of Undergrad'!$A$3,"State","MS","Category2","Group2")</f>
        <v>1.6410524960112569E-2</v>
      </c>
      <c r="Q173" s="1" t="s">
        <v>72</v>
      </c>
      <c r="R173" s="239">
        <f>+GETPIVOTDATA("Sum of Old-HS % of Total",'Pivot-HS Student % of Undergrad'!$A$3,"State","MS","Category",7,"Category2","Two-Year")</f>
        <v>0</v>
      </c>
      <c r="S173" s="470">
        <f t="shared" si="26"/>
        <v>0</v>
      </c>
      <c r="T173" s="240">
        <f>+GETPIVOTDATA("Sum of Old-HS % of Total",'Pivot-HS Student % of Undergrad'!$A$3,"State","MS","Category",8,"Category2","Two-Year")</f>
        <v>1.2008880516684608E-2</v>
      </c>
      <c r="U173" s="470">
        <f t="shared" si="27"/>
        <v>0.48106791650915082</v>
      </c>
      <c r="V173" s="240">
        <f>+GETPIVOTDATA("Sum of Old-HS % of Total",'Pivot-HS Student % of Undergrad'!$A$3,"State","MS","Category",9,"Category2","Two-Year")</f>
        <v>1.1284461673063536E-2</v>
      </c>
      <c r="W173" s="470">
        <f t="shared" si="28"/>
        <v>0.47036560597360827</v>
      </c>
      <c r="X173" s="240">
        <f>+GETPIVOTDATA("Sum of Old-HS % of Total",'Pivot-HS Student % of Undergrad'!$A$3,"State","MS","Category",10,"Category2","Two-Year")</f>
        <v>1.1187050988480834E-2</v>
      </c>
      <c r="Y173" s="470">
        <f t="shared" si="29"/>
        <v>0.54490734599676549</v>
      </c>
      <c r="Z173" s="240">
        <f>+GETPIVOTDATA("Sum of Old-HS % of Total",'Pivot-HS Student % of Undergrad'!$A$3,"State","MS","Category2","Two-Year")</f>
        <v>1.1616758828615221E-2</v>
      </c>
      <c r="AA173" s="470">
        <f t="shared" si="30"/>
        <v>0.47937661314973473</v>
      </c>
      <c r="AC173" s="100" t="s">
        <v>72</v>
      </c>
      <c r="AD173" s="80">
        <f>+B173</f>
        <v>0</v>
      </c>
      <c r="AE173" s="80">
        <f>+D173</f>
        <v>29283.366666666669</v>
      </c>
      <c r="AF173" s="80">
        <f>+F173</f>
        <v>30095.266666666666</v>
      </c>
      <c r="AG173" s="80">
        <f>+H173</f>
        <v>3255.9666666666667</v>
      </c>
      <c r="AH173" s="80"/>
      <c r="AI173" s="80">
        <f>+J173</f>
        <v>62634.6</v>
      </c>
      <c r="AJ173" s="462" t="s">
        <v>72</v>
      </c>
      <c r="AK173" s="456">
        <f>+'NEW-Tables 80-86'!R113+'NEW-Tables 80-86'!Q143</f>
        <v>0</v>
      </c>
      <c r="AL173" s="456">
        <f>+'NEW-Tables 80-86'!S113+'NEW-Tables 80-86'!R143</f>
        <v>30718.933333333334</v>
      </c>
      <c r="AM173" s="456">
        <f>+'NEW-Tables 80-86'!T113+'NEW-Tables 80-86'!S143</f>
        <v>31317.4</v>
      </c>
      <c r="AN173" s="456">
        <f>+'NEW-Tables 80-86'!U113+'NEW-Tables 80-86'!T143</f>
        <v>3813.9333333333334</v>
      </c>
      <c r="AO173" s="456"/>
      <c r="AP173" s="457">
        <f>+'NEW-Tables 80-86'!V113+'NEW-Tables 80-86'!U143</f>
        <v>65850.266666666663</v>
      </c>
      <c r="AR173" s="1" t="s">
        <v>72</v>
      </c>
      <c r="AS173" s="858">
        <f t="shared" si="31"/>
        <v>0</v>
      </c>
      <c r="AT173" s="858">
        <f t="shared" si="32"/>
        <v>1.6819559681776115</v>
      </c>
      <c r="AU173" s="858">
        <f t="shared" si="33"/>
        <v>1.5988117732799618</v>
      </c>
      <c r="AV173" s="858">
        <f t="shared" si="34"/>
        <v>1.6636124448448488</v>
      </c>
      <c r="AW173" s="858">
        <f t="shared" si="35"/>
        <v>1.6410524960112569</v>
      </c>
      <c r="AY173" s="1" t="s">
        <v>72</v>
      </c>
      <c r="AZ173" s="858">
        <f t="shared" si="36"/>
        <v>0</v>
      </c>
      <c r="BA173" s="858">
        <f t="shared" si="37"/>
        <v>1.2008880516684608</v>
      </c>
      <c r="BB173" s="858">
        <f t="shared" si="38"/>
        <v>1.1284461673063537</v>
      </c>
      <c r="BC173" s="858">
        <f t="shared" si="39"/>
        <v>1.1187050988480833</v>
      </c>
      <c r="BD173" s="858">
        <f t="shared" si="40"/>
        <v>1.1616758828615221</v>
      </c>
    </row>
    <row r="174" spans="1:88" ht="15" customHeight="1">
      <c r="A174" s="1" t="s">
        <v>73</v>
      </c>
      <c r="B174" s="32">
        <f>+'NEW-Tables 80-86'!B114+'NEW-Tables 80-86'!B144</f>
        <v>0</v>
      </c>
      <c r="C174" s="96">
        <f>+GETPIVOTDATA("Sum of New-HS % of Total",'Pivot-HS Student % of Undergrad'!$A$3,"State","NC","Category",7,"Category2","Two-Year")</f>
        <v>0</v>
      </c>
      <c r="D174" s="173">
        <f>+'NEW-Tables 80-86'!C114+'NEW-Tables 80-86'!C144</f>
        <v>91761.814444444433</v>
      </c>
      <c r="E174" s="96">
        <f>+GETPIVOTDATA("Sum of New-HS % of Total",'Pivot-HS Student % of Undergrad'!$A$3,"State","NC","Category",8,"Category2","Two-Year")</f>
        <v>2.1995953127356031E-2</v>
      </c>
      <c r="F174" s="173">
        <f>+'NEW-Tables 80-86'!D114+'NEW-Tables 80-86'!D144</f>
        <v>79114.65444444443</v>
      </c>
      <c r="G174" s="96">
        <f>+GETPIVOTDATA("Sum of New-HS % of Total",'Pivot-HS Student % of Undergrad'!$A$3,"State","NC","Category",9,"Category2","Two-Year")</f>
        <v>7.1905283451504848E-2</v>
      </c>
      <c r="H174" s="173">
        <f>+'NEW-Tables 80-86'!E114+'NEW-Tables 80-86'!E144</f>
        <v>35073.246666666666</v>
      </c>
      <c r="I174" s="96">
        <f>+GETPIVOTDATA("Sum of New-HS % of Total",'Pivot-HS Student % of Undergrad'!$A$3,"State","NC","Category",10,"Category2","Two-Year")</f>
        <v>0.10925202001172235</v>
      </c>
      <c r="J174" s="173">
        <f>+'NEW-Tables 80-86'!F114+'NEW-Tables 80-86'!F144</f>
        <v>205949.71555555551</v>
      </c>
      <c r="K174" s="96">
        <f>+GETPIVOTDATA("Sum of New-HS % of Total",'Pivot-HS Student % of Undergrad'!$A$3,"State","NC","Category2","Group2")</f>
        <v>5.4171678583127783E-2</v>
      </c>
      <c r="Q174" s="1" t="s">
        <v>73</v>
      </c>
      <c r="R174" s="239">
        <f>+GETPIVOTDATA("Sum of Old-HS % of Total",'Pivot-HS Student % of Undergrad'!$A$3,"State","NC","Category",7,"Category2","Two-Year")</f>
        <v>0</v>
      </c>
      <c r="S174" s="470">
        <f t="shared" si="26"/>
        <v>0</v>
      </c>
      <c r="T174" s="240">
        <f>+GETPIVOTDATA("Sum of Old-HS % of Total",'Pivot-HS Student % of Undergrad'!$A$3,"State","NC","Category",8,"Category2","Two-Year")</f>
        <v>2.3745255874155866E-2</v>
      </c>
      <c r="U174" s="470">
        <f t="shared" si="27"/>
        <v>-0.17493027467998351</v>
      </c>
      <c r="V174" s="240">
        <f>+GETPIVOTDATA("Sum of Old-HS % of Total",'Pivot-HS Student % of Undergrad'!$A$3,"State","NC","Category",9,"Category2","Two-Year")</f>
        <v>6.886051846471411E-2</v>
      </c>
      <c r="W174" s="470">
        <f t="shared" si="28"/>
        <v>0.30447649867907378</v>
      </c>
      <c r="X174" s="240">
        <f>+GETPIVOTDATA("Sum of Old-HS % of Total",'Pivot-HS Student % of Undergrad'!$A$3,"State","NC","Category",10,"Category2","Two-Year")</f>
        <v>9.7401943913993677E-2</v>
      </c>
      <c r="Y174" s="470">
        <f t="shared" si="29"/>
        <v>1.1850076097728675</v>
      </c>
      <c r="Z174" s="240">
        <f>+GETPIVOTDATA("Sum of Old-HS % of Total",'Pivot-HS Student % of Undergrad'!$A$3,"State","NC","Category2","Two-Year")</f>
        <v>5.2733825867743403E-2</v>
      </c>
      <c r="AA174" s="470">
        <f t="shared" si="30"/>
        <v>0.14378527153843801</v>
      </c>
      <c r="AC174" s="100" t="s">
        <v>73</v>
      </c>
      <c r="AD174" s="80">
        <f>+B174</f>
        <v>0</v>
      </c>
      <c r="AE174" s="80">
        <f>+D174</f>
        <v>91761.814444444433</v>
      </c>
      <c r="AF174" s="80">
        <f>+F174</f>
        <v>79114.65444444443</v>
      </c>
      <c r="AG174" s="80">
        <f>+H174</f>
        <v>35073.246666666666</v>
      </c>
      <c r="AH174" s="80"/>
      <c r="AI174" s="80">
        <f>+J174</f>
        <v>205949.71555555551</v>
      </c>
      <c r="AJ174" s="462" t="s">
        <v>73</v>
      </c>
      <c r="AK174" s="456">
        <f>+'NEW-Tables 80-86'!R114+'NEW-Tables 80-86'!Q144</f>
        <v>0</v>
      </c>
      <c r="AL174" s="456">
        <f>+'NEW-Tables 80-86'!S114+'NEW-Tables 80-86'!R144</f>
        <v>91120.755555555559</v>
      </c>
      <c r="AM174" s="456">
        <f>+'NEW-Tables 80-86'!T114+'NEW-Tables 80-86'!S144</f>
        <v>81986.930000000008</v>
      </c>
      <c r="AN174" s="456">
        <f>+'NEW-Tables 80-86'!U114+'NEW-Tables 80-86'!T144</f>
        <v>36608.441111111111</v>
      </c>
      <c r="AO174" s="456"/>
      <c r="AP174" s="457">
        <f>+'NEW-Tables 80-86'!V114+'NEW-Tables 80-86'!U144</f>
        <v>209716.12666666668</v>
      </c>
      <c r="AQ174" s="25"/>
      <c r="AR174" s="1" t="s">
        <v>73</v>
      </c>
      <c r="AS174" s="858">
        <f t="shared" si="31"/>
        <v>0</v>
      </c>
      <c r="AT174" s="858">
        <f t="shared" si="32"/>
        <v>2.1995953127356032</v>
      </c>
      <c r="AU174" s="858">
        <f t="shared" si="33"/>
        <v>7.1905283451504847</v>
      </c>
      <c r="AV174" s="858">
        <f t="shared" si="34"/>
        <v>10.925202001172234</v>
      </c>
      <c r="AW174" s="858">
        <f t="shared" si="35"/>
        <v>5.4171678583127783</v>
      </c>
      <c r="AY174" s="1" t="s">
        <v>73</v>
      </c>
      <c r="AZ174" s="858">
        <f t="shared" si="36"/>
        <v>0</v>
      </c>
      <c r="BA174" s="858">
        <f t="shared" si="37"/>
        <v>2.3745255874155866</v>
      </c>
      <c r="BB174" s="858">
        <f t="shared" si="38"/>
        <v>6.8860518464714113</v>
      </c>
      <c r="BC174" s="858">
        <f t="shared" si="39"/>
        <v>9.7401943913993669</v>
      </c>
      <c r="BD174" s="858">
        <f t="shared" si="40"/>
        <v>5.27338258677434</v>
      </c>
      <c r="BE174" s="25"/>
      <c r="BF174" s="25"/>
      <c r="BG174" s="25"/>
    </row>
    <row r="175" spans="1:88" ht="15" customHeight="1">
      <c r="A175" s="1" t="s">
        <v>74</v>
      </c>
      <c r="B175" s="32">
        <f>+'NEW-Tables 80-86'!B115+'NEW-Tables 80-86'!B145</f>
        <v>8309.2000000000007</v>
      </c>
      <c r="C175" s="96">
        <f>+GETPIVOTDATA("Sum of New-HS % of Total",'Pivot-HS Student % of Undergrad'!$A$3,"State","OK","Category",7,"Category2","Two-Year")</f>
        <v>4.3959306150612172E-2</v>
      </c>
      <c r="D175" s="173">
        <f>+'NEW-Tables 80-86'!C115+'NEW-Tables 80-86'!C145</f>
        <v>25175.566666666666</v>
      </c>
      <c r="E175" s="96">
        <f>+GETPIVOTDATA("Sum of New-HS % of Total",'Pivot-HS Student % of Undergrad'!$A$3,"State","OK","Category",8,"Category2","Two-Year")</f>
        <v>4.2148008585043438E-2</v>
      </c>
      <c r="F175" s="173">
        <f>+'NEW-Tables 80-86'!D115+'NEW-Tables 80-86'!D145</f>
        <v>5287.7</v>
      </c>
      <c r="G175" s="96">
        <f>+GETPIVOTDATA("Sum of New-HS % of Total",'Pivot-HS Student % of Undergrad'!$A$3,"State","OK","Category",9,"Category2","Two-Year")</f>
        <v>5.1024074739489757E-2</v>
      </c>
      <c r="H175" s="173">
        <f>+'NEW-Tables 80-86'!E115+'NEW-Tables 80-86'!E145</f>
        <v>10790.266666666665</v>
      </c>
      <c r="I175" s="96">
        <f>+GETPIVOTDATA("Sum of New-HS % of Total",'Pivot-HS Student % of Undergrad'!$A$3,"State","OK","Category",10,"Category2","Two-Year")</f>
        <v>0.10576507222558602</v>
      </c>
      <c r="J175" s="173">
        <f>+'NEW-Tables 80-86'!F115+'NEW-Tables 80-86'!F145</f>
        <v>49562.733333333323</v>
      </c>
      <c r="K175" s="96">
        <f>+GETPIVOTDATA("Sum of New-HS % of Total",'Pivot-HS Student % of Undergrad'!$A$3,"State","OK","Category2","Group2")</f>
        <v>5.7248658602363875E-2</v>
      </c>
      <c r="Q175" s="1" t="s">
        <v>74</v>
      </c>
      <c r="R175" s="239">
        <f>+GETPIVOTDATA("Sum of Old-HS % of Total",'Pivot-HS Student % of Undergrad'!$A$3,"State","OK","Category",7,"Category2","Two-Year")</f>
        <v>3.6483221883117374E-2</v>
      </c>
      <c r="S175" s="470">
        <f t="shared" si="26"/>
        <v>0.7476084267494798</v>
      </c>
      <c r="T175" s="240">
        <f>+GETPIVOTDATA("Sum of Old-HS % of Total",'Pivot-HS Student % of Undergrad'!$A$3,"State","OK","Category",8,"Category2","Two-Year")</f>
        <v>4.4567584200652995E-2</v>
      </c>
      <c r="U175" s="470">
        <f t="shared" si="27"/>
        <v>-0.24195756156095566</v>
      </c>
      <c r="V175" s="240">
        <f>+GETPIVOTDATA("Sum of Old-HS % of Total",'Pivot-HS Student % of Undergrad'!$A$3,"State","OK","Category",9,"Category2","Two-Year")</f>
        <v>5.3657187249870522E-2</v>
      </c>
      <c r="W175" s="470">
        <f t="shared" si="28"/>
        <v>-0.26331125103807651</v>
      </c>
      <c r="X175" s="240">
        <f>+GETPIVOTDATA("Sum of Old-HS % of Total",'Pivot-HS Student % of Undergrad'!$A$3,"State","OK","Category",10,"Category2","Two-Year")</f>
        <v>7.8769674460182834E-2</v>
      </c>
      <c r="Y175" s="470">
        <f t="shared" si="29"/>
        <v>2.6995397765403188</v>
      </c>
      <c r="Z175" s="240">
        <f>+GETPIVOTDATA("Sum of Old-HS % of Total",'Pivot-HS Student % of Undergrad'!$A$3,"State","OK","Category2","Two-Year")</f>
        <v>5.2142832437346825E-2</v>
      </c>
      <c r="AA175" s="470">
        <f t="shared" si="30"/>
        <v>0.51058261650170489</v>
      </c>
      <c r="AC175" s="100" t="s">
        <v>74</v>
      </c>
      <c r="AD175" s="80">
        <f>+B175</f>
        <v>8309.2000000000007</v>
      </c>
      <c r="AE175" s="80">
        <f>+D175</f>
        <v>25175.566666666666</v>
      </c>
      <c r="AF175" s="80">
        <f>+F175</f>
        <v>5287.7</v>
      </c>
      <c r="AG175" s="80">
        <f>+H175</f>
        <v>10790.266666666665</v>
      </c>
      <c r="AH175" s="80"/>
      <c r="AI175" s="80">
        <f>+J175</f>
        <v>49562.733333333323</v>
      </c>
      <c r="AJ175" s="462" t="s">
        <v>74</v>
      </c>
      <c r="AK175" s="456">
        <f>+'NEW-Tables 80-86'!R115+'NEW-Tables 80-86'!Q145</f>
        <v>8803.1333333333332</v>
      </c>
      <c r="AL175" s="456">
        <f>+'NEW-Tables 80-86'!S115+'NEW-Tables 80-86'!R145</f>
        <v>26973.266666666663</v>
      </c>
      <c r="AM175" s="456">
        <f>+'NEW-Tables 80-86'!T115+'NEW-Tables 80-86'!S145</f>
        <v>5663.7333333333336</v>
      </c>
      <c r="AN175" s="456">
        <f>+'NEW-Tables 80-86'!U115+'NEW-Tables 80-86'!T145</f>
        <v>12528.933333333331</v>
      </c>
      <c r="AO175" s="456"/>
      <c r="AP175" s="457">
        <f>+'NEW-Tables 80-86'!V115+'NEW-Tables 80-86'!U145</f>
        <v>53969.066666666666</v>
      </c>
      <c r="AR175" s="1" t="s">
        <v>74</v>
      </c>
      <c r="AS175" s="858">
        <f t="shared" si="31"/>
        <v>4.395930615061217</v>
      </c>
      <c r="AT175" s="858">
        <f t="shared" si="32"/>
        <v>4.2148008585043435</v>
      </c>
      <c r="AU175" s="858">
        <f t="shared" si="33"/>
        <v>5.1024074739489755</v>
      </c>
      <c r="AV175" s="858">
        <f t="shared" si="34"/>
        <v>10.576507222558602</v>
      </c>
      <c r="AW175" s="858">
        <f t="shared" si="35"/>
        <v>5.7248658602363873</v>
      </c>
      <c r="AY175" s="1" t="s">
        <v>74</v>
      </c>
      <c r="AZ175" s="858">
        <f t="shared" si="36"/>
        <v>3.6483221883117376</v>
      </c>
      <c r="BA175" s="858">
        <f t="shared" si="37"/>
        <v>4.4567584200652997</v>
      </c>
      <c r="BB175" s="858">
        <f t="shared" si="38"/>
        <v>5.3657187249870519</v>
      </c>
      <c r="BC175" s="858">
        <f t="shared" si="39"/>
        <v>7.8769674460182832</v>
      </c>
      <c r="BD175" s="858">
        <f t="shared" si="40"/>
        <v>5.2142832437346822</v>
      </c>
    </row>
    <row r="176" spans="1:88" ht="15" customHeight="1">
      <c r="A176" s="1" t="s">
        <v>75</v>
      </c>
      <c r="B176" s="32">
        <f>+'NEW-Tables 80-86'!B116+'NEW-Tables 80-86'!B146</f>
        <v>0</v>
      </c>
      <c r="C176" s="96">
        <f>+GETPIVOTDATA("Sum of New-HS % of Total",'Pivot-HS Student % of Undergrad'!$A$3,"State","SC","Category",7,"Category2","Two-Year")</f>
        <v>0</v>
      </c>
      <c r="D176" s="173">
        <f>+'NEW-Tables 80-86'!C116+'NEW-Tables 80-86'!C146</f>
        <v>54844.26666666667</v>
      </c>
      <c r="E176" s="96">
        <f>+GETPIVOTDATA("Sum of New-HS % of Total",'Pivot-HS Student % of Undergrad'!$A$3,"State","SC","Category",8,"Category2","Two-Year")</f>
        <v>4.6731796822674559E-2</v>
      </c>
      <c r="F176" s="173">
        <f>+'NEW-Tables 80-86'!D116+'NEW-Tables 80-86'!D146</f>
        <v>15909.833333333334</v>
      </c>
      <c r="G176" s="96">
        <f>+GETPIVOTDATA("Sum of New-HS % of Total",'Pivot-HS Student % of Undergrad'!$A$3,"State","SC","Category",9,"Category2","Two-Year")</f>
        <v>5.3977100116280291E-2</v>
      </c>
      <c r="H176" s="173">
        <f>+'NEW-Tables 80-86'!E116+'NEW-Tables 80-86'!E146</f>
        <v>8241.6666666666679</v>
      </c>
      <c r="I176" s="96">
        <f>+GETPIVOTDATA("Sum of New-HS % of Total",'Pivot-HS Student % of Undergrad'!$A$3,"State","SC","Category",10,"Category2","Two-Year")</f>
        <v>5.1196944910551316E-2</v>
      </c>
      <c r="J176" s="173">
        <f>+'NEW-Tables 80-86'!F116+'NEW-Tables 80-86'!F146</f>
        <v>78995.766666666677</v>
      </c>
      <c r="K176" s="96">
        <f>+GETPIVOTDATA("Sum of New-HS % of Total",'Pivot-HS Student % of Undergrad'!$A$3,"State","SC","Category2","Group2")</f>
        <v>4.8717123731574587E-2</v>
      </c>
      <c r="Q176" s="1" t="s">
        <v>75</v>
      </c>
      <c r="R176" s="239">
        <f>+GETPIVOTDATA("Sum of Old-HS % of Total",'Pivot-HS Student % of Undergrad'!$A$3,"State","SC","Category",7,"Category2","Two-Year")</f>
        <v>0</v>
      </c>
      <c r="S176" s="470">
        <f t="shared" si="26"/>
        <v>0</v>
      </c>
      <c r="T176" s="240">
        <f>+GETPIVOTDATA("Sum of Old-HS % of Total",'Pivot-HS Student % of Undergrad'!$A$3,"State","SC","Category",8,"Category2","Two-Year")</f>
        <v>2.41512321385557E-2</v>
      </c>
      <c r="U176" s="470">
        <f t="shared" si="27"/>
        <v>2.258056468411886</v>
      </c>
      <c r="V176" s="240">
        <f>+GETPIVOTDATA("Sum of Old-HS % of Total",'Pivot-HS Student % of Undergrad'!$A$3,"State","SC","Category",9,"Category2","Two-Year")</f>
        <v>3.6972420793382817E-2</v>
      </c>
      <c r="W176" s="470">
        <f t="shared" si="28"/>
        <v>1.7004679322897474</v>
      </c>
      <c r="X176" s="240">
        <f>+GETPIVOTDATA("Sum of Old-HS % of Total",'Pivot-HS Student % of Undergrad'!$A$3,"State","SC","Category",10,"Category2","Two-Year")</f>
        <v>8.3716526398755167E-2</v>
      </c>
      <c r="Y176" s="470">
        <f t="shared" si="29"/>
        <v>-3.251958148820385</v>
      </c>
      <c r="Z176" s="240">
        <f>+GETPIVOTDATA("Sum of Old-HS % of Total",'Pivot-HS Student % of Undergrad'!$A$3,"State","SC","Category2","Two-Year")</f>
        <v>3.1701096190929375E-2</v>
      </c>
      <c r="AA176" s="470">
        <f t="shared" si="30"/>
        <v>1.7016027540645213</v>
      </c>
      <c r="AC176" s="100" t="s">
        <v>75</v>
      </c>
      <c r="AD176" s="80">
        <f>+B176</f>
        <v>0</v>
      </c>
      <c r="AE176" s="80">
        <f>+D176</f>
        <v>54844.26666666667</v>
      </c>
      <c r="AF176" s="80">
        <f>+F176</f>
        <v>15909.833333333334</v>
      </c>
      <c r="AG176" s="80">
        <f>+H176</f>
        <v>8241.6666666666679</v>
      </c>
      <c r="AH176" s="80"/>
      <c r="AI176" s="80">
        <f>+J176</f>
        <v>78995.766666666677</v>
      </c>
      <c r="AJ176" s="462" t="s">
        <v>75</v>
      </c>
      <c r="AK176" s="456">
        <f>+'NEW-Tables 80-86'!R116+'NEW-Tables 80-86'!Q146</f>
        <v>0</v>
      </c>
      <c r="AL176" s="456">
        <f>+'NEW-Tables 80-86'!S116+'NEW-Tables 80-86'!R146</f>
        <v>57001.922666666665</v>
      </c>
      <c r="AM176" s="456">
        <f>+'NEW-Tables 80-86'!T116+'NEW-Tables 80-86'!S146</f>
        <v>16852.201000000001</v>
      </c>
      <c r="AN176" s="456">
        <f>+'NEW-Tables 80-86'!U116+'NEW-Tables 80-86'!T146</f>
        <v>8725.2860000000001</v>
      </c>
      <c r="AO176" s="456"/>
      <c r="AP176" s="457">
        <f>+'NEW-Tables 80-86'!V116+'NEW-Tables 80-86'!U146</f>
        <v>82579.409666666674</v>
      </c>
      <c r="AQ176" s="25"/>
      <c r="AR176" s="1" t="s">
        <v>75</v>
      </c>
      <c r="AS176" s="858">
        <f t="shared" si="31"/>
        <v>0</v>
      </c>
      <c r="AT176" s="858">
        <f t="shared" si="32"/>
        <v>4.6731796822674561</v>
      </c>
      <c r="AU176" s="858">
        <f t="shared" si="33"/>
        <v>5.3977100116280292</v>
      </c>
      <c r="AV176" s="858">
        <f t="shared" si="34"/>
        <v>5.1196944910551316</v>
      </c>
      <c r="AW176" s="858">
        <f t="shared" si="35"/>
        <v>4.8717123731574583</v>
      </c>
      <c r="AY176" s="1" t="s">
        <v>75</v>
      </c>
      <c r="AZ176" s="858">
        <f t="shared" si="36"/>
        <v>0</v>
      </c>
      <c r="BA176" s="858">
        <f t="shared" si="37"/>
        <v>2.4151232138555701</v>
      </c>
      <c r="BB176" s="858">
        <f t="shared" si="38"/>
        <v>3.6972420793382819</v>
      </c>
      <c r="BC176" s="858">
        <f t="shared" si="39"/>
        <v>8.3716526398755171</v>
      </c>
      <c r="BD176" s="858">
        <f t="shared" si="40"/>
        <v>3.1701096190929374</v>
      </c>
      <c r="BE176" s="25"/>
      <c r="BF176" s="25"/>
      <c r="BG176" s="25"/>
    </row>
    <row r="177" spans="1:88" ht="15" customHeight="1">
      <c r="B177" s="32"/>
      <c r="C177" s="96"/>
      <c r="D177" s="173"/>
      <c r="E177" s="96"/>
      <c r="F177" s="173"/>
      <c r="G177" s="96"/>
      <c r="H177" s="173"/>
      <c r="I177" s="96"/>
      <c r="J177" s="173"/>
      <c r="K177" s="96"/>
      <c r="R177" s="239"/>
      <c r="S177" s="470"/>
      <c r="T177" s="240"/>
      <c r="U177" s="470"/>
      <c r="V177" s="240"/>
      <c r="W177" s="470"/>
      <c r="X177" s="240"/>
      <c r="Y177" s="470"/>
      <c r="Z177" s="240"/>
      <c r="AA177" s="470"/>
      <c r="AC177" s="100"/>
      <c r="AD177" s="80"/>
      <c r="AE177" s="80"/>
      <c r="AF177" s="80"/>
      <c r="AG177" s="80"/>
      <c r="AH177" s="80"/>
      <c r="AI177" s="80"/>
      <c r="AJ177" s="462"/>
      <c r="AK177" s="456"/>
      <c r="AL177" s="456"/>
      <c r="AM177" s="456"/>
      <c r="AN177" s="456"/>
      <c r="AO177" s="456"/>
      <c r="AP177" s="457"/>
      <c r="AQ177" s="25"/>
      <c r="AS177" s="858">
        <f t="shared" si="31"/>
        <v>0</v>
      </c>
      <c r="AT177" s="858">
        <f t="shared" si="32"/>
        <v>0</v>
      </c>
      <c r="AU177" s="858">
        <f t="shared" si="33"/>
        <v>0</v>
      </c>
      <c r="AV177" s="858">
        <f t="shared" si="34"/>
        <v>0</v>
      </c>
      <c r="AW177" s="858">
        <f t="shared" si="35"/>
        <v>0</v>
      </c>
      <c r="AZ177" s="858">
        <f t="shared" si="36"/>
        <v>0</v>
      </c>
      <c r="BA177" s="858">
        <f t="shared" si="37"/>
        <v>0</v>
      </c>
      <c r="BB177" s="858">
        <f t="shared" si="38"/>
        <v>0</v>
      </c>
      <c r="BC177" s="858">
        <f t="shared" si="39"/>
        <v>0</v>
      </c>
      <c r="BD177" s="858">
        <f t="shared" si="40"/>
        <v>0</v>
      </c>
      <c r="BE177" s="25"/>
      <c r="BF177" s="25"/>
      <c r="BG177" s="25"/>
    </row>
    <row r="178" spans="1:88" ht="11.25" customHeight="1">
      <c r="A178" s="1" t="s">
        <v>76</v>
      </c>
      <c r="B178" s="32">
        <f>+'NEW-Tables 80-86'!B118+'NEW-Tables 80-86'!B148</f>
        <v>0</v>
      </c>
      <c r="C178" s="96">
        <f>+GETPIVOTDATA("Sum of New-HS % of Total",'Pivot-HS Student % of Undergrad'!$A$3,"State","TN","Category",7,"Category2","Two-Year")</f>
        <v>0</v>
      </c>
      <c r="D178" s="173">
        <f>+'NEW-Tables 80-86'!C118+'NEW-Tables 80-86'!C148</f>
        <v>33433.866666666669</v>
      </c>
      <c r="E178" s="96">
        <f>+GETPIVOTDATA("Sum of New-HS % of Total",'Pivot-HS Student % of Undergrad'!$A$3,"State","TN","Category",8,"Category2","Two-Year")</f>
        <v>4.3586542986353158E-2</v>
      </c>
      <c r="F178" s="173">
        <f>+'NEW-Tables 80-86'!D118+'NEW-Tables 80-86'!D148</f>
        <v>26602</v>
      </c>
      <c r="G178" s="96">
        <f>+GETPIVOTDATA("Sum of New-HS % of Total",'Pivot-HS Student % of Undergrad'!$A$3,"State","TN","Category",9,"Category2","Two-Year")</f>
        <v>7.3189985715359743E-2</v>
      </c>
      <c r="H178" s="173">
        <f>+'NEW-Tables 80-86'!E118+'NEW-Tables 80-86'!E148</f>
        <v>0</v>
      </c>
      <c r="I178" s="96">
        <f>+GETPIVOTDATA("Sum of New-HS % of Total",'Pivot-HS Student % of Undergrad'!$A$3,"State","TN","Category",10,"Category2","Two-Year")</f>
        <v>0</v>
      </c>
      <c r="J178" s="173">
        <f>+'NEW-Tables 80-86'!F118+'NEW-Tables 80-86'!F148</f>
        <v>60035.866666666669</v>
      </c>
      <c r="K178" s="96">
        <f>+GETPIVOTDATA("Sum of New-HS % of Total",'Pivot-HS Student % of Undergrad'!$A$3,"State","TN","Category2","Group2")</f>
        <v>5.6703881457528721E-2</v>
      </c>
      <c r="Q178" s="1" t="s">
        <v>76</v>
      </c>
      <c r="R178" s="239">
        <f>+GETPIVOTDATA("Sum of Old-HS % of Total",'Pivot-HS Student % of Undergrad'!$A$3,"State","TN","Category",7,"Category2","Two-Year")</f>
        <v>0</v>
      </c>
      <c r="S178" s="470">
        <f t="shared" si="26"/>
        <v>0</v>
      </c>
      <c r="T178" s="240">
        <f>+GETPIVOTDATA("Sum of Old-HS % of Total",'Pivot-HS Student % of Undergrad'!$A$3,"State","TN","Category",8,"Category2","Two-Year")</f>
        <v>3.6584540892499684E-2</v>
      </c>
      <c r="U178" s="470">
        <f t="shared" si="27"/>
        <v>0.70020020938534744</v>
      </c>
      <c r="V178" s="240">
        <f>+GETPIVOTDATA("Sum of Old-HS % of Total",'Pivot-HS Student % of Undergrad'!$A$3,"State","TN","Category",9,"Category2","Two-Year")</f>
        <v>5.84746599888359E-2</v>
      </c>
      <c r="W178" s="470">
        <f t="shared" si="28"/>
        <v>1.4715325726523842</v>
      </c>
      <c r="X178" s="240">
        <f>+GETPIVOTDATA("Sum of Old-HS % of Total",'Pivot-HS Student % of Undergrad'!$A$3,"State","TN","Category",10,"Category2","Two-Year")</f>
        <v>0</v>
      </c>
      <c r="Y178" s="470">
        <f t="shared" si="29"/>
        <v>0</v>
      </c>
      <c r="Z178" s="240">
        <f>+GETPIVOTDATA("Sum of Old-HS % of Total",'Pivot-HS Student % of Undergrad'!$A$3,"State","TN","Category2","Two-Year")</f>
        <v>4.6316943615121904E-2</v>
      </c>
      <c r="AA178" s="470">
        <f t="shared" si="30"/>
        <v>1.0386937842406816</v>
      </c>
      <c r="AC178" s="100" t="s">
        <v>76</v>
      </c>
      <c r="AD178" s="80">
        <f>+B178</f>
        <v>0</v>
      </c>
      <c r="AE178" s="80">
        <f>+D178</f>
        <v>33433.866666666669</v>
      </c>
      <c r="AF178" s="80">
        <f>+F178</f>
        <v>26602</v>
      </c>
      <c r="AG178" s="80">
        <f>+H178</f>
        <v>0</v>
      </c>
      <c r="AH178" s="80"/>
      <c r="AI178" s="80">
        <f>+J178</f>
        <v>60035.866666666669</v>
      </c>
      <c r="AJ178" s="462" t="s">
        <v>76</v>
      </c>
      <c r="AK178" s="456">
        <f>+'NEW-Tables 80-86'!R118+'NEW-Tables 80-86'!Q148</f>
        <v>0</v>
      </c>
      <c r="AL178" s="456">
        <f>+'NEW-Tables 80-86'!S118+'NEW-Tables 80-86'!R148</f>
        <v>34985.633333333331</v>
      </c>
      <c r="AM178" s="456">
        <f>+'NEW-Tables 80-86'!T118+'NEW-Tables 80-86'!S148</f>
        <v>28006.433333333327</v>
      </c>
      <c r="AN178" s="456">
        <f>+'NEW-Tables 80-86'!U118+'NEW-Tables 80-86'!T148</f>
        <v>0</v>
      </c>
      <c r="AO178" s="456"/>
      <c r="AP178" s="457">
        <f>+'NEW-Tables 80-86'!V118+'NEW-Tables 80-86'!U148</f>
        <v>62992.066666666658</v>
      </c>
      <c r="AQ178" s="25"/>
      <c r="AR178" s="1" t="s">
        <v>76</v>
      </c>
      <c r="AS178" s="858">
        <f t="shared" si="31"/>
        <v>0</v>
      </c>
      <c r="AT178" s="858">
        <f t="shared" si="32"/>
        <v>4.3586542986353161</v>
      </c>
      <c r="AU178" s="858">
        <f t="shared" si="33"/>
        <v>7.3189985715359747</v>
      </c>
      <c r="AV178" s="858">
        <f t="shared" si="34"/>
        <v>0</v>
      </c>
      <c r="AW178" s="858">
        <f t="shared" si="35"/>
        <v>5.670388145752872</v>
      </c>
      <c r="AY178" s="1" t="s">
        <v>76</v>
      </c>
      <c r="AZ178" s="858">
        <f t="shared" si="36"/>
        <v>0</v>
      </c>
      <c r="BA178" s="858">
        <f t="shared" si="37"/>
        <v>3.6584540892499682</v>
      </c>
      <c r="BB178" s="858">
        <f t="shared" si="38"/>
        <v>5.8474659988835898</v>
      </c>
      <c r="BC178" s="858">
        <f t="shared" si="39"/>
        <v>0</v>
      </c>
      <c r="BD178" s="858">
        <f t="shared" si="40"/>
        <v>4.6316943615121904</v>
      </c>
      <c r="BE178" s="25"/>
      <c r="BF178" s="25"/>
      <c r="BG178" s="25"/>
    </row>
    <row r="179" spans="1:88" ht="15" customHeight="1">
      <c r="A179" s="1" t="s">
        <v>77</v>
      </c>
      <c r="B179" s="32">
        <f>+'NEW-Tables 80-86'!B119+'NEW-Tables 80-86'!B149</f>
        <v>26252.887777777778</v>
      </c>
      <c r="C179" s="210">
        <f>+GETPIVOTDATA("Sum of New-HS % of Total",'Pivot-HS Student % of Undergrad'!$A$3,"State","TX","Category",7,"Category2","Two-Year")</f>
        <v>0.21957346498190361</v>
      </c>
      <c r="D179" s="173">
        <f>+'NEW-Tables 80-86'!C119+'NEW-Tables 80-86'!C149</f>
        <v>368783.89555555559</v>
      </c>
      <c r="E179" s="210">
        <f>+GETPIVOTDATA("Sum of New-HS % of Total",'Pivot-HS Student % of Undergrad'!$A$3,"State","TX","Category",8,"Category2","Two-Year")</f>
        <v>6.9300775141621515E-2</v>
      </c>
      <c r="F179" s="173">
        <f>+'NEW-Tables 80-86'!D119+'NEW-Tables 80-86'!D149</f>
        <v>80564.248888888891</v>
      </c>
      <c r="G179" s="210">
        <f>+GETPIVOTDATA("Sum of New-HS % of Total",'Pivot-HS Student % of Undergrad'!$A$3,"State","TX","Category",9,"Category2","Two-Year")</f>
        <v>0.10345289589033539</v>
      </c>
      <c r="H179" s="173">
        <f>+'NEW-Tables 80-86'!E119+'NEW-Tables 80-86'!E149</f>
        <v>12165.273333333334</v>
      </c>
      <c r="I179" s="210">
        <f>+GETPIVOTDATA("Sum of New-HS % of Total",'Pivot-HS Student % of Undergrad'!$A$3,"State","TX","Category",10,"Category2","Two-Year")</f>
        <v>0.11421041696905532</v>
      </c>
      <c r="J179" s="173">
        <f>+'NEW-Tables 80-86'!F119+'NEW-Tables 80-86'!F149</f>
        <v>487766.30555555562</v>
      </c>
      <c r="K179" s="210">
        <f>+GETPIVOTDATA("Sum of New-HS % of Total",'Pivot-HS Student % of Undergrad'!$A$3,"State","TX","Category2","Group2")</f>
        <v>8.4051857048628914E-2</v>
      </c>
      <c r="Q179" s="1" t="s">
        <v>77</v>
      </c>
      <c r="R179" s="239">
        <f>+GETPIVOTDATA("Sum of Old-HS % of Total",'Pivot-HS Student % of Undergrad'!$A$3,"State","TX","Category",7,"Category2","Two-Year")</f>
        <v>0.19343256124194469</v>
      </c>
      <c r="S179" s="470">
        <f t="shared" si="26"/>
        <v>2.6140903739958921</v>
      </c>
      <c r="T179" s="240">
        <f>+GETPIVOTDATA("Sum of Old-HS % of Total",'Pivot-HS Student % of Undergrad'!$A$3,"State","TX","Category",8,"Category2","Two-Year")</f>
        <v>6.35065497460824E-2</v>
      </c>
      <c r="U179" s="470">
        <f t="shared" si="27"/>
        <v>0.57942253955391154</v>
      </c>
      <c r="V179" s="240">
        <f>+GETPIVOTDATA("Sum of Old-HS % of Total",'Pivot-HS Student % of Undergrad'!$A$3,"State","TX","Category",9,"Category2","Two-Year")</f>
        <v>9.7748332189442136E-2</v>
      </c>
      <c r="W179" s="470">
        <f t="shared" si="28"/>
        <v>0.57045637008932559</v>
      </c>
      <c r="X179" s="240">
        <f>+GETPIVOTDATA("Sum of Old-HS % of Total",'Pivot-HS Student % of Undergrad'!$A$3,"State","TX","Category",10,"Category2","Two-Year")</f>
        <v>0.10458193114159979</v>
      </c>
      <c r="Y179" s="470">
        <f t="shared" si="29"/>
        <v>0.96284858274555263</v>
      </c>
      <c r="Z179" s="240">
        <f>+GETPIVOTDATA("Sum of Old-HS % of Total",'Pivot-HS Student % of Undergrad'!$A$3,"State","TX","Category2","Two-Year")</f>
        <v>7.6763220790813436E-2</v>
      </c>
      <c r="AA179" s="470">
        <f t="shared" si="30"/>
        <v>0.72886362578154784</v>
      </c>
      <c r="AC179" s="100" t="s">
        <v>77</v>
      </c>
      <c r="AD179" s="230">
        <f>+'FTE Pivot for regular counts'!AF171</f>
        <v>26252.887777777778</v>
      </c>
      <c r="AE179" s="230">
        <f>+'FTE Pivot for regular counts'!AG171</f>
        <v>293160.33444444451</v>
      </c>
      <c r="AF179" s="230">
        <f>+'FTE Pivot for regular counts'!AH171</f>
        <v>69101.66777777778</v>
      </c>
      <c r="AG179" s="230">
        <f>+'FTE Pivot for regular counts'!AI171</f>
        <v>11609.253333333334</v>
      </c>
      <c r="AH179" s="230">
        <f>+'FTE Pivot for regular counts'!AJ171</f>
        <v>87642.162222222221</v>
      </c>
      <c r="AI179" s="80">
        <f>+J179</f>
        <v>487766.30555555562</v>
      </c>
      <c r="AJ179" s="462" t="s">
        <v>77</v>
      </c>
      <c r="AK179" s="456">
        <f>+'FTE Pivot for regular counts'!AF170</f>
        <v>25487.676666666666</v>
      </c>
      <c r="AL179" s="458">
        <f>+'FTE Pivot for regular counts'!AG170</f>
        <v>301789.08333333337</v>
      </c>
      <c r="AM179" s="458">
        <f>+'FTE Pivot for regular counts'!AH170</f>
        <v>70260.791111111103</v>
      </c>
      <c r="AN179" s="458">
        <f>+'FTE Pivot for regular counts'!AI170</f>
        <v>11576.046666666669</v>
      </c>
      <c r="AO179" s="458">
        <f>+'FTE Pivot for regular counts'!AJ170</f>
        <v>89093.266666666663</v>
      </c>
      <c r="AP179" s="457">
        <f>+'NEW-Tables 80-86'!V119+'NEW-Tables 80-86'!U149</f>
        <v>498206.86444444442</v>
      </c>
      <c r="AR179" s="1" t="s">
        <v>77</v>
      </c>
      <c r="AS179" s="858">
        <f t="shared" si="31"/>
        <v>21.957346498190361</v>
      </c>
      <c r="AT179" s="858">
        <f t="shared" si="32"/>
        <v>6.9300775141621518</v>
      </c>
      <c r="AU179" s="858">
        <f t="shared" si="33"/>
        <v>10.345289589033539</v>
      </c>
      <c r="AV179" s="858">
        <f t="shared" si="34"/>
        <v>11.421041696905531</v>
      </c>
      <c r="AW179" s="858">
        <f t="shared" si="35"/>
        <v>8.4051857048628911</v>
      </c>
      <c r="AY179" s="1" t="s">
        <v>77</v>
      </c>
      <c r="AZ179" s="858">
        <f t="shared" si="36"/>
        <v>19.343256124194468</v>
      </c>
      <c r="BA179" s="858">
        <f t="shared" si="37"/>
        <v>6.3506549746082399</v>
      </c>
      <c r="BB179" s="858">
        <f t="shared" si="38"/>
        <v>9.7748332189442131</v>
      </c>
      <c r="BC179" s="858">
        <f t="shared" si="39"/>
        <v>10.458193114159979</v>
      </c>
      <c r="BD179" s="858">
        <f t="shared" si="40"/>
        <v>7.6763220790813431</v>
      </c>
    </row>
    <row r="180" spans="1:88" ht="15" customHeight="1">
      <c r="A180" s="1" t="s">
        <v>78</v>
      </c>
      <c r="B180" s="32">
        <f>+'NEW-Tables 80-86'!B120+'NEW-Tables 80-86'!B150</f>
        <v>0</v>
      </c>
      <c r="C180" s="210">
        <f>+GETPIVOTDATA("Sum of New-HS % of Total",'Pivot-HS Student % of Undergrad'!$A$3,"State","VA","Category",7,"Category2","Two-Year")</f>
        <v>0</v>
      </c>
      <c r="D180" s="173">
        <f>+'NEW-Tables 80-86'!C120+'NEW-Tables 80-86'!C150</f>
        <v>77373.599999999991</v>
      </c>
      <c r="E180" s="210">
        <f>+GETPIVOTDATA("Sum of New-HS % of Total",'Pivot-HS Student % of Undergrad'!$A$3,"State","VA","Category",8,"Category2","Two-Year")</f>
        <v>5.6271562048726353E-2</v>
      </c>
      <c r="F180" s="173">
        <f>+'NEW-Tables 80-86'!D120+'NEW-Tables 80-86'!D150</f>
        <v>39417.46666666666</v>
      </c>
      <c r="G180" s="210">
        <f>+GETPIVOTDATA("Sum of New-HS % of Total",'Pivot-HS Student % of Undergrad'!$A$3,"State","VA","Category",9,"Category2","Two-Year")</f>
        <v>0.32832399173293736</v>
      </c>
      <c r="H180" s="173">
        <f>+'NEW-Tables 80-86'!E120+'NEW-Tables 80-86'!E150</f>
        <v>6896.7</v>
      </c>
      <c r="I180" s="210">
        <f>+GETPIVOTDATA("Sum of New-HS % of Total",'Pivot-HS Student % of Undergrad'!$A$3,"State","VA","Category",10,"Category2","Two-Year")</f>
        <v>0.42498586280394973</v>
      </c>
      <c r="J180" s="173">
        <f>+'NEW-Tables 80-86'!F120+'NEW-Tables 80-86'!F150</f>
        <v>123687.76666666665</v>
      </c>
      <c r="K180" s="210">
        <f>+GETPIVOTDATA("Sum of New-HS % of Total",'Pivot-HS Student % of Undergrad'!$A$3,"State","VA","Category2","Group2")</f>
        <v>0.1635297804983678</v>
      </c>
      <c r="Q180" s="1" t="s">
        <v>78</v>
      </c>
      <c r="R180" s="239">
        <f>+GETPIVOTDATA("Sum of Old-HS % of Total",'Pivot-HS Student % of Undergrad'!$A$3,"State","VA","Category",7,"Category2","Two-Year")</f>
        <v>0</v>
      </c>
      <c r="S180" s="470">
        <f t="shared" si="26"/>
        <v>0</v>
      </c>
      <c r="T180" s="240">
        <f>+GETPIVOTDATA("Sum of Old-HS % of Total",'Pivot-HS Student % of Undergrad'!$A$3,"State","VA","Category",8,"Category2","Two-Year")</f>
        <v>5.303019908620666E-2</v>
      </c>
      <c r="U180" s="470">
        <f t="shared" si="27"/>
        <v>0.32413629625196938</v>
      </c>
      <c r="V180" s="240">
        <f>+GETPIVOTDATA("Sum of Old-HS % of Total",'Pivot-HS Student % of Undergrad'!$A$3,"State","VA","Category",9,"Category2","Two-Year")</f>
        <v>0.28937079028817264</v>
      </c>
      <c r="W180" s="470">
        <f t="shared" si="28"/>
        <v>3.8953201444764716</v>
      </c>
      <c r="X180" s="240">
        <f>+GETPIVOTDATA("Sum of Old-HS % of Total",'Pivot-HS Student % of Undergrad'!$A$3,"State","VA","Category",10,"Category2","Two-Year")</f>
        <v>0.38293115273954909</v>
      </c>
      <c r="Y180" s="470">
        <f t="shared" si="29"/>
        <v>4.2054710064400647</v>
      </c>
      <c r="Z180" s="240">
        <f>+GETPIVOTDATA("Sum of Old-HS % of Total",'Pivot-HS Student % of Undergrad'!$A$3,"State","VA","Category2","Two-Year")</f>
        <v>0.1478829100911048</v>
      </c>
      <c r="AA180" s="470">
        <f t="shared" si="30"/>
        <v>1.5646870407263007</v>
      </c>
      <c r="AC180" s="98" t="s">
        <v>78</v>
      </c>
      <c r="AD180" s="80"/>
      <c r="AE180" s="80">
        <f>+D180</f>
        <v>77373.599999999991</v>
      </c>
      <c r="AF180" s="80">
        <f>+F180</f>
        <v>39417.46666666666</v>
      </c>
      <c r="AG180" s="230">
        <v>1050</v>
      </c>
      <c r="AH180" s="230">
        <f>+'FTE Pivot for regular counts'!AJ183</f>
        <v>0</v>
      </c>
      <c r="AI180" s="80">
        <f>+J180</f>
        <v>123687.76666666665</v>
      </c>
      <c r="AJ180" s="462" t="s">
        <v>78</v>
      </c>
      <c r="AK180" s="456"/>
      <c r="AL180" s="456"/>
      <c r="AM180" s="456"/>
      <c r="AN180" s="458">
        <v>1151</v>
      </c>
      <c r="AO180" s="458">
        <f>+'FTE Pivot for regular counts'!AJ182</f>
        <v>0</v>
      </c>
      <c r="AP180" s="457">
        <f>+'NEW-Tables 80-86'!V120+'NEW-Tables 80-86'!U150</f>
        <v>128968.7</v>
      </c>
      <c r="AQ180" s="25"/>
      <c r="AR180" s="1" t="s">
        <v>78</v>
      </c>
      <c r="AS180" s="858">
        <f t="shared" si="31"/>
        <v>0</v>
      </c>
      <c r="AT180" s="858">
        <f t="shared" si="32"/>
        <v>5.6271562048726356</v>
      </c>
      <c r="AU180" s="858">
        <f t="shared" si="33"/>
        <v>32.832399173293737</v>
      </c>
      <c r="AV180" s="858">
        <f t="shared" si="34"/>
        <v>42.498586280394974</v>
      </c>
      <c r="AW180" s="858">
        <f t="shared" si="35"/>
        <v>16.352978049836782</v>
      </c>
      <c r="AY180" s="1" t="s">
        <v>78</v>
      </c>
      <c r="AZ180" s="858">
        <f t="shared" si="36"/>
        <v>0</v>
      </c>
      <c r="BA180" s="858">
        <f t="shared" si="37"/>
        <v>5.3030199086206657</v>
      </c>
      <c r="BB180" s="858">
        <f t="shared" si="38"/>
        <v>28.937079028817266</v>
      </c>
      <c r="BC180" s="858">
        <f t="shared" si="39"/>
        <v>38.293115273954911</v>
      </c>
      <c r="BD180" s="858">
        <f t="shared" si="40"/>
        <v>14.78829100911048</v>
      </c>
      <c r="BE180" s="25"/>
      <c r="BF180" s="25"/>
      <c r="BG180" s="25"/>
    </row>
    <row r="181" spans="1:88" ht="15" customHeight="1">
      <c r="A181" s="3" t="s">
        <v>79</v>
      </c>
      <c r="B181" s="9">
        <f>+'NEW-Tables 80-86'!B121+'NEW-Tables 80-86'!B151</f>
        <v>4173.7</v>
      </c>
      <c r="C181" s="212">
        <f>+GETPIVOTDATA("Sum of New-HS % of Total",'Pivot-HS Student % of Undergrad'!$A$3,"State","WV","Category",7,"Category2","Two-Year")</f>
        <v>3.9133941906062564E-2</v>
      </c>
      <c r="D181" s="174">
        <f>+'NEW-Tables 80-86'!C121+'NEW-Tables 80-86'!C151</f>
        <v>0</v>
      </c>
      <c r="E181" s="212">
        <f>+GETPIVOTDATA("Sum of New-HS % of Total",'Pivot-HS Student % of Undergrad'!$A$3,"State","WV","Category",8,"Category2","Two-Year")</f>
        <v>0</v>
      </c>
      <c r="F181" s="174">
        <f>+'NEW-Tables 80-86'!D121+'NEW-Tables 80-86'!D151</f>
        <v>5780.9633333333331</v>
      </c>
      <c r="G181" s="212">
        <f>+GETPIVOTDATA("Sum of New-HS % of Total",'Pivot-HS Student % of Undergrad'!$A$3,"State","WV","Category",9,"Category2","Two-Year")</f>
        <v>4.5966963983511397E-2</v>
      </c>
      <c r="H181" s="174">
        <f>+'NEW-Tables 80-86'!E121+'NEW-Tables 80-86'!E151</f>
        <v>7506.6833333333334</v>
      </c>
      <c r="I181" s="212">
        <f>+GETPIVOTDATA("Sum of New-HS % of Total",'Pivot-HS Student % of Undergrad'!$A$3,"State","WV","Category",10,"Category2","Two-Year")</f>
        <v>2.5537687527336754E-2</v>
      </c>
      <c r="J181" s="174">
        <f>+'NEW-Tables 80-86'!F121+'NEW-Tables 80-86'!F151</f>
        <v>17461.346666666668</v>
      </c>
      <c r="K181" s="212">
        <f>+GETPIVOTDATA("Sum of New-HS % of Total",'Pivot-HS Student % of Undergrad'!$A$3,"State","WV","Category2","Group2")</f>
        <v>3.5551095333616875E-2</v>
      </c>
      <c r="Q181" s="3" t="s">
        <v>79</v>
      </c>
      <c r="R181" s="431">
        <f>+GETPIVOTDATA("Sum of Old-HS % of Total",'Pivot-HS Student % of Undergrad'!$A$3,"State","WV","Category",7,"Category2","Two-Year")</f>
        <v>4.0454630147195823E-2</v>
      </c>
      <c r="S181" s="470">
        <f t="shared" si="26"/>
        <v>-0.13206882411332596</v>
      </c>
      <c r="T181" s="432">
        <f>+GETPIVOTDATA("Sum of Old-HS % of Total",'Pivot-HS Student % of Undergrad'!$A$3,"State","WV","Category",8,"Category2","Two-Year")</f>
        <v>0</v>
      </c>
      <c r="U181" s="470">
        <f t="shared" si="27"/>
        <v>0</v>
      </c>
      <c r="V181" s="432">
        <f>+GETPIVOTDATA("Sum of Old-HS % of Total",'Pivot-HS Student % of Undergrad'!$A$3,"State","WV","Category",9,"Category2","Two-Year")</f>
        <v>4.4364944566257829E-2</v>
      </c>
      <c r="W181" s="470">
        <f t="shared" si="28"/>
        <v>0.16020194172535682</v>
      </c>
      <c r="X181" s="432">
        <f>+GETPIVOTDATA("Sum of Old-HS % of Total",'Pivot-HS Student % of Undergrad'!$A$3,"State","WV","Category",10,"Category2","Two-Year")</f>
        <v>3.0302403990130216E-2</v>
      </c>
      <c r="Y181" s="470">
        <f t="shared" si="29"/>
        <v>-0.47647164627934618</v>
      </c>
      <c r="Z181" s="432">
        <f>+GETPIVOTDATA("Sum of Old-HS % of Total",'Pivot-HS Student % of Undergrad'!$A$3,"State","WV","Category2","Two-Year")</f>
        <v>3.7608823802720376E-2</v>
      </c>
      <c r="AA181" s="470">
        <f t="shared" si="30"/>
        <v>-0.20577284691035008</v>
      </c>
      <c r="AC181" s="98" t="s">
        <v>79</v>
      </c>
      <c r="AD181" s="80">
        <f>+B181</f>
        <v>4173.7</v>
      </c>
      <c r="AE181" s="80">
        <f>+D181</f>
        <v>0</v>
      </c>
      <c r="AF181" s="80">
        <f>+F181</f>
        <v>5780.9633333333331</v>
      </c>
      <c r="AG181" s="80">
        <f>+H181</f>
        <v>7506.6833333333334</v>
      </c>
      <c r="AH181" s="145"/>
      <c r="AI181" s="80">
        <f>+J181</f>
        <v>17461.346666666668</v>
      </c>
      <c r="AJ181" s="464" t="s">
        <v>79</v>
      </c>
      <c r="AK181" s="459">
        <f>+'NEW-Tables 80-86'!R121+'NEW-Tables 80-86'!Q151</f>
        <v>4472.5</v>
      </c>
      <c r="AL181" s="459">
        <f>+'NEW-Tables 80-86'!S121+'NEW-Tables 80-86'!R151</f>
        <v>0</v>
      </c>
      <c r="AM181" s="459">
        <f>+'NEW-Tables 80-86'!T121+'NEW-Tables 80-86'!S151</f>
        <v>6313.5433333333331</v>
      </c>
      <c r="AN181" s="459">
        <f>+'NEW-Tables 80-86'!U121+'NEW-Tables 80-86'!T151</f>
        <v>7580.0366666666669</v>
      </c>
      <c r="AO181" s="459"/>
      <c r="AP181" s="460">
        <f>+'NEW-Tables 80-86'!V121+'NEW-Tables 80-86'!U151</f>
        <v>18366.080000000002</v>
      </c>
      <c r="AR181" s="3" t="s">
        <v>79</v>
      </c>
      <c r="AS181" s="859">
        <f t="shared" si="31"/>
        <v>3.9133941906062564</v>
      </c>
      <c r="AT181" s="859">
        <f t="shared" si="32"/>
        <v>0</v>
      </c>
      <c r="AU181" s="859">
        <f t="shared" si="33"/>
        <v>4.5966963983511393</v>
      </c>
      <c r="AV181" s="859">
        <f t="shared" si="34"/>
        <v>2.5537687527336752</v>
      </c>
      <c r="AW181" s="859">
        <f t="shared" si="35"/>
        <v>3.5551095333616876</v>
      </c>
      <c r="AY181" s="3" t="s">
        <v>79</v>
      </c>
      <c r="AZ181" s="859">
        <f t="shared" si="36"/>
        <v>4.0454630147195827</v>
      </c>
      <c r="BA181" s="859">
        <f t="shared" si="37"/>
        <v>0</v>
      </c>
      <c r="BB181" s="859">
        <f t="shared" si="38"/>
        <v>4.4364944566257831</v>
      </c>
      <c r="BC181" s="859">
        <f t="shared" si="39"/>
        <v>3.0302403990130218</v>
      </c>
      <c r="BD181" s="859">
        <f t="shared" si="40"/>
        <v>3.7608823802720375</v>
      </c>
      <c r="BH181" s="25"/>
      <c r="BI181" s="25"/>
      <c r="BJ181" s="25"/>
    </row>
    <row r="182" spans="1:88" ht="34.5" customHeight="1">
      <c r="A182" s="834" t="s">
        <v>971</v>
      </c>
      <c r="B182" s="834"/>
      <c r="C182" s="834"/>
      <c r="D182" s="834"/>
      <c r="E182" s="834"/>
      <c r="F182" s="834"/>
      <c r="G182" s="834"/>
      <c r="H182" s="834"/>
      <c r="I182" s="834"/>
      <c r="J182" s="834"/>
      <c r="K182" s="834"/>
      <c r="P182" s="25"/>
      <c r="AN182" s="25"/>
      <c r="AO182" s="25"/>
      <c r="AP182" s="25"/>
      <c r="AQ182" s="25"/>
      <c r="AZ182" s="25"/>
      <c r="BA182" s="25"/>
      <c r="BB182" s="25"/>
      <c r="BC182" s="25"/>
      <c r="BD182" s="25"/>
      <c r="BE182" s="25"/>
      <c r="BF182" s="25"/>
      <c r="BG182" s="25"/>
      <c r="CF182" s="25"/>
      <c r="CG182" s="25"/>
      <c r="CH182" s="25"/>
      <c r="CI182" s="25"/>
      <c r="CJ182" s="25"/>
    </row>
    <row r="183" spans="1:88" s="25" customFormat="1" ht="10.5" customHeight="1">
      <c r="A183" s="1"/>
      <c r="B183" s="1"/>
      <c r="C183" s="1"/>
      <c r="D183" s="1"/>
      <c r="E183" s="1"/>
      <c r="F183" s="1"/>
      <c r="G183" s="1"/>
      <c r="H183" s="4"/>
      <c r="I183" s="1"/>
      <c r="J183" s="1"/>
      <c r="K183" s="833" t="s">
        <v>982</v>
      </c>
      <c r="L183" s="103"/>
      <c r="M183" s="103"/>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8" ht="18" customHeight="1">
      <c r="A184" s="115" t="s">
        <v>169</v>
      </c>
      <c r="B184" s="22"/>
      <c r="C184" s="22"/>
      <c r="D184" s="22"/>
      <c r="E184" s="22"/>
      <c r="F184" s="22"/>
      <c r="G184" s="22"/>
      <c r="H184" s="106"/>
      <c r="I184" s="22"/>
      <c r="J184" s="1"/>
      <c r="K184" s="1"/>
      <c r="L184" s="1"/>
      <c r="M184" s="201"/>
      <c r="S184" s="169"/>
      <c r="AN184" s="25"/>
      <c r="AO184" s="25"/>
      <c r="AP184" s="25"/>
      <c r="AQ184" s="25"/>
      <c r="AZ184" s="25"/>
      <c r="BA184" s="25"/>
      <c r="BB184" s="25"/>
      <c r="BC184" s="25"/>
      <c r="BD184" s="25"/>
      <c r="BE184" s="25"/>
      <c r="BF184" s="25"/>
      <c r="BG184" s="25"/>
    </row>
    <row r="185" spans="1:88" ht="15.75">
      <c r="A185" s="21"/>
      <c r="B185" s="22"/>
      <c r="C185" s="22"/>
      <c r="D185" s="22"/>
      <c r="E185" s="22"/>
      <c r="F185" s="22"/>
      <c r="G185" s="22"/>
      <c r="H185" s="106"/>
      <c r="I185" s="22"/>
      <c r="J185" s="1"/>
      <c r="K185" s="1"/>
      <c r="L185" s="1"/>
      <c r="M185" s="201"/>
      <c r="S185" s="169"/>
      <c r="AA185" s="126"/>
      <c r="AB185" s="228"/>
      <c r="AC185" s="100"/>
      <c r="AD185" s="235" t="s">
        <v>39</v>
      </c>
      <c r="AE185" s="100"/>
      <c r="AF185" s="100"/>
      <c r="AG185" s="100"/>
      <c r="AH185" s="100"/>
      <c r="AI185" s="100"/>
      <c r="AJ185" s="235" t="s">
        <v>39</v>
      </c>
      <c r="AK185" s="100"/>
      <c r="AL185" s="100"/>
      <c r="AN185" s="25"/>
      <c r="AO185" s="228" t="s">
        <v>985</v>
      </c>
      <c r="AT185" s="228" t="s">
        <v>985</v>
      </c>
      <c r="BA185" s="25"/>
      <c r="BB185" s="25"/>
      <c r="BC185" s="25"/>
    </row>
    <row r="186" spans="1:88" ht="15.75" customHeight="1">
      <c r="A186" s="43" t="s">
        <v>36</v>
      </c>
      <c r="B186" s="22"/>
      <c r="C186" s="22"/>
      <c r="D186" s="22"/>
      <c r="E186" s="22"/>
      <c r="F186" s="22"/>
      <c r="G186" s="22"/>
      <c r="H186" s="106"/>
      <c r="I186" s="22"/>
      <c r="J186" s="1"/>
      <c r="K186" s="1"/>
      <c r="L186" s="1"/>
      <c r="M186" s="201"/>
      <c r="S186" s="169"/>
      <c r="AA186" s="146"/>
      <c r="AB186" s="126"/>
      <c r="AC186" s="100"/>
      <c r="AD186" s="134" t="s">
        <v>144</v>
      </c>
      <c r="AE186" s="100"/>
      <c r="AF186" s="100"/>
      <c r="AG186" s="100"/>
      <c r="AH186" s="100"/>
      <c r="AI186" s="100"/>
      <c r="AJ186" s="134" t="s">
        <v>38</v>
      </c>
      <c r="AK186" s="100"/>
      <c r="AL186" s="100"/>
      <c r="AN186" s="25"/>
      <c r="AO186" s="857" t="s">
        <v>144</v>
      </c>
      <c r="AT186" s="857" t="s">
        <v>38</v>
      </c>
      <c r="BA186" s="25"/>
      <c r="BB186" s="25"/>
      <c r="BC186" s="25"/>
    </row>
    <row r="187" spans="1:88" ht="15.75">
      <c r="A187" s="43" t="s">
        <v>972</v>
      </c>
      <c r="B187" s="22"/>
      <c r="C187" s="22"/>
      <c r="D187" s="22"/>
      <c r="E187" s="22"/>
      <c r="F187" s="22"/>
      <c r="G187" s="22"/>
      <c r="H187" s="106"/>
      <c r="I187" s="22"/>
      <c r="J187" s="1"/>
      <c r="K187" s="1"/>
      <c r="L187" s="1"/>
      <c r="M187" s="201"/>
      <c r="Q187" s="126" t="s">
        <v>38</v>
      </c>
      <c r="S187" s="169"/>
      <c r="AA187" s="146"/>
      <c r="AB187" s="146"/>
      <c r="AC187" s="100"/>
      <c r="AD187" s="100"/>
      <c r="AE187" s="100"/>
      <c r="AF187" s="100"/>
      <c r="AG187" s="100"/>
      <c r="AH187" s="100"/>
      <c r="AI187" s="100"/>
      <c r="AJ187" s="100"/>
      <c r="AK187" s="100"/>
      <c r="AL187" s="100"/>
      <c r="AN187" s="25"/>
      <c r="BA187" s="25"/>
      <c r="BB187" s="25"/>
      <c r="BC187" s="25"/>
    </row>
    <row r="188" spans="1:88">
      <c r="C188" s="3"/>
      <c r="D188" s="3"/>
      <c r="E188" s="3"/>
      <c r="F188" s="3"/>
      <c r="G188" s="3"/>
      <c r="H188" s="73"/>
      <c r="I188" s="25"/>
      <c r="J188" s="1"/>
      <c r="K188" s="1"/>
      <c r="L188" s="1"/>
      <c r="M188" s="201"/>
      <c r="Q188" s="236" t="s">
        <v>153</v>
      </c>
      <c r="R188" s="3"/>
      <c r="S188" s="3"/>
      <c r="T188" s="3"/>
      <c r="U188" s="3"/>
      <c r="V188" s="3"/>
      <c r="W188" s="3"/>
      <c r="X188" s="25"/>
      <c r="Y188" s="25"/>
      <c r="AA188" s="146"/>
      <c r="AB188" s="146"/>
      <c r="AC188" s="100"/>
      <c r="AD188" s="133" t="s">
        <v>39</v>
      </c>
      <c r="AE188" s="100"/>
      <c r="AF188" s="100"/>
      <c r="AG188" s="100"/>
      <c r="AH188" s="100"/>
      <c r="AI188" s="100"/>
      <c r="AJ188" s="133" t="s">
        <v>39</v>
      </c>
      <c r="AK188" s="100"/>
      <c r="AL188" s="100"/>
      <c r="AN188" s="25"/>
      <c r="BA188" s="25"/>
      <c r="BB188" s="25"/>
      <c r="BC188" s="25"/>
    </row>
    <row r="189" spans="1:88" ht="28.5" customHeight="1">
      <c r="A189" s="45"/>
      <c r="B189" s="265">
        <v>1</v>
      </c>
      <c r="D189" s="223">
        <v>2</v>
      </c>
      <c r="F189" s="224" t="s">
        <v>30</v>
      </c>
      <c r="H189" s="73"/>
      <c r="I189" s="25"/>
      <c r="J189" s="1"/>
      <c r="K189" s="1"/>
      <c r="L189" s="1"/>
      <c r="M189" s="201"/>
      <c r="Q189" s="76"/>
      <c r="R189" s="76" t="s">
        <v>157</v>
      </c>
      <c r="S189" s="25"/>
      <c r="T189" s="237">
        <v>2</v>
      </c>
      <c r="U189" s="25"/>
      <c r="V189" s="237" t="s">
        <v>1</v>
      </c>
      <c r="W189" s="25"/>
      <c r="X189" s="73"/>
      <c r="Y189" s="73"/>
      <c r="AA189" s="146"/>
      <c r="AB189" s="146"/>
      <c r="AC189" s="100"/>
      <c r="AD189" s="137" t="s">
        <v>45</v>
      </c>
      <c r="AE189" s="138"/>
      <c r="AF189" s="139"/>
      <c r="AG189" s="140"/>
      <c r="AH189" s="100"/>
      <c r="AI189" s="100"/>
      <c r="AJ189" s="137" t="s">
        <v>45</v>
      </c>
      <c r="AK189" s="138"/>
      <c r="AL189" s="139"/>
      <c r="AN189" s="25"/>
      <c r="AP189" s="137">
        <v>1</v>
      </c>
      <c r="AQ189" s="138">
        <v>2</v>
      </c>
      <c r="AR189" s="139" t="s">
        <v>30</v>
      </c>
      <c r="AU189" s="137">
        <v>1</v>
      </c>
      <c r="AV189" s="138">
        <v>2</v>
      </c>
      <c r="AW189" s="139" t="s">
        <v>30</v>
      </c>
      <c r="BA189" s="25"/>
      <c r="BB189" s="25"/>
      <c r="BC189" s="25"/>
    </row>
    <row r="190" spans="1:88" ht="78" customHeight="1">
      <c r="A190" s="203"/>
      <c r="B190" s="204" t="s">
        <v>143</v>
      </c>
      <c r="C190" s="166" t="s">
        <v>22</v>
      </c>
      <c r="D190" s="205" t="s">
        <v>143</v>
      </c>
      <c r="E190" s="166" t="s">
        <v>22</v>
      </c>
      <c r="F190" s="205" t="s">
        <v>143</v>
      </c>
      <c r="G190" s="166" t="s">
        <v>22</v>
      </c>
      <c r="J190" s="1"/>
      <c r="K190" s="1"/>
      <c r="L190" s="1"/>
      <c r="M190" s="201"/>
      <c r="Q190" s="3"/>
      <c r="R190" s="232" t="s">
        <v>2</v>
      </c>
      <c r="S190" s="232" t="s">
        <v>4</v>
      </c>
      <c r="T190" s="234" t="s">
        <v>2</v>
      </c>
      <c r="U190" s="232" t="s">
        <v>4</v>
      </c>
      <c r="V190" s="234" t="s">
        <v>2</v>
      </c>
      <c r="W190" s="232" t="s">
        <v>4</v>
      </c>
      <c r="X190" s="423"/>
      <c r="Y190" s="423"/>
      <c r="AA190" s="146"/>
      <c r="AB190" s="146"/>
      <c r="AC190" s="100"/>
      <c r="AD190" s="143">
        <v>1</v>
      </c>
      <c r="AE190" s="144">
        <v>2</v>
      </c>
      <c r="AF190" s="142" t="s">
        <v>30</v>
      </c>
      <c r="AG190" s="142"/>
      <c r="AH190" s="100"/>
      <c r="AI190" s="100"/>
      <c r="AJ190" s="143">
        <v>1</v>
      </c>
      <c r="AK190" s="144">
        <v>2</v>
      </c>
      <c r="AL190" s="142" t="s">
        <v>30</v>
      </c>
      <c r="AN190" s="25"/>
      <c r="AP190" s="851" t="s">
        <v>984</v>
      </c>
      <c r="AQ190" s="851" t="s">
        <v>984</v>
      </c>
      <c r="AR190" s="851" t="s">
        <v>984</v>
      </c>
      <c r="AU190" s="851" t="s">
        <v>984</v>
      </c>
      <c r="AV190" s="851" t="s">
        <v>984</v>
      </c>
      <c r="AW190" s="851" t="s">
        <v>984</v>
      </c>
      <c r="BA190" s="25"/>
      <c r="BB190" s="25"/>
      <c r="BC190" s="25"/>
    </row>
    <row r="191" spans="1:88" ht="12.75" customHeight="1">
      <c r="A191" s="1" t="s">
        <v>64</v>
      </c>
      <c r="B191" s="32">
        <f>+'NEW-Tables 80-86'!G101+'NEW-Tables 80-86'!G131</f>
        <v>98711.508933333331</v>
      </c>
      <c r="D191" s="175">
        <f>+'NEW-Tables 80-86'!H101+'NEW-Tables 80-86'!H131</f>
        <v>28281.007488888885</v>
      </c>
      <c r="F191" s="175">
        <f>+'NEW-Tables 80-86'!I101+'NEW-Tables 80-86'!I131</f>
        <v>126992.51642222222</v>
      </c>
      <c r="J191" s="1"/>
      <c r="K191" s="1"/>
      <c r="L191" s="1"/>
      <c r="M191" s="201"/>
      <c r="Q191" s="25" t="s">
        <v>64</v>
      </c>
      <c r="R191" s="428"/>
      <c r="S191" s="422">
        <f>C191-R191</f>
        <v>0</v>
      </c>
      <c r="T191" s="240"/>
      <c r="U191" s="422">
        <f>E191-T191</f>
        <v>0</v>
      </c>
      <c r="V191" s="240"/>
      <c r="W191" s="422">
        <f>G191-V191</f>
        <v>0</v>
      </c>
      <c r="X191" s="424"/>
      <c r="Y191" s="425"/>
      <c r="AA191" s="146"/>
      <c r="AB191" s="146"/>
      <c r="AC191" s="100" t="s">
        <v>64</v>
      </c>
      <c r="AD191" s="81">
        <f>SUM(AD193:AD211)</f>
        <v>98711.508933333331</v>
      </c>
      <c r="AE191" s="80">
        <f>SUM(AE193:AE211)</f>
        <v>28281.007488888885</v>
      </c>
      <c r="AF191" s="80">
        <f>SUM(AF193:AF211)</f>
        <v>126992.51642222224</v>
      </c>
      <c r="AG191" s="80"/>
      <c r="AH191" s="100"/>
      <c r="AI191" s="100" t="s">
        <v>64</v>
      </c>
      <c r="AJ191" s="80">
        <f>SUM(AJ193:AJ211)</f>
        <v>103314.87222222223</v>
      </c>
      <c r="AK191" s="80">
        <f>SUM(AK193:AK211)</f>
        <v>28325.901111111107</v>
      </c>
      <c r="AL191" s="80">
        <f>SUM(AL193:AL211)</f>
        <v>131640.77333333332</v>
      </c>
      <c r="AN191" s="25"/>
      <c r="AO191" s="100" t="s">
        <v>64</v>
      </c>
      <c r="AT191" s="100" t="s">
        <v>64</v>
      </c>
      <c r="BA191" s="25"/>
      <c r="BB191" s="25"/>
      <c r="BC191" s="25"/>
    </row>
    <row r="192" spans="1:88" ht="10.5" customHeight="1">
      <c r="A192" s="262"/>
      <c r="B192" s="266"/>
      <c r="C192" s="258" t="s">
        <v>183</v>
      </c>
      <c r="D192" s="264" t="s">
        <v>28</v>
      </c>
      <c r="E192" s="258" t="s">
        <v>184</v>
      </c>
      <c r="F192" s="264" t="s">
        <v>28</v>
      </c>
      <c r="G192" s="258" t="s">
        <v>185</v>
      </c>
      <c r="J192" s="1" t="s">
        <v>28</v>
      </c>
      <c r="K192" s="1"/>
      <c r="L192" s="1"/>
      <c r="M192" s="201"/>
      <c r="Q192" s="25"/>
      <c r="R192" s="429"/>
      <c r="S192" s="422"/>
      <c r="T192" s="430"/>
      <c r="U192" s="422"/>
      <c r="V192" s="430"/>
      <c r="W192" s="422"/>
      <c r="X192" s="424"/>
      <c r="Y192" s="426"/>
      <c r="AA192" s="146"/>
      <c r="AB192" s="146"/>
      <c r="AC192" s="100"/>
      <c r="AD192" s="80"/>
      <c r="AE192" s="80"/>
      <c r="AF192" s="80"/>
      <c r="AG192" s="80"/>
      <c r="AH192" s="100"/>
      <c r="AI192" s="100"/>
      <c r="AJ192" s="80"/>
      <c r="AK192" s="80"/>
      <c r="AL192" s="80"/>
      <c r="AN192" s="25"/>
      <c r="AO192" s="100"/>
      <c r="AT192" s="100"/>
      <c r="BA192" s="25"/>
      <c r="BB192" s="25"/>
      <c r="BC192" s="25"/>
    </row>
    <row r="193" spans="1:55">
      <c r="A193" s="1" t="s">
        <v>65</v>
      </c>
      <c r="B193" s="32">
        <f>+'NEW-Tables 80-86'!G103+'NEW-Tables 80-86'!G133</f>
        <v>1233.1666666666667</v>
      </c>
      <c r="C193" s="96">
        <f>+GETPIVOTDATA("Sum of New-HS % of Total",'Pivot-HS Student % of Undergrad'!$A$3,"State","AL","Category",12,"Category2","Technical")</f>
        <v>1.9462089471550209E-3</v>
      </c>
      <c r="D193" s="175">
        <f>+'NEW-Tables 80-86'!H103+'NEW-Tables 80-86'!H133</f>
        <v>1988.8666666666668</v>
      </c>
      <c r="E193" s="96">
        <f>+GETPIVOTDATA("Sum of New-HS % of Total",'Pivot-HS Student % of Undergrad'!$A$3,"State","AL","Category",13,"Category2","Technical")</f>
        <v>5.7603995575369556E-2</v>
      </c>
      <c r="F193" s="175">
        <f>+'NEW-Tables 80-86'!I103+'NEW-Tables 80-86'!I133</f>
        <v>3222.0333333333338</v>
      </c>
      <c r="G193" s="96">
        <f>+GETPIVOTDATA("Sum of New-HS % of Total",'Pivot-HS Student % of Undergrad'!$A$3,"State","AL","Category2","Group3")</f>
        <v>3.6302128055782583E-2</v>
      </c>
      <c r="J193" s="1"/>
      <c r="K193" s="1"/>
      <c r="L193" s="1"/>
      <c r="M193" s="201"/>
      <c r="Q193" s="25" t="s">
        <v>65</v>
      </c>
      <c r="R193" s="239">
        <f>+GETPIVOTDATA("Sum of Old-HS % of Total",'Pivot-HS Student % of Undergrad'!$A$3,"State","AL","Category",12,"Category2","Technical")</f>
        <v>5.188003359849795E-3</v>
      </c>
      <c r="S193" s="470">
        <f>(C193-R193)*100</f>
        <v>-0.32417944126947745</v>
      </c>
      <c r="T193" s="240">
        <f>+GETPIVOTDATA("Sum of Old-HS % of Total",'Pivot-HS Student % of Undergrad'!$A$3,"State","AL","Category",13,"Category2","Technical")</f>
        <v>5.345363440314601E-2</v>
      </c>
      <c r="U193" s="470">
        <f>(E193-T193)*100</f>
        <v>0.41503611722235462</v>
      </c>
      <c r="V193" s="240">
        <f>+GETPIVOTDATA("Sum of Old-HS % of Total",'Pivot-HS Student % of Undergrad'!$A$3,"State","AL","Category2","Technical")</f>
        <v>3.4584999323945841E-2</v>
      </c>
      <c r="W193" s="470">
        <f>(G193-V193)*100</f>
        <v>0.17171287318367423</v>
      </c>
      <c r="X193" s="424"/>
      <c r="Y193" s="426"/>
      <c r="AA193" s="146"/>
      <c r="AB193" s="146"/>
      <c r="AC193" s="100" t="s">
        <v>65</v>
      </c>
      <c r="AD193" s="81">
        <f>+B193</f>
        <v>1233.1666666666667</v>
      </c>
      <c r="AE193" s="80">
        <f>+D193</f>
        <v>1988.8666666666668</v>
      </c>
      <c r="AF193" s="80">
        <f>+F193</f>
        <v>3222.0333333333338</v>
      </c>
      <c r="AG193" s="80"/>
      <c r="AH193" s="100"/>
      <c r="AI193" s="100" t="s">
        <v>65</v>
      </c>
      <c r="AJ193" s="99">
        <f>+'NEW-Tables 80-86'!W103+'NEW-Tables 80-86'!V133</f>
        <v>1349.2666666666667</v>
      </c>
      <c r="AK193" s="98">
        <f>+'NEW-Tables 80-86'!X103+'NEW-Tables 80-86'!W133</f>
        <v>2102.1333333333332</v>
      </c>
      <c r="AL193" s="80">
        <f>+'NEW-Tables 80-86'!Y103+'NEW-Tables 80-86'!X133</f>
        <v>3451.3999999999996</v>
      </c>
      <c r="AN193" s="25"/>
      <c r="AO193" s="100" t="s">
        <v>65</v>
      </c>
      <c r="AP193" s="860">
        <f>C193*100</f>
        <v>0.19462089471550209</v>
      </c>
      <c r="AQ193" s="860">
        <f>E193*100</f>
        <v>5.7603995575369558</v>
      </c>
      <c r="AR193" s="860">
        <f>G193*100</f>
        <v>3.6302128055782581</v>
      </c>
      <c r="AT193" s="100" t="s">
        <v>65</v>
      </c>
      <c r="AU193" s="860">
        <f>R193*100</f>
        <v>0.51880033598497954</v>
      </c>
      <c r="AV193" s="860">
        <f>T193*100</f>
        <v>5.3453634403146006</v>
      </c>
      <c r="AW193" s="860">
        <f>V193*100</f>
        <v>3.458499932394584</v>
      </c>
      <c r="BA193" s="25"/>
      <c r="BB193" s="25"/>
      <c r="BC193" s="25"/>
    </row>
    <row r="194" spans="1:55">
      <c r="A194" s="1" t="s">
        <v>66</v>
      </c>
      <c r="B194" s="32">
        <f>+'NEW-Tables 80-86'!G104+'NEW-Tables 80-86'!G134</f>
        <v>0</v>
      </c>
      <c r="C194" s="96">
        <f>+GETPIVOTDATA("Sum of New-HS % of Total",'Pivot-HS Student % of Undergrad'!$A$3,"State","AR","Category",12,"Category2","Technical")</f>
        <v>0</v>
      </c>
      <c r="D194" s="175">
        <f>+'NEW-Tables 80-86'!H104+'NEW-Tables 80-86'!H134</f>
        <v>0</v>
      </c>
      <c r="E194" s="96">
        <f>+GETPIVOTDATA("Sum of New-HS % of Total",'Pivot-HS Student % of Undergrad'!$A$3,"State","AR","Category",13,"Category2","Technical")</f>
        <v>0</v>
      </c>
      <c r="F194" s="175">
        <f>+'NEW-Tables 80-86'!I104+'NEW-Tables 80-86'!I134</f>
        <v>0</v>
      </c>
      <c r="G194" s="96">
        <f>+GETPIVOTDATA("Sum of New-HS % of Total",'Pivot-HS Student % of Undergrad'!$A$3,"State","AR","Category2","Group3")</f>
        <v>0</v>
      </c>
      <c r="J194" s="1"/>
      <c r="K194" s="1"/>
      <c r="L194" s="1"/>
      <c r="M194" s="201"/>
      <c r="Q194" s="73" t="s">
        <v>66</v>
      </c>
      <c r="R194" s="239">
        <f>+GETPIVOTDATA("Sum of Old-HS % of Total",'Pivot-HS Student % of Undergrad'!$A$3,"State","AR","Category",12,"Category2","Technical")</f>
        <v>0</v>
      </c>
      <c r="S194" s="470">
        <f t="shared" ref="S194:S211" si="41">(C194-R194)*100</f>
        <v>0</v>
      </c>
      <c r="T194" s="240">
        <f>+GETPIVOTDATA("Sum of Old-HS % of Total",'Pivot-HS Student % of Undergrad'!$A$3,"State","AR","Category",13,"Category2","Technical")</f>
        <v>0</v>
      </c>
      <c r="U194" s="470">
        <f t="shared" ref="U194:U211" si="42">(E194-T194)*100</f>
        <v>0</v>
      </c>
      <c r="V194" s="240">
        <f>+GETPIVOTDATA("Sum of Old-HS % of Total",'Pivot-HS Student % of Undergrad'!$A$3,"State","AR","Category2","Technical")</f>
        <v>0</v>
      </c>
      <c r="W194" s="470">
        <f t="shared" ref="W194:W211" si="43">(G194-V194)*100</f>
        <v>0</v>
      </c>
      <c r="X194" s="424"/>
      <c r="Y194" s="427"/>
      <c r="AA194" s="146"/>
      <c r="AB194" s="146"/>
      <c r="AC194" s="100" t="s">
        <v>66</v>
      </c>
      <c r="AD194" s="81">
        <f>+B194</f>
        <v>0</v>
      </c>
      <c r="AE194" s="80">
        <f>+D194</f>
        <v>0</v>
      </c>
      <c r="AF194" s="80">
        <f>+F194</f>
        <v>0</v>
      </c>
      <c r="AG194" s="80"/>
      <c r="AH194" s="100"/>
      <c r="AI194" s="100" t="s">
        <v>66</v>
      </c>
      <c r="AJ194" s="99">
        <f>+'NEW-Tables 80-86'!W104+'NEW-Tables 80-86'!V134</f>
        <v>0</v>
      </c>
      <c r="AK194" s="98">
        <f>+'NEW-Tables 80-86'!X104+'NEW-Tables 80-86'!W134</f>
        <v>0</v>
      </c>
      <c r="AL194" s="80">
        <f>+'NEW-Tables 80-86'!Y104+'NEW-Tables 80-86'!X134</f>
        <v>0</v>
      </c>
      <c r="AN194" s="25"/>
      <c r="AO194" s="100" t="s">
        <v>66</v>
      </c>
      <c r="AP194" s="860">
        <f t="shared" ref="AP194:AP211" si="44">C194*100</f>
        <v>0</v>
      </c>
      <c r="AQ194" s="860">
        <f t="shared" ref="AQ194:AQ211" si="45">E194*100</f>
        <v>0</v>
      </c>
      <c r="AR194" s="860">
        <f t="shared" ref="AR194:AR211" si="46">G194*100</f>
        <v>0</v>
      </c>
      <c r="AT194" s="100" t="s">
        <v>66</v>
      </c>
      <c r="AU194" s="860">
        <f t="shared" ref="AU194:AU211" si="47">R194*100</f>
        <v>0</v>
      </c>
      <c r="AV194" s="860">
        <f t="shared" ref="AV194:AV211" si="48">T194*100</f>
        <v>0</v>
      </c>
      <c r="AW194" s="860">
        <f t="shared" ref="AW194:AW211" si="49">V194*100</f>
        <v>0</v>
      </c>
      <c r="BA194" s="25"/>
      <c r="BB194" s="25"/>
      <c r="BC194" s="25"/>
    </row>
    <row r="195" spans="1:55">
      <c r="A195" s="1" t="s">
        <v>102</v>
      </c>
      <c r="B195" s="32">
        <f>+'NEW-Tables 80-86'!G105+'NEW-Tables 80-86'!G135</f>
        <v>0</v>
      </c>
      <c r="C195" s="96">
        <f>+GETPIVOTDATA("Sum of New-HS % of Total",'Pivot-HS Student % of Undergrad'!$A$3,"State","DE","Category",12,"Category2","Technical")</f>
        <v>0</v>
      </c>
      <c r="D195" s="175">
        <f>+'NEW-Tables 80-86'!H105+'NEW-Tables 80-86'!H135</f>
        <v>0</v>
      </c>
      <c r="E195" s="96">
        <f>+GETPIVOTDATA("Sum of New-HS % of Total",'Pivot-HS Student % of Undergrad'!$A$3,"State","DE","Category",13,"Category2","Technical")</f>
        <v>0</v>
      </c>
      <c r="F195" s="175">
        <f>+'NEW-Tables 80-86'!I105+'NEW-Tables 80-86'!I135</f>
        <v>0</v>
      </c>
      <c r="G195" s="96">
        <f>+GETPIVOTDATA("Sum of New-HS % of Total",'Pivot-HS Student % of Undergrad'!$A$3,"State","DE","Category2","Group3")</f>
        <v>0</v>
      </c>
      <c r="J195" s="1"/>
      <c r="K195" s="1"/>
      <c r="L195" s="1"/>
      <c r="M195" s="201"/>
      <c r="Q195" s="25" t="s">
        <v>102</v>
      </c>
      <c r="R195" s="239">
        <f>+GETPIVOTDATA("Sum of Old-HS % of Total",'Pivot-HS Student % of Undergrad'!$A$3,"State","DE","Category",12,"Category2","Technical")</f>
        <v>0</v>
      </c>
      <c r="S195" s="470">
        <f t="shared" si="41"/>
        <v>0</v>
      </c>
      <c r="T195" s="240">
        <f>+GETPIVOTDATA("Sum of Old-HS % of Total",'Pivot-HS Student % of Undergrad'!$A$3,"State","DE","Category",13,"Category2","Technical")</f>
        <v>0</v>
      </c>
      <c r="U195" s="470">
        <f t="shared" si="42"/>
        <v>0</v>
      </c>
      <c r="V195" s="240">
        <f>+GETPIVOTDATA("Sum of Old-HS % of Total",'Pivot-HS Student % of Undergrad'!$A$3,"State","DE","Category2","Technical")</f>
        <v>0</v>
      </c>
      <c r="W195" s="470">
        <f t="shared" si="43"/>
        <v>0</v>
      </c>
      <c r="X195" s="424"/>
      <c r="Y195" s="426"/>
      <c r="AA195" s="146"/>
      <c r="AB195" s="146"/>
      <c r="AC195" s="100" t="s">
        <v>102</v>
      </c>
      <c r="AD195" s="81">
        <f>+B195</f>
        <v>0</v>
      </c>
      <c r="AE195" s="80">
        <f>+D195</f>
        <v>0</v>
      </c>
      <c r="AF195" s="80">
        <f>+F195</f>
        <v>0</v>
      </c>
      <c r="AG195" s="80"/>
      <c r="AH195" s="100"/>
      <c r="AI195" s="100" t="s">
        <v>102</v>
      </c>
      <c r="AJ195" s="99">
        <f>+'NEW-Tables 80-86'!W105+'NEW-Tables 80-86'!V135</f>
        <v>0</v>
      </c>
      <c r="AK195" s="98">
        <f>+'NEW-Tables 80-86'!X105+'NEW-Tables 80-86'!W135</f>
        <v>0</v>
      </c>
      <c r="AL195" s="80">
        <f>+'NEW-Tables 80-86'!Y105+'NEW-Tables 80-86'!X135</f>
        <v>0</v>
      </c>
      <c r="AN195" s="25"/>
      <c r="AO195" s="100" t="s">
        <v>102</v>
      </c>
      <c r="AP195" s="860">
        <f t="shared" si="44"/>
        <v>0</v>
      </c>
      <c r="AQ195" s="860">
        <f t="shared" si="45"/>
        <v>0</v>
      </c>
      <c r="AR195" s="860">
        <f t="shared" si="46"/>
        <v>0</v>
      </c>
      <c r="AT195" s="100" t="s">
        <v>102</v>
      </c>
      <c r="AU195" s="860">
        <f t="shared" si="47"/>
        <v>0</v>
      </c>
      <c r="AV195" s="860">
        <f t="shared" si="48"/>
        <v>0</v>
      </c>
      <c r="AW195" s="860">
        <f t="shared" si="49"/>
        <v>0</v>
      </c>
      <c r="BA195" s="25"/>
      <c r="BB195" s="25"/>
      <c r="BC195" s="25"/>
    </row>
    <row r="196" spans="1:55">
      <c r="A196" s="1" t="s">
        <v>67</v>
      </c>
      <c r="B196" s="32">
        <f>+'NEW-Tables 80-86'!G106+'NEW-Tables 80-86'!G136</f>
        <v>0</v>
      </c>
      <c r="C196" s="96">
        <f>+GETPIVOTDATA("Sum of New-HS % of Total",'Pivot-HS Student % of Undergrad'!$A$3,"State","FL","Category",12,"Category2","Technical")</f>
        <v>0</v>
      </c>
      <c r="D196" s="175">
        <f>+'NEW-Tables 80-86'!H106+'NEW-Tables 80-86'!H136</f>
        <v>0</v>
      </c>
      <c r="E196" s="96">
        <f>+GETPIVOTDATA("Sum of New-HS % of Total",'Pivot-HS Student % of Undergrad'!$A$3,"State","FL","Category",13,"Category2","Technical")</f>
        <v>0</v>
      </c>
      <c r="F196" s="175">
        <f>+'NEW-Tables 80-86'!I106+'NEW-Tables 80-86'!I136</f>
        <v>0</v>
      </c>
      <c r="G196" s="96">
        <f>+GETPIVOTDATA("Sum of New-HS % of Total",'Pivot-HS Student % of Undergrad'!$A$3,"State","FL","Category2","Group3")</f>
        <v>0</v>
      </c>
      <c r="J196" s="1"/>
      <c r="K196" s="1"/>
      <c r="L196" s="1"/>
      <c r="M196" s="201"/>
      <c r="Q196" s="25" t="s">
        <v>67</v>
      </c>
      <c r="R196" s="239">
        <f>+GETPIVOTDATA("Sum of Old-HS % of Total",'Pivot-HS Student % of Undergrad'!$A$3,"State","FL","Category",12,"Category2","Technical")</f>
        <v>0</v>
      </c>
      <c r="S196" s="470">
        <f t="shared" si="41"/>
        <v>0</v>
      </c>
      <c r="T196" s="240">
        <f>+GETPIVOTDATA("Sum of Old-HS % of Total",'Pivot-HS Student % of Undergrad'!$A$3,"State","FL","Category",13,"Category2","Technical")</f>
        <v>0</v>
      </c>
      <c r="U196" s="470">
        <f t="shared" si="42"/>
        <v>0</v>
      </c>
      <c r="V196" s="240">
        <f>+GETPIVOTDATA("Sum of Old-HS % of Total",'Pivot-HS Student % of Undergrad'!$A$3,"State","FL","Category2","Technical")</f>
        <v>0</v>
      </c>
      <c r="W196" s="470">
        <f t="shared" si="43"/>
        <v>0</v>
      </c>
      <c r="X196" s="424"/>
      <c r="Y196" s="426"/>
      <c r="AA196" s="146"/>
      <c r="AB196" s="146"/>
      <c r="AC196" s="100" t="s">
        <v>67</v>
      </c>
      <c r="AD196" s="81">
        <f>+B196</f>
        <v>0</v>
      </c>
      <c r="AE196" s="80">
        <f>+D196</f>
        <v>0</v>
      </c>
      <c r="AF196" s="80">
        <f>+F196</f>
        <v>0</v>
      </c>
      <c r="AG196" s="80"/>
      <c r="AH196" s="100"/>
      <c r="AI196" s="100" t="s">
        <v>67</v>
      </c>
      <c r="AJ196" s="99">
        <f>+'NEW-Tables 80-86'!W106+'NEW-Tables 80-86'!V136</f>
        <v>0</v>
      </c>
      <c r="AK196" s="98">
        <f>+'NEW-Tables 80-86'!X106+'NEW-Tables 80-86'!W136</f>
        <v>0</v>
      </c>
      <c r="AL196" s="80">
        <f>+'NEW-Tables 80-86'!Y106+'NEW-Tables 80-86'!X136</f>
        <v>0</v>
      </c>
      <c r="AN196" s="25"/>
      <c r="AO196" s="100" t="s">
        <v>67</v>
      </c>
      <c r="AP196" s="860">
        <f t="shared" si="44"/>
        <v>0</v>
      </c>
      <c r="AQ196" s="860">
        <f t="shared" si="45"/>
        <v>0</v>
      </c>
      <c r="AR196" s="860">
        <f t="shared" si="46"/>
        <v>0</v>
      </c>
      <c r="AT196" s="100" t="s">
        <v>67</v>
      </c>
      <c r="AU196" s="860">
        <f t="shared" si="47"/>
        <v>0</v>
      </c>
      <c r="AV196" s="860">
        <f t="shared" si="48"/>
        <v>0</v>
      </c>
      <c r="AW196" s="860">
        <f t="shared" si="49"/>
        <v>0</v>
      </c>
      <c r="BA196" s="25"/>
      <c r="BB196" s="25"/>
      <c r="BC196" s="25"/>
    </row>
    <row r="197" spans="1:55">
      <c r="B197" s="32"/>
      <c r="C197" s="96"/>
      <c r="D197" s="175"/>
      <c r="E197" s="96"/>
      <c r="F197" s="175"/>
      <c r="G197" s="96"/>
      <c r="J197" s="1"/>
      <c r="K197" s="1"/>
      <c r="L197" s="1"/>
      <c r="M197" s="201"/>
      <c r="Q197" s="25"/>
      <c r="R197" s="239"/>
      <c r="S197" s="470"/>
      <c r="T197" s="240"/>
      <c r="U197" s="470"/>
      <c r="V197" s="240"/>
      <c r="W197" s="470"/>
      <c r="X197" s="424"/>
      <c r="Y197" s="426"/>
      <c r="AA197" s="146"/>
      <c r="AB197" s="146"/>
      <c r="AC197" s="100"/>
      <c r="AD197" s="81"/>
      <c r="AE197" s="80"/>
      <c r="AF197" s="80"/>
      <c r="AG197" s="80"/>
      <c r="AH197" s="100"/>
      <c r="AI197" s="100"/>
      <c r="AJ197" s="99"/>
      <c r="AK197" s="98"/>
      <c r="AL197" s="80"/>
      <c r="AN197" s="25"/>
      <c r="AO197" s="100"/>
      <c r="AP197" s="860">
        <f t="shared" si="44"/>
        <v>0</v>
      </c>
      <c r="AQ197" s="860">
        <f t="shared" si="45"/>
        <v>0</v>
      </c>
      <c r="AR197" s="860">
        <f t="shared" si="46"/>
        <v>0</v>
      </c>
      <c r="AT197" s="100"/>
      <c r="AU197" s="860">
        <f t="shared" si="47"/>
        <v>0</v>
      </c>
      <c r="AV197" s="860">
        <f t="shared" si="48"/>
        <v>0</v>
      </c>
      <c r="AW197" s="860">
        <f t="shared" si="49"/>
        <v>0</v>
      </c>
      <c r="BA197" s="25"/>
      <c r="BB197" s="25"/>
      <c r="BC197" s="25"/>
    </row>
    <row r="198" spans="1:55">
      <c r="A198" s="1" t="s">
        <v>68</v>
      </c>
      <c r="B198" s="32">
        <f>+'NEW-Tables 80-86'!G108+'NEW-Tables 80-86'!G138</f>
        <v>76720.666666666672</v>
      </c>
      <c r="C198" s="96">
        <f>+GETPIVOTDATA("Sum of New-HS % of Total",'Pivot-HS Student % of Undergrad'!$A$3,"State","GA","Category",12,"Category2","Technical")</f>
        <v>3.3920629817259143E-2</v>
      </c>
      <c r="D198" s="175">
        <f>+'NEW-Tables 80-86'!H108+'NEW-Tables 80-86'!H138</f>
        <v>0</v>
      </c>
      <c r="E198" s="96">
        <f>+GETPIVOTDATA("Sum of New-HS % of Total",'Pivot-HS Student % of Undergrad'!$A$3,"State","GA","Category",13,"Category2","Technical")</f>
        <v>0</v>
      </c>
      <c r="F198" s="175">
        <f>+'NEW-Tables 80-86'!I108+'NEW-Tables 80-86'!I138</f>
        <v>76720.666666666672</v>
      </c>
      <c r="G198" s="96">
        <f>+GETPIVOTDATA("Sum of New-HS % of Total",'Pivot-HS Student % of Undergrad'!$A$3,"State","GA","Category2","Group3")</f>
        <v>3.3920629817259143E-2</v>
      </c>
      <c r="J198" s="1"/>
      <c r="K198" s="1"/>
      <c r="L198" s="1"/>
      <c r="M198" s="201"/>
      <c r="Q198" s="25" t="s">
        <v>68</v>
      </c>
      <c r="R198" s="239">
        <f>+GETPIVOTDATA("Sum of Old-HS % of Total",'Pivot-HS Student % of Undergrad'!$A$3,"State","GA","Category",12,"Category2","Technical")</f>
        <v>2.5723433494279437E-2</v>
      </c>
      <c r="S198" s="470">
        <f t="shared" si="41"/>
        <v>0.81971963229797062</v>
      </c>
      <c r="T198" s="240">
        <f>+GETPIVOTDATA("Sum of Old-HS % of Total",'Pivot-HS Student % of Undergrad'!$A$3,"State","GA","Category",13,"Category2","Technical")</f>
        <v>0</v>
      </c>
      <c r="U198" s="470">
        <f t="shared" si="42"/>
        <v>0</v>
      </c>
      <c r="V198" s="240">
        <f>+GETPIVOTDATA("Sum of Old-HS % of Total",'Pivot-HS Student % of Undergrad'!$A$3,"State","GA","Category2","Technical")</f>
        <v>2.5723433494279437E-2</v>
      </c>
      <c r="W198" s="470">
        <f t="shared" si="43"/>
        <v>0.81971963229797062</v>
      </c>
      <c r="X198" s="424"/>
      <c r="Y198" s="426"/>
      <c r="AA198" s="146"/>
      <c r="AB198" s="146"/>
      <c r="AC198" s="100" t="s">
        <v>68</v>
      </c>
      <c r="AD198" s="81">
        <f>+B198</f>
        <v>76720.666666666672</v>
      </c>
      <c r="AE198" s="80">
        <f>+D198</f>
        <v>0</v>
      </c>
      <c r="AF198" s="80">
        <f>+F198</f>
        <v>76720.666666666672</v>
      </c>
      <c r="AG198" s="80"/>
      <c r="AH198" s="100"/>
      <c r="AI198" s="100" t="s">
        <v>68</v>
      </c>
      <c r="AJ198" s="99">
        <f>+'NEW-Tables 80-86'!W108+'NEW-Tables 80-86'!V138</f>
        <v>77975.723333333342</v>
      </c>
      <c r="AK198" s="98">
        <f>+'NEW-Tables 80-86'!X108+'NEW-Tables 80-86'!W138</f>
        <v>0</v>
      </c>
      <c r="AL198" s="80">
        <f>+'NEW-Tables 80-86'!Y108+'NEW-Tables 80-86'!X138</f>
        <v>77975.723333333342</v>
      </c>
      <c r="AN198" s="25"/>
      <c r="AO198" s="100" t="s">
        <v>68</v>
      </c>
      <c r="AP198" s="860">
        <f t="shared" si="44"/>
        <v>3.3920629817259145</v>
      </c>
      <c r="AQ198" s="860">
        <f t="shared" si="45"/>
        <v>0</v>
      </c>
      <c r="AR198" s="860">
        <f t="shared" si="46"/>
        <v>3.3920629817259145</v>
      </c>
      <c r="AT198" s="100" t="s">
        <v>68</v>
      </c>
      <c r="AU198" s="860">
        <f t="shared" si="47"/>
        <v>2.5723433494279435</v>
      </c>
      <c r="AV198" s="860">
        <f t="shared" si="48"/>
        <v>0</v>
      </c>
      <c r="AW198" s="860">
        <f t="shared" si="49"/>
        <v>2.5723433494279435</v>
      </c>
      <c r="BA198" s="25"/>
      <c r="BB198" s="25"/>
      <c r="BC198" s="25"/>
    </row>
    <row r="199" spans="1:55">
      <c r="A199" s="1" t="s">
        <v>69</v>
      </c>
      <c r="B199" s="32">
        <f>+'NEW-Tables 80-86'!G109+'NEW-Tables 80-86'!G139</f>
        <v>5377.2</v>
      </c>
      <c r="C199" s="96">
        <f>+GETPIVOTDATA("Sum of New-HS % of Total",'Pivot-HS Student % of Undergrad'!$A$3,"State","KY","Category",12,"Category2","Technical")</f>
        <v>4.4217560564358153E-2</v>
      </c>
      <c r="D199" s="175">
        <f>+'NEW-Tables 80-86'!H109+'NEW-Tables 80-86'!H139</f>
        <v>0</v>
      </c>
      <c r="E199" s="96">
        <f>+GETPIVOTDATA("Sum of New-HS % of Total",'Pivot-HS Student % of Undergrad'!$A$3,"State","KY","Category",13,"Category2","Technical")</f>
        <v>0</v>
      </c>
      <c r="F199" s="175">
        <f>+'NEW-Tables 80-86'!I109+'NEW-Tables 80-86'!I139</f>
        <v>5377.2</v>
      </c>
      <c r="G199" s="96">
        <f>+GETPIVOTDATA("Sum of New-HS % of Total",'Pivot-HS Student % of Undergrad'!$A$3,"State","KY","Category2","Group3")</f>
        <v>4.4217560564358153E-2</v>
      </c>
      <c r="J199" s="1"/>
      <c r="K199" s="1"/>
      <c r="L199" s="1"/>
      <c r="M199" s="201"/>
      <c r="Q199" s="25" t="s">
        <v>69</v>
      </c>
      <c r="R199" s="239">
        <f>+GETPIVOTDATA("Sum of Old-HS % of Total",'Pivot-HS Student % of Undergrad'!$A$3,"State","KY","Category",12,"Category2","Technical")</f>
        <v>4.370855678545954E-2</v>
      </c>
      <c r="S199" s="470">
        <f t="shared" si="41"/>
        <v>5.090037788986132E-2</v>
      </c>
      <c r="T199" s="240">
        <f>+GETPIVOTDATA("Sum of Old-HS % of Total",'Pivot-HS Student % of Undergrad'!$A$3,"State","KY","Category",13,"Category2","Technical")</f>
        <v>0</v>
      </c>
      <c r="U199" s="470">
        <f t="shared" si="42"/>
        <v>0</v>
      </c>
      <c r="V199" s="240">
        <f>+GETPIVOTDATA("Sum of Old-HS % of Total",'Pivot-HS Student % of Undergrad'!$A$3,"State","KY","Category2","Technical")</f>
        <v>4.370855678545954E-2</v>
      </c>
      <c r="W199" s="471">
        <f t="shared" si="43"/>
        <v>5.090037788986132E-2</v>
      </c>
      <c r="X199" s="424"/>
      <c r="Y199" s="426"/>
      <c r="AA199" s="146"/>
      <c r="AB199" s="146"/>
      <c r="AC199" s="100" t="s">
        <v>69</v>
      </c>
      <c r="AD199" s="81">
        <f>+B199</f>
        <v>5377.2</v>
      </c>
      <c r="AE199" s="80">
        <f>+D199</f>
        <v>0</v>
      </c>
      <c r="AF199" s="80">
        <f>+F199</f>
        <v>5377.2</v>
      </c>
      <c r="AG199" s="80"/>
      <c r="AH199" s="100"/>
      <c r="AI199" s="100" t="s">
        <v>69</v>
      </c>
      <c r="AJ199" s="99">
        <f>+'NEW-Tables 80-86'!W109+'NEW-Tables 80-86'!V139</f>
        <v>5047.0666666666666</v>
      </c>
      <c r="AK199" s="98">
        <f>+'NEW-Tables 80-86'!X109+'NEW-Tables 80-86'!W139</f>
        <v>0</v>
      </c>
      <c r="AL199" s="80">
        <f>+'NEW-Tables 80-86'!Y109+'NEW-Tables 80-86'!X139</f>
        <v>5047.0666666666666</v>
      </c>
      <c r="AN199" s="25"/>
      <c r="AO199" s="100" t="s">
        <v>69</v>
      </c>
      <c r="AP199" s="860">
        <f t="shared" si="44"/>
        <v>4.4217560564358154</v>
      </c>
      <c r="AQ199" s="860">
        <f t="shared" si="45"/>
        <v>0</v>
      </c>
      <c r="AR199" s="860">
        <f t="shared" si="46"/>
        <v>4.4217560564358154</v>
      </c>
      <c r="AT199" s="100" t="s">
        <v>69</v>
      </c>
      <c r="AU199" s="860">
        <f t="shared" si="47"/>
        <v>4.3708556785459542</v>
      </c>
      <c r="AV199" s="860">
        <f t="shared" si="48"/>
        <v>0</v>
      </c>
      <c r="AW199" s="860">
        <f t="shared" si="49"/>
        <v>4.3708556785459542</v>
      </c>
      <c r="BA199" s="25"/>
      <c r="BB199" s="25"/>
      <c r="BC199" s="25"/>
    </row>
    <row r="200" spans="1:55">
      <c r="A200" s="1" t="s">
        <v>70</v>
      </c>
      <c r="B200" s="32">
        <f>+'NEW-Tables 80-86'!G110+'NEW-Tables 80-86'!G140</f>
        <v>10429.336666666668</v>
      </c>
      <c r="C200" s="96">
        <f>+GETPIVOTDATA("Sum of New-HS % of Total",'Pivot-HS Student % of Undergrad'!$A$3,"State","LA","Category",12,"Category2","Technical")</f>
        <v>0.13579306001840757</v>
      </c>
      <c r="D200" s="175">
        <f>+'NEW-Tables 80-86'!H110+'NEW-Tables 80-86'!H140</f>
        <v>0</v>
      </c>
      <c r="E200" s="96">
        <f>+GETPIVOTDATA("Sum of New-HS % of Total",'Pivot-HS Student % of Undergrad'!$A$3,"State","LA","Category",13,"Category2","Technical")</f>
        <v>0</v>
      </c>
      <c r="F200" s="175">
        <f>+'NEW-Tables 80-86'!I110+'NEW-Tables 80-86'!I140</f>
        <v>10429.336666666668</v>
      </c>
      <c r="G200" s="96">
        <f>+GETPIVOTDATA("Sum of New-HS % of Total",'Pivot-HS Student % of Undergrad'!$A$3,"State","LA","Category2","Group3")</f>
        <v>0.13579306001840757</v>
      </c>
      <c r="J200" s="1"/>
      <c r="K200" s="1"/>
      <c r="L200" s="1"/>
      <c r="M200" s="201"/>
      <c r="Q200" s="25" t="s">
        <v>70</v>
      </c>
      <c r="R200" s="239">
        <f>+GETPIVOTDATA("Sum of Old-HS % of Total",'Pivot-HS Student % of Undergrad'!$A$3,"State","LA","Category",12,"Category2","Technical")</f>
        <v>0.12616633944365607</v>
      </c>
      <c r="S200" s="470">
        <f t="shared" si="41"/>
        <v>0.96267205747515017</v>
      </c>
      <c r="T200" s="240">
        <f>+GETPIVOTDATA("Sum of Old-HS % of Total",'Pivot-HS Student % of Undergrad'!$A$3,"State","LA","Category",13,"Category2","Technical")</f>
        <v>0</v>
      </c>
      <c r="U200" s="470">
        <f t="shared" si="42"/>
        <v>0</v>
      </c>
      <c r="V200" s="240">
        <f>+GETPIVOTDATA("Sum of Old-HS % of Total",'Pivot-HS Student % of Undergrad'!$A$3,"State","LA","Category2","Technical")</f>
        <v>0.12616633944365607</v>
      </c>
      <c r="W200" s="470">
        <f t="shared" si="43"/>
        <v>0.96267205747515017</v>
      </c>
      <c r="X200" s="424"/>
      <c r="Y200" s="426"/>
      <c r="AA200" s="146"/>
      <c r="AB200" s="146"/>
      <c r="AC200" s="100" t="s">
        <v>70</v>
      </c>
      <c r="AD200" s="81">
        <f>+B200</f>
        <v>10429.336666666668</v>
      </c>
      <c r="AE200" s="80">
        <f>+D200</f>
        <v>0</v>
      </c>
      <c r="AF200" s="80">
        <f>+F200</f>
        <v>10429.336666666668</v>
      </c>
      <c r="AG200" s="80"/>
      <c r="AH200" s="100"/>
      <c r="AI200" s="100" t="s">
        <v>70</v>
      </c>
      <c r="AJ200" s="99">
        <f>+'NEW-Tables 80-86'!W110+'NEW-Tables 80-86'!V140</f>
        <v>13854.743333333334</v>
      </c>
      <c r="AK200" s="98">
        <f>+'NEW-Tables 80-86'!X110+'NEW-Tables 80-86'!W140</f>
        <v>0</v>
      </c>
      <c r="AL200" s="80">
        <f>+'NEW-Tables 80-86'!Y110+'NEW-Tables 80-86'!X140</f>
        <v>13854.743333333334</v>
      </c>
      <c r="AN200" s="25"/>
      <c r="AO200" s="100" t="s">
        <v>70</v>
      </c>
      <c r="AP200" s="860">
        <f t="shared" si="44"/>
        <v>13.579306001840758</v>
      </c>
      <c r="AQ200" s="860">
        <f t="shared" si="45"/>
        <v>0</v>
      </c>
      <c r="AR200" s="860">
        <f t="shared" si="46"/>
        <v>13.579306001840758</v>
      </c>
      <c r="AT200" s="100" t="s">
        <v>70</v>
      </c>
      <c r="AU200" s="860">
        <f t="shared" si="47"/>
        <v>12.616633944365606</v>
      </c>
      <c r="AV200" s="860">
        <f t="shared" si="48"/>
        <v>0</v>
      </c>
      <c r="AW200" s="860">
        <f t="shared" si="49"/>
        <v>12.616633944365606</v>
      </c>
      <c r="BA200" s="25"/>
      <c r="BB200" s="25"/>
      <c r="BC200" s="25"/>
    </row>
    <row r="201" spans="1:55">
      <c r="A201" s="1" t="s">
        <v>71</v>
      </c>
      <c r="B201" s="32">
        <f>+'NEW-Tables 80-86'!G111+'NEW-Tables 80-86'!G141</f>
        <v>0</v>
      </c>
      <c r="C201" s="96">
        <f>+GETPIVOTDATA("Sum of New-HS % of Total",'Pivot-HS Student % of Undergrad'!$A$3,"State","MD","Category",12,"Category2","Technical")</f>
        <v>0</v>
      </c>
      <c r="D201" s="175">
        <f>+'NEW-Tables 80-86'!H111+'NEW-Tables 80-86'!H141</f>
        <v>0</v>
      </c>
      <c r="E201" s="96">
        <f>+GETPIVOTDATA("Sum of New-HS % of Total",'Pivot-HS Student % of Undergrad'!$A$3,"State","MD","Category",13,"Category2","Technical")</f>
        <v>0</v>
      </c>
      <c r="F201" s="175">
        <f>+'NEW-Tables 80-86'!I111+'NEW-Tables 80-86'!I141</f>
        <v>0</v>
      </c>
      <c r="G201" s="96">
        <f>+GETPIVOTDATA("Sum of New-HS % of Total",'Pivot-HS Student % of Undergrad'!$A$3,"State","MD","Category2","Group3")</f>
        <v>0</v>
      </c>
      <c r="J201" s="1"/>
      <c r="K201" s="1"/>
      <c r="L201" s="1"/>
      <c r="M201" s="201"/>
      <c r="Q201" s="25" t="s">
        <v>71</v>
      </c>
      <c r="R201" s="239">
        <f>+GETPIVOTDATA("Sum of Old-HS % of Total",'Pivot-HS Student % of Undergrad'!$A$3,"State","MD","Category",12,"Category2","Technical")</f>
        <v>0</v>
      </c>
      <c r="S201" s="470">
        <f t="shared" si="41"/>
        <v>0</v>
      </c>
      <c r="T201" s="240">
        <f>+GETPIVOTDATA("Sum of Old-HS % of Total",'Pivot-HS Student % of Undergrad'!$A$3,"State","MD","Category",13,"Category2","Technical")</f>
        <v>0</v>
      </c>
      <c r="U201" s="470">
        <f t="shared" si="42"/>
        <v>0</v>
      </c>
      <c r="V201" s="240">
        <f>+GETPIVOTDATA("Sum of Old-HS % of Total",'Pivot-HS Student % of Undergrad'!$A$3,"State","MD","Category2","Technical")</f>
        <v>0</v>
      </c>
      <c r="W201" s="470">
        <f t="shared" si="43"/>
        <v>0</v>
      </c>
      <c r="X201" s="424"/>
      <c r="Y201" s="426"/>
      <c r="AA201" s="146"/>
      <c r="AB201" s="146"/>
      <c r="AC201" s="100" t="s">
        <v>71</v>
      </c>
      <c r="AD201" s="81">
        <f>+B201</f>
        <v>0</v>
      </c>
      <c r="AE201" s="80">
        <f>+D201</f>
        <v>0</v>
      </c>
      <c r="AF201" s="80">
        <f>+F201</f>
        <v>0</v>
      </c>
      <c r="AG201" s="80"/>
      <c r="AH201" s="100"/>
      <c r="AI201" s="100" t="s">
        <v>71</v>
      </c>
      <c r="AJ201" s="99">
        <f>+'NEW-Tables 80-86'!W111+'NEW-Tables 80-86'!V141</f>
        <v>0</v>
      </c>
      <c r="AK201" s="98">
        <f>+'NEW-Tables 80-86'!X111+'NEW-Tables 80-86'!W141</f>
        <v>0</v>
      </c>
      <c r="AL201" s="80">
        <f>+'NEW-Tables 80-86'!Y111+'NEW-Tables 80-86'!X141</f>
        <v>0</v>
      </c>
      <c r="AN201" s="25"/>
      <c r="AO201" s="100" t="s">
        <v>71</v>
      </c>
      <c r="AP201" s="860">
        <f t="shared" si="44"/>
        <v>0</v>
      </c>
      <c r="AQ201" s="860">
        <f t="shared" si="45"/>
        <v>0</v>
      </c>
      <c r="AR201" s="860">
        <f t="shared" si="46"/>
        <v>0</v>
      </c>
      <c r="AT201" s="100" t="s">
        <v>71</v>
      </c>
      <c r="AU201" s="860">
        <f t="shared" si="47"/>
        <v>0</v>
      </c>
      <c r="AV201" s="860">
        <f t="shared" si="48"/>
        <v>0</v>
      </c>
      <c r="AW201" s="860">
        <f t="shared" si="49"/>
        <v>0</v>
      </c>
      <c r="BA201" s="25"/>
      <c r="BB201" s="25"/>
      <c r="BC201" s="25"/>
    </row>
    <row r="202" spans="1:55">
      <c r="B202" s="32"/>
      <c r="C202" s="96"/>
      <c r="D202" s="175"/>
      <c r="E202" s="96"/>
      <c r="F202" s="175"/>
      <c r="G202" s="96"/>
      <c r="J202" s="1"/>
      <c r="K202" s="1"/>
      <c r="L202" s="1"/>
      <c r="M202" s="201"/>
      <c r="Q202" s="25"/>
      <c r="R202" s="239"/>
      <c r="S202" s="470"/>
      <c r="T202" s="240"/>
      <c r="U202" s="470"/>
      <c r="V202" s="240"/>
      <c r="W202" s="470"/>
      <c r="X202" s="424"/>
      <c r="Y202" s="426"/>
      <c r="AA202" s="146"/>
      <c r="AB202" s="146"/>
      <c r="AC202" s="100"/>
      <c r="AD202" s="81"/>
      <c r="AE202" s="80"/>
      <c r="AF202" s="80"/>
      <c r="AG202" s="80"/>
      <c r="AH202" s="100"/>
      <c r="AI202" s="100"/>
      <c r="AJ202" s="99"/>
      <c r="AK202" s="98"/>
      <c r="AL202" s="80"/>
      <c r="AN202" s="25"/>
      <c r="AO202" s="100"/>
      <c r="AP202" s="860">
        <f t="shared" si="44"/>
        <v>0</v>
      </c>
      <c r="AQ202" s="860">
        <f t="shared" si="45"/>
        <v>0</v>
      </c>
      <c r="AR202" s="860">
        <f t="shared" si="46"/>
        <v>0</v>
      </c>
      <c r="AT202" s="100"/>
      <c r="AU202" s="860">
        <f t="shared" si="47"/>
        <v>0</v>
      </c>
      <c r="AV202" s="860">
        <f t="shared" si="48"/>
        <v>0</v>
      </c>
      <c r="AW202" s="860">
        <f t="shared" si="49"/>
        <v>0</v>
      </c>
      <c r="BA202" s="25"/>
      <c r="BB202" s="25"/>
      <c r="BC202" s="25"/>
    </row>
    <row r="203" spans="1:55">
      <c r="A203" s="1" t="s">
        <v>72</v>
      </c>
      <c r="B203" s="32">
        <f>+'NEW-Tables 80-86'!G113+'NEW-Tables 80-86'!G143</f>
        <v>0</v>
      </c>
      <c r="C203" s="96">
        <f>+GETPIVOTDATA("Sum of New-HS % of Total",'Pivot-HS Student % of Undergrad'!$A$3,"State","MS","Category",12,"Category2","Technical")</f>
        <v>0</v>
      </c>
      <c r="D203" s="175">
        <f>+'NEW-Tables 80-86'!H113+'NEW-Tables 80-86'!H143</f>
        <v>0</v>
      </c>
      <c r="E203" s="96">
        <f>+GETPIVOTDATA("Sum of New-HS % of Total",'Pivot-HS Student % of Undergrad'!$A$3,"State","MS","Category",13,"Category2","Technical")</f>
        <v>0</v>
      </c>
      <c r="F203" s="175">
        <f>+'NEW-Tables 80-86'!I113+'NEW-Tables 80-86'!I143</f>
        <v>0</v>
      </c>
      <c r="G203" s="96">
        <f>+GETPIVOTDATA("Sum of New-HS % of Total",'Pivot-HS Student % of Undergrad'!$A$3,"State","MS","Category2","Group3")</f>
        <v>0</v>
      </c>
      <c r="J203" s="1"/>
      <c r="K203" s="1"/>
      <c r="L203" s="1"/>
      <c r="M203" s="201"/>
      <c r="Q203" s="25" t="s">
        <v>72</v>
      </c>
      <c r="R203" s="239">
        <f>+GETPIVOTDATA("Sum of Old-HS % of Total",'Pivot-HS Student % of Undergrad'!$A$3,"State","MS","Category",12,"Category2","Technical")</f>
        <v>0</v>
      </c>
      <c r="S203" s="470">
        <f t="shared" si="41"/>
        <v>0</v>
      </c>
      <c r="T203" s="240">
        <f>+GETPIVOTDATA("Sum of Old-HS % of Total",'Pivot-HS Student % of Undergrad'!$A$3,"State","MS","Category",13,"Category2","Technical")</f>
        <v>0</v>
      </c>
      <c r="U203" s="470">
        <f t="shared" si="42"/>
        <v>0</v>
      </c>
      <c r="V203" s="240">
        <f>+GETPIVOTDATA("Sum of Old-HS % of Total",'Pivot-HS Student % of Undergrad'!$A$3,"State","MS","Category2","Technical")</f>
        <v>0</v>
      </c>
      <c r="W203" s="470">
        <f t="shared" si="43"/>
        <v>0</v>
      </c>
      <c r="X203" s="424"/>
      <c r="Y203" s="426"/>
      <c r="AA203" s="146"/>
      <c r="AB203" s="146"/>
      <c r="AC203" s="100" t="s">
        <v>72</v>
      </c>
      <c r="AD203" s="81">
        <f>+B203</f>
        <v>0</v>
      </c>
      <c r="AE203" s="80">
        <f>+D203</f>
        <v>0</v>
      </c>
      <c r="AF203" s="80">
        <f>+F203</f>
        <v>0</v>
      </c>
      <c r="AG203" s="80"/>
      <c r="AH203" s="100"/>
      <c r="AI203" s="100" t="s">
        <v>72</v>
      </c>
      <c r="AJ203" s="99">
        <f>+'NEW-Tables 80-86'!W113+'NEW-Tables 80-86'!V143</f>
        <v>0</v>
      </c>
      <c r="AK203" s="98">
        <f>+'NEW-Tables 80-86'!X113+'NEW-Tables 80-86'!W143</f>
        <v>0</v>
      </c>
      <c r="AL203" s="80">
        <f>+'NEW-Tables 80-86'!Y113+'NEW-Tables 80-86'!X143</f>
        <v>0</v>
      </c>
      <c r="AN203" s="25"/>
      <c r="AO203" s="100" t="s">
        <v>72</v>
      </c>
      <c r="AP203" s="860">
        <f t="shared" si="44"/>
        <v>0</v>
      </c>
      <c r="AQ203" s="860">
        <f t="shared" si="45"/>
        <v>0</v>
      </c>
      <c r="AR203" s="860">
        <f t="shared" si="46"/>
        <v>0</v>
      </c>
      <c r="AT203" s="100" t="s">
        <v>72</v>
      </c>
      <c r="AU203" s="860">
        <f t="shared" si="47"/>
        <v>0</v>
      </c>
      <c r="AV203" s="860">
        <f t="shared" si="48"/>
        <v>0</v>
      </c>
      <c r="AW203" s="860">
        <f t="shared" si="49"/>
        <v>0</v>
      </c>
      <c r="BA203" s="25"/>
      <c r="BB203" s="25"/>
      <c r="BC203" s="25"/>
    </row>
    <row r="204" spans="1:55">
      <c r="A204" s="1" t="s">
        <v>73</v>
      </c>
      <c r="B204" s="32">
        <f>+'NEW-Tables 80-86'!G114+'NEW-Tables 80-86'!G144</f>
        <v>0</v>
      </c>
      <c r="C204" s="96">
        <f>+GETPIVOTDATA("Sum of New-HS % of Total",'Pivot-HS Student % of Undergrad'!$A$3,"State","NC","Category",12,"Category2","Technical")</f>
        <v>0</v>
      </c>
      <c r="D204" s="175">
        <f>+'NEW-Tables 80-86'!H114+'NEW-Tables 80-86'!H144</f>
        <v>0</v>
      </c>
      <c r="E204" s="96">
        <f>+GETPIVOTDATA("Sum of New-HS % of Total",'Pivot-HS Student % of Undergrad'!$A$3,"State","NC","Category",13,"Category2","Technical")</f>
        <v>0</v>
      </c>
      <c r="F204" s="175">
        <f>+'NEW-Tables 80-86'!I114+'NEW-Tables 80-86'!I144</f>
        <v>0</v>
      </c>
      <c r="G204" s="96">
        <f>+GETPIVOTDATA("Sum of New-HS % of Total",'Pivot-HS Student % of Undergrad'!$A$3,"State","NC","Category2","Group3")</f>
        <v>0</v>
      </c>
      <c r="J204" s="1"/>
      <c r="K204" s="1"/>
      <c r="L204" s="1"/>
      <c r="M204" s="201"/>
      <c r="Q204" s="25" t="s">
        <v>73</v>
      </c>
      <c r="R204" s="239">
        <f>+GETPIVOTDATA("Sum of Old-HS % of Total",'Pivot-HS Student % of Undergrad'!$A$3,"State","NC","Category",12,"Category2","Technical")</f>
        <v>0</v>
      </c>
      <c r="S204" s="470">
        <f t="shared" si="41"/>
        <v>0</v>
      </c>
      <c r="T204" s="240">
        <f>+GETPIVOTDATA("Sum of Old-HS % of Total",'Pivot-HS Student % of Undergrad'!$A$3,"State","NC","Category",13,"Category2","Technical")</f>
        <v>0</v>
      </c>
      <c r="U204" s="470">
        <f t="shared" si="42"/>
        <v>0</v>
      </c>
      <c r="V204" s="240">
        <f>+GETPIVOTDATA("Sum of Old-HS % of Total",'Pivot-HS Student % of Undergrad'!$A$3,"State","NC","Category2","Technical")</f>
        <v>0</v>
      </c>
      <c r="W204" s="470">
        <f t="shared" si="43"/>
        <v>0</v>
      </c>
      <c r="X204" s="424"/>
      <c r="Y204" s="427"/>
      <c r="AA204" s="146"/>
      <c r="AB204" s="146"/>
      <c r="AC204" s="100" t="s">
        <v>73</v>
      </c>
      <c r="AD204" s="81">
        <f>+B204</f>
        <v>0</v>
      </c>
      <c r="AE204" s="80">
        <f>+D204</f>
        <v>0</v>
      </c>
      <c r="AF204" s="80">
        <f>+F204</f>
        <v>0</v>
      </c>
      <c r="AG204" s="80"/>
      <c r="AH204" s="100"/>
      <c r="AI204" s="100" t="s">
        <v>73</v>
      </c>
      <c r="AJ204" s="99">
        <f>+'NEW-Tables 80-86'!W114+'NEW-Tables 80-86'!V144</f>
        <v>0</v>
      </c>
      <c r="AK204" s="98">
        <f>+'NEW-Tables 80-86'!X114+'NEW-Tables 80-86'!W144</f>
        <v>0</v>
      </c>
      <c r="AL204" s="80">
        <f>+'NEW-Tables 80-86'!Y114+'NEW-Tables 80-86'!X144</f>
        <v>0</v>
      </c>
      <c r="AN204" s="25"/>
      <c r="AO204" s="100" t="s">
        <v>73</v>
      </c>
      <c r="AP204" s="860">
        <f t="shared" si="44"/>
        <v>0</v>
      </c>
      <c r="AQ204" s="860">
        <f t="shared" si="45"/>
        <v>0</v>
      </c>
      <c r="AR204" s="860">
        <f t="shared" si="46"/>
        <v>0</v>
      </c>
      <c r="AT204" s="100" t="s">
        <v>73</v>
      </c>
      <c r="AU204" s="860">
        <f t="shared" si="47"/>
        <v>0</v>
      </c>
      <c r="AV204" s="860">
        <f t="shared" si="48"/>
        <v>0</v>
      </c>
      <c r="AW204" s="860">
        <f t="shared" si="49"/>
        <v>0</v>
      </c>
      <c r="BA204" s="25"/>
      <c r="BB204" s="25"/>
      <c r="BC204" s="25"/>
    </row>
    <row r="205" spans="1:55">
      <c r="A205" s="1" t="s">
        <v>74</v>
      </c>
      <c r="B205" s="32">
        <f>+'NEW-Tables 80-86'!G115+'NEW-Tables 80-86'!G145</f>
        <v>3864.6067111111106</v>
      </c>
      <c r="C205" s="96">
        <f>+GETPIVOTDATA("Sum of New-HS % of Total",'Pivot-HS Student % of Undergrad'!$A$3,"State","OK","Category",12,"Category2","Technical")</f>
        <v>0</v>
      </c>
      <c r="D205" s="175">
        <f>+'NEW-Tables 80-86'!H115+'NEW-Tables 80-86'!H145</f>
        <v>16054.077488888888</v>
      </c>
      <c r="E205" s="96">
        <f>+GETPIVOTDATA("Sum of New-HS % of Total",'Pivot-HS Student % of Undergrad'!$A$3,"State","OK","Category",13,"Category2","Technical")</f>
        <v>0</v>
      </c>
      <c r="F205" s="175">
        <f>+'NEW-Tables 80-86'!I115+'NEW-Tables 80-86'!I145</f>
        <v>19918.6842</v>
      </c>
      <c r="G205" s="96">
        <f>+GETPIVOTDATA("Sum of New-HS % of Total",'Pivot-HS Student % of Undergrad'!$A$3,"State","OK","Category2","Group3")</f>
        <v>0</v>
      </c>
      <c r="J205" s="1"/>
      <c r="K205" s="1"/>
      <c r="L205" s="1"/>
      <c r="M205" s="201"/>
      <c r="Q205" s="25" t="s">
        <v>74</v>
      </c>
      <c r="R205" s="239">
        <f>+GETPIVOTDATA("Sum of Old-HS % of Total",'Pivot-HS Student % of Undergrad'!$A$3,"State","OK","Category",12,"Category2","Technical")</f>
        <v>0</v>
      </c>
      <c r="S205" s="470">
        <f t="shared" si="41"/>
        <v>0</v>
      </c>
      <c r="T205" s="240">
        <f>+GETPIVOTDATA("Sum of Old-HS % of Total",'Pivot-HS Student % of Undergrad'!$A$3,"State","OK","Category",13,"Category2","Technical")</f>
        <v>0</v>
      </c>
      <c r="U205" s="470">
        <f t="shared" si="42"/>
        <v>0</v>
      </c>
      <c r="V205" s="240">
        <f>+GETPIVOTDATA("Sum of Old-HS % of Total",'Pivot-HS Student % of Undergrad'!$A$3,"State","OK","Category2","Technical")</f>
        <v>0</v>
      </c>
      <c r="W205" s="470">
        <f t="shared" si="43"/>
        <v>0</v>
      </c>
      <c r="X205" s="424"/>
      <c r="Y205" s="426"/>
      <c r="AA205" s="146"/>
      <c r="AB205" s="146"/>
      <c r="AC205" s="100" t="s">
        <v>74</v>
      </c>
      <c r="AD205" s="81">
        <f>+B205</f>
        <v>3864.6067111111106</v>
      </c>
      <c r="AE205" s="80">
        <f>+D205</f>
        <v>16054.077488888888</v>
      </c>
      <c r="AF205" s="80">
        <f>+F205</f>
        <v>19918.6842</v>
      </c>
      <c r="AG205" s="80"/>
      <c r="AH205" s="100"/>
      <c r="AI205" s="100" t="s">
        <v>74</v>
      </c>
      <c r="AJ205" s="99">
        <f>+'NEW-Tables 80-86'!W115+'NEW-Tables 80-86'!V145</f>
        <v>4046.5422222222219</v>
      </c>
      <c r="AK205" s="98">
        <f>+'NEW-Tables 80-86'!X115+'NEW-Tables 80-86'!W145</f>
        <v>15930.953333333329</v>
      </c>
      <c r="AL205" s="80">
        <f>+'NEW-Tables 80-86'!Y115+'NEW-Tables 80-86'!X145</f>
        <v>19977.49555555555</v>
      </c>
      <c r="AN205" s="25"/>
      <c r="AO205" s="100" t="s">
        <v>74</v>
      </c>
      <c r="AP205" s="860">
        <f t="shared" si="44"/>
        <v>0</v>
      </c>
      <c r="AQ205" s="860">
        <f t="shared" si="45"/>
        <v>0</v>
      </c>
      <c r="AR205" s="860">
        <f t="shared" si="46"/>
        <v>0</v>
      </c>
      <c r="AT205" s="100" t="s">
        <v>74</v>
      </c>
      <c r="AU205" s="860">
        <f t="shared" si="47"/>
        <v>0</v>
      </c>
      <c r="AV205" s="860">
        <f t="shared" si="48"/>
        <v>0</v>
      </c>
      <c r="AW205" s="860">
        <f t="shared" si="49"/>
        <v>0</v>
      </c>
      <c r="BA205" s="25"/>
      <c r="BB205" s="25"/>
      <c r="BC205" s="25"/>
    </row>
    <row r="206" spans="1:55">
      <c r="A206" s="1" t="s">
        <v>75</v>
      </c>
      <c r="B206" s="32">
        <f>+'NEW-Tables 80-86'!G116+'NEW-Tables 80-86'!G146</f>
        <v>0</v>
      </c>
      <c r="C206" s="96">
        <f>+GETPIVOTDATA("Sum of New-HS % of Total",'Pivot-HS Student % of Undergrad'!$A$3,"State","SC","Category",12,"Category2","Technical")</f>
        <v>0</v>
      </c>
      <c r="D206" s="175">
        <f>+'NEW-Tables 80-86'!H116+'NEW-Tables 80-86'!H146</f>
        <v>0</v>
      </c>
      <c r="E206" s="96">
        <f>+GETPIVOTDATA("Sum of New-HS % of Total",'Pivot-HS Student % of Undergrad'!$A$3,"State","SC","Category",13,"Category2","Technical")</f>
        <v>0</v>
      </c>
      <c r="F206" s="175">
        <f>+'NEW-Tables 80-86'!I116+'NEW-Tables 80-86'!I146</f>
        <v>0</v>
      </c>
      <c r="G206" s="96">
        <f>+GETPIVOTDATA("Sum of New-HS % of Total",'Pivot-HS Student % of Undergrad'!$A$3,"State","SC","Category2","Group3")</f>
        <v>0</v>
      </c>
      <c r="J206" s="1"/>
      <c r="K206" s="1"/>
      <c r="L206" s="1"/>
      <c r="M206" s="201"/>
      <c r="Q206" s="25" t="s">
        <v>75</v>
      </c>
      <c r="R206" s="239">
        <f>+GETPIVOTDATA("Sum of Old-HS % of Total",'Pivot-HS Student % of Undergrad'!$A$3,"State","SC","Category",12,"Category2","Technical")</f>
        <v>0</v>
      </c>
      <c r="S206" s="470">
        <f t="shared" si="41"/>
        <v>0</v>
      </c>
      <c r="T206" s="240">
        <f>+GETPIVOTDATA("Sum of Old-HS % of Total",'Pivot-HS Student % of Undergrad'!$A$3,"State","SC","Category",13,"Category2","Technical")</f>
        <v>0</v>
      </c>
      <c r="U206" s="470">
        <f t="shared" si="42"/>
        <v>0</v>
      </c>
      <c r="V206" s="240">
        <f>+GETPIVOTDATA("Sum of Old-HS % of Total",'Pivot-HS Student % of Undergrad'!$A$3,"State","SC","Category2","Technical")</f>
        <v>0</v>
      </c>
      <c r="W206" s="470">
        <f t="shared" si="43"/>
        <v>0</v>
      </c>
      <c r="X206" s="424"/>
      <c r="Y206" s="426"/>
      <c r="AA206" s="146"/>
      <c r="AB206" s="146"/>
      <c r="AC206" s="100" t="s">
        <v>75</v>
      </c>
      <c r="AD206" s="81">
        <f>+B206</f>
        <v>0</v>
      </c>
      <c r="AE206" s="80">
        <f>+D206</f>
        <v>0</v>
      </c>
      <c r="AF206" s="80">
        <f>+F206</f>
        <v>0</v>
      </c>
      <c r="AG206" s="80"/>
      <c r="AH206" s="100"/>
      <c r="AI206" s="100" t="s">
        <v>75</v>
      </c>
      <c r="AJ206" s="99">
        <f>+'NEW-Tables 80-86'!W116+'NEW-Tables 80-86'!V146</f>
        <v>0</v>
      </c>
      <c r="AK206" s="98">
        <f>+'NEW-Tables 80-86'!X116+'NEW-Tables 80-86'!W146</f>
        <v>0</v>
      </c>
      <c r="AL206" s="80">
        <f>+'NEW-Tables 80-86'!Y116+'NEW-Tables 80-86'!X146</f>
        <v>0</v>
      </c>
      <c r="AN206" s="25"/>
      <c r="AO206" s="100" t="s">
        <v>75</v>
      </c>
      <c r="AP206" s="860">
        <f t="shared" si="44"/>
        <v>0</v>
      </c>
      <c r="AQ206" s="860">
        <f t="shared" si="45"/>
        <v>0</v>
      </c>
      <c r="AR206" s="860">
        <f t="shared" si="46"/>
        <v>0</v>
      </c>
      <c r="AT206" s="100" t="s">
        <v>75</v>
      </c>
      <c r="AU206" s="860">
        <f t="shared" si="47"/>
        <v>0</v>
      </c>
      <c r="AV206" s="860">
        <f t="shared" si="48"/>
        <v>0</v>
      </c>
      <c r="AW206" s="860">
        <f t="shared" si="49"/>
        <v>0</v>
      </c>
      <c r="BA206" s="25"/>
      <c r="BB206" s="25"/>
      <c r="BC206" s="25"/>
    </row>
    <row r="207" spans="1:55" ht="11.25" customHeight="1">
      <c r="B207" s="32"/>
      <c r="C207" s="96"/>
      <c r="D207" s="175"/>
      <c r="E207" s="96"/>
      <c r="F207" s="175"/>
      <c r="G207" s="96"/>
      <c r="J207" s="1"/>
      <c r="K207" s="1"/>
      <c r="L207" s="1"/>
      <c r="M207" s="201"/>
      <c r="Q207" s="25"/>
      <c r="R207" s="239"/>
      <c r="S207" s="470">
        <f t="shared" si="41"/>
        <v>0</v>
      </c>
      <c r="T207" s="240"/>
      <c r="U207" s="470">
        <f t="shared" si="42"/>
        <v>0</v>
      </c>
      <c r="V207" s="240"/>
      <c r="W207" s="470">
        <f t="shared" si="43"/>
        <v>0</v>
      </c>
      <c r="X207" s="424"/>
      <c r="Y207" s="426"/>
      <c r="AA207" s="146"/>
      <c r="AB207" s="146"/>
      <c r="AC207" s="100"/>
      <c r="AD207" s="81"/>
      <c r="AE207" s="80"/>
      <c r="AF207" s="80"/>
      <c r="AG207" s="80"/>
      <c r="AH207" s="100"/>
      <c r="AI207" s="100"/>
      <c r="AJ207" s="99"/>
      <c r="AK207" s="98"/>
      <c r="AL207" s="80"/>
      <c r="AN207" s="25"/>
      <c r="AO207" s="100"/>
      <c r="AP207" s="860">
        <f t="shared" si="44"/>
        <v>0</v>
      </c>
      <c r="AQ207" s="860">
        <f t="shared" si="45"/>
        <v>0</v>
      </c>
      <c r="AR207" s="860">
        <f t="shared" si="46"/>
        <v>0</v>
      </c>
      <c r="AT207" s="100"/>
      <c r="AU207" s="860">
        <f t="shared" si="47"/>
        <v>0</v>
      </c>
      <c r="AV207" s="860">
        <f t="shared" si="48"/>
        <v>0</v>
      </c>
      <c r="AW207" s="860">
        <f t="shared" si="49"/>
        <v>0</v>
      </c>
      <c r="BA207" s="25"/>
      <c r="BB207" s="25"/>
      <c r="BC207" s="25"/>
    </row>
    <row r="208" spans="1:55" ht="11.25" customHeight="1">
      <c r="A208" s="1" t="s">
        <v>76</v>
      </c>
      <c r="B208" s="32">
        <f>+'NEW-Tables 80-86'!G118+'NEW-Tables 80-86'!G148</f>
        <v>1086.5322222222221</v>
      </c>
      <c r="C208" s="96">
        <f>+GETPIVOTDATA("Sum of New-HS % of Total",'Pivot-HS Student % of Undergrad'!$A$3,"State","TN","Category",12,"Category2","Technical")</f>
        <v>0</v>
      </c>
      <c r="D208" s="175">
        <f>+'NEW-Tables 80-86'!H118+'NEW-Tables 80-86'!H148</f>
        <v>10238.063333333332</v>
      </c>
      <c r="E208" s="96">
        <f>+GETPIVOTDATA("Sum of New-HS % of Total",'Pivot-HS Student % of Undergrad'!$A$3,"State","TN","Category",13,"Category2","Technical")</f>
        <v>0</v>
      </c>
      <c r="F208" s="175">
        <f>+'NEW-Tables 80-86'!I118+'NEW-Tables 80-86'!I148</f>
        <v>11324.595555555554</v>
      </c>
      <c r="G208" s="96">
        <f>+GETPIVOTDATA("Sum of New-HS % of Total",'Pivot-HS Student % of Undergrad'!$A$3,"State","TN","Category2","Group3")</f>
        <v>0</v>
      </c>
      <c r="J208" s="1"/>
      <c r="K208" s="1"/>
      <c r="L208" s="1"/>
      <c r="M208" s="201"/>
      <c r="Q208" s="25" t="s">
        <v>76</v>
      </c>
      <c r="R208" s="239">
        <f>+GETPIVOTDATA("Sum of Old-HS % of Total",'Pivot-HS Student % of Undergrad'!$A$3,"State","TN","Category",12,"Category2","Technical")</f>
        <v>0</v>
      </c>
      <c r="S208" s="470">
        <f t="shared" si="41"/>
        <v>0</v>
      </c>
      <c r="T208" s="240">
        <f>+GETPIVOTDATA("Sum of Old-HS % of Total",'Pivot-HS Student % of Undergrad'!$A$3,"State","TN","Category",13,"Category2","Technical")</f>
        <v>0</v>
      </c>
      <c r="U208" s="470">
        <f t="shared" si="42"/>
        <v>0</v>
      </c>
      <c r="V208" s="240">
        <f>+GETPIVOTDATA("Sum of Old-HS % of Total",'Pivot-HS Student % of Undergrad'!$A$3,"State","TN","Category2","Technical")</f>
        <v>0</v>
      </c>
      <c r="W208" s="470">
        <f t="shared" si="43"/>
        <v>0</v>
      </c>
      <c r="X208" s="424"/>
      <c r="Y208" s="426"/>
      <c r="AA208" s="146"/>
      <c r="AB208" s="146"/>
      <c r="AC208" s="100" t="s">
        <v>76</v>
      </c>
      <c r="AD208" s="81">
        <f>+B208</f>
        <v>1086.5322222222221</v>
      </c>
      <c r="AE208" s="80">
        <f>+D208</f>
        <v>10238.063333333332</v>
      </c>
      <c r="AF208" s="80">
        <f>+F208</f>
        <v>11324.595555555554</v>
      </c>
      <c r="AG208" s="80"/>
      <c r="AH208" s="100"/>
      <c r="AI208" s="100" t="s">
        <v>76</v>
      </c>
      <c r="AJ208" s="99">
        <f>+'NEW-Tables 80-86'!W118+'NEW-Tables 80-86'!V148</f>
        <v>1041.53</v>
      </c>
      <c r="AK208" s="98">
        <f>+'NEW-Tables 80-86'!X118+'NEW-Tables 80-86'!W148</f>
        <v>10292.814444444444</v>
      </c>
      <c r="AL208" s="80">
        <f>+'NEW-Tables 80-86'!Y118+'NEW-Tables 80-86'!X148</f>
        <v>11334.344444444445</v>
      </c>
      <c r="AN208" s="25"/>
      <c r="AO208" s="100" t="s">
        <v>76</v>
      </c>
      <c r="AP208" s="860">
        <f t="shared" si="44"/>
        <v>0</v>
      </c>
      <c r="AQ208" s="860">
        <f t="shared" si="45"/>
        <v>0</v>
      </c>
      <c r="AR208" s="860">
        <f t="shared" si="46"/>
        <v>0</v>
      </c>
      <c r="AT208" s="100" t="s">
        <v>76</v>
      </c>
      <c r="AU208" s="860">
        <f t="shared" si="47"/>
        <v>0</v>
      </c>
      <c r="AV208" s="860">
        <f t="shared" si="48"/>
        <v>0</v>
      </c>
      <c r="AW208" s="860">
        <f t="shared" si="49"/>
        <v>0</v>
      </c>
      <c r="BA208" s="25"/>
      <c r="BB208" s="25"/>
      <c r="BC208" s="25"/>
    </row>
    <row r="209" spans="1:55">
      <c r="A209" s="1" t="s">
        <v>77</v>
      </c>
      <c r="B209" s="32">
        <f>+'NEW-Tables 80-86'!G119+'NEW-Tables 80-86'!G149</f>
        <v>0</v>
      </c>
      <c r="C209" s="210">
        <f>+GETPIVOTDATA("Sum of New-HS % of Total",'Pivot-HS Student % of Undergrad'!$A$3,"State","TX","Category",12,"Category2","Technical")</f>
        <v>0</v>
      </c>
      <c r="D209" s="175">
        <f>+'NEW-Tables 80-86'!H119+'NEW-Tables 80-86'!H149</f>
        <v>0</v>
      </c>
      <c r="E209" s="210">
        <f>+GETPIVOTDATA("Sum of New-HS % of Total",'Pivot-HS Student % of Undergrad'!$A$3,"State","TX","Category",13,"Category2","Technical")</f>
        <v>0</v>
      </c>
      <c r="F209" s="175">
        <f>+'NEW-Tables 80-86'!I119+'NEW-Tables 80-86'!I149</f>
        <v>0</v>
      </c>
      <c r="G209" s="96">
        <f>+GETPIVOTDATA("Sum of New-HS % of Total",'Pivot-HS Student % of Undergrad'!$A$3,"State","TX","Category2","Group3")</f>
        <v>0</v>
      </c>
      <c r="J209" s="1"/>
      <c r="K209" s="1"/>
      <c r="L209" s="1"/>
      <c r="M209" s="201"/>
      <c r="Q209" s="25" t="s">
        <v>77</v>
      </c>
      <c r="R209" s="239">
        <f>+GETPIVOTDATA("Sum of Old-HS % of Total",'Pivot-HS Student % of Undergrad'!$A$3,"State","TX","Category",12,"Category2","Technical")</f>
        <v>0</v>
      </c>
      <c r="S209" s="470">
        <f t="shared" si="41"/>
        <v>0</v>
      </c>
      <c r="T209" s="240">
        <f>+GETPIVOTDATA("Sum of Old-HS % of Total",'Pivot-HS Student % of Undergrad'!$A$3,"State","TX","Category",13,"Category2","Technical")</f>
        <v>0</v>
      </c>
      <c r="U209" s="470">
        <f t="shared" si="42"/>
        <v>0</v>
      </c>
      <c r="V209" s="240">
        <f>+GETPIVOTDATA("Sum of Old-HS % of Total",'Pivot-HS Student % of Undergrad'!$A$3,"State","TX","Category2","Technical")</f>
        <v>0</v>
      </c>
      <c r="W209" s="470">
        <f t="shared" si="43"/>
        <v>0</v>
      </c>
      <c r="X209" s="424"/>
      <c r="Y209" s="427"/>
      <c r="AA209" s="146"/>
      <c r="AB209" s="146"/>
      <c r="AC209" s="100" t="s">
        <v>77</v>
      </c>
      <c r="AD209" s="81">
        <f>+B209</f>
        <v>0</v>
      </c>
      <c r="AE209" s="80">
        <f>+D209</f>
        <v>0</v>
      </c>
      <c r="AF209" s="80">
        <f>+F209</f>
        <v>0</v>
      </c>
      <c r="AG209" s="80"/>
      <c r="AH209" s="100"/>
      <c r="AI209" s="100" t="s">
        <v>77</v>
      </c>
      <c r="AJ209" s="99">
        <f>+'NEW-Tables 80-86'!W119+'NEW-Tables 80-86'!V149</f>
        <v>0</v>
      </c>
      <c r="AK209" s="98">
        <f>+'NEW-Tables 80-86'!X119+'NEW-Tables 80-86'!W149</f>
        <v>0</v>
      </c>
      <c r="AL209" s="80">
        <f>+'NEW-Tables 80-86'!Y119+'NEW-Tables 80-86'!X149</f>
        <v>0</v>
      </c>
      <c r="AN209" s="25"/>
      <c r="AO209" s="100" t="s">
        <v>77</v>
      </c>
      <c r="AP209" s="860">
        <f t="shared" si="44"/>
        <v>0</v>
      </c>
      <c r="AQ209" s="860">
        <f t="shared" si="45"/>
        <v>0</v>
      </c>
      <c r="AR209" s="860">
        <f t="shared" si="46"/>
        <v>0</v>
      </c>
      <c r="AT209" s="100" t="s">
        <v>77</v>
      </c>
      <c r="AU209" s="860">
        <f t="shared" si="47"/>
        <v>0</v>
      </c>
      <c r="AV209" s="860">
        <f t="shared" si="48"/>
        <v>0</v>
      </c>
      <c r="AW209" s="860">
        <f t="shared" si="49"/>
        <v>0</v>
      </c>
      <c r="BA209" s="25"/>
      <c r="BB209" s="25"/>
      <c r="BC209" s="25"/>
    </row>
    <row r="210" spans="1:55">
      <c r="A210" s="1" t="s">
        <v>78</v>
      </c>
      <c r="B210" s="32">
        <f>+'NEW-Tables 80-86'!G120+'NEW-Tables 80-86'!G150</f>
        <v>0</v>
      </c>
      <c r="C210" s="210">
        <f>+GETPIVOTDATA("Sum of New-HS % of Total",'Pivot-HS Student % of Undergrad'!$A$3,"State","VA","Category",12,"Category2","Technical")</f>
        <v>0</v>
      </c>
      <c r="D210" s="175">
        <f>+'NEW-Tables 80-86'!H120+'NEW-Tables 80-86'!H150</f>
        <v>0</v>
      </c>
      <c r="E210" s="210">
        <f>+GETPIVOTDATA("Sum of New-HS % of Total",'Pivot-HS Student % of Undergrad'!$A$3,"State","VA","Category",13,"Category2","Technical")</f>
        <v>0</v>
      </c>
      <c r="F210" s="175">
        <f>+'NEW-Tables 80-86'!I120+'NEW-Tables 80-86'!I150</f>
        <v>0</v>
      </c>
      <c r="G210" s="96">
        <f>+GETPIVOTDATA("Sum of New-HS % of Total",'Pivot-HS Student % of Undergrad'!$A$3,"State","VA","Category2","Group3")</f>
        <v>0</v>
      </c>
      <c r="J210" s="1"/>
      <c r="K210" s="1"/>
      <c r="L210" s="1"/>
      <c r="M210" s="201"/>
      <c r="Q210" s="25" t="s">
        <v>78</v>
      </c>
      <c r="R210" s="239">
        <f>+GETPIVOTDATA("Sum of Old-HS % of Total",'Pivot-HS Student % of Undergrad'!$A$3,"State","VA","Category",12,"Category2","Technical")</f>
        <v>0</v>
      </c>
      <c r="S210" s="470">
        <f t="shared" si="41"/>
        <v>0</v>
      </c>
      <c r="T210" s="240">
        <f>+GETPIVOTDATA("Sum of Old-HS % of Total",'Pivot-HS Student % of Undergrad'!$A$3,"State","VA","Category",13,"Category2","Technical")</f>
        <v>0</v>
      </c>
      <c r="U210" s="470">
        <f t="shared" si="42"/>
        <v>0</v>
      </c>
      <c r="V210" s="240">
        <f>+GETPIVOTDATA("Sum of Old-HS % of Total",'Pivot-HS Student % of Undergrad'!$A$3,"State","VA","Category2","Technical")</f>
        <v>0</v>
      </c>
      <c r="W210" s="470">
        <f t="shared" si="43"/>
        <v>0</v>
      </c>
      <c r="X210" s="424"/>
      <c r="Y210" s="426"/>
      <c r="AA210" s="146"/>
      <c r="AB210" s="146"/>
      <c r="AC210" s="100" t="s">
        <v>78</v>
      </c>
      <c r="AD210" s="81">
        <f>+B210</f>
        <v>0</v>
      </c>
      <c r="AE210" s="80">
        <f>+D210</f>
        <v>0</v>
      </c>
      <c r="AF210" s="80">
        <f>+F210</f>
        <v>0</v>
      </c>
      <c r="AG210" s="80"/>
      <c r="AH210" s="100"/>
      <c r="AI210" s="100" t="s">
        <v>78</v>
      </c>
      <c r="AJ210" s="99">
        <f>+'NEW-Tables 80-86'!W120+'NEW-Tables 80-86'!V150</f>
        <v>0</v>
      </c>
      <c r="AK210" s="98">
        <f>+'NEW-Tables 80-86'!X120+'NEW-Tables 80-86'!W150</f>
        <v>0</v>
      </c>
      <c r="AL210" s="80">
        <f>+'NEW-Tables 80-86'!Y120+'NEW-Tables 80-86'!X150</f>
        <v>0</v>
      </c>
      <c r="AN210" s="25"/>
      <c r="AO210" s="100" t="s">
        <v>78</v>
      </c>
      <c r="AP210" s="860">
        <f t="shared" si="44"/>
        <v>0</v>
      </c>
      <c r="AQ210" s="860">
        <f t="shared" si="45"/>
        <v>0</v>
      </c>
      <c r="AR210" s="860">
        <f t="shared" si="46"/>
        <v>0</v>
      </c>
      <c r="AT210" s="100" t="s">
        <v>78</v>
      </c>
      <c r="AU210" s="860">
        <f t="shared" si="47"/>
        <v>0</v>
      </c>
      <c r="AV210" s="860">
        <f t="shared" si="48"/>
        <v>0</v>
      </c>
      <c r="AW210" s="860">
        <f t="shared" si="49"/>
        <v>0</v>
      </c>
      <c r="BA210" s="25"/>
      <c r="BB210" s="25"/>
      <c r="BC210" s="25"/>
    </row>
    <row r="211" spans="1:55">
      <c r="A211" s="3" t="s">
        <v>79</v>
      </c>
      <c r="B211" s="9">
        <f>+'NEW-Tables 80-86'!G121+'NEW-Tables 80-86'!G151</f>
        <v>0</v>
      </c>
      <c r="C211" s="212">
        <f>+GETPIVOTDATA("Sum of New-HS % of Total",'Pivot-HS Student % of Undergrad'!$A$3,"State","WV","Category",12,"Category2","Technical")</f>
        <v>0</v>
      </c>
      <c r="D211" s="176">
        <f>+'NEW-Tables 80-86'!H121+'NEW-Tables 80-86'!H151</f>
        <v>0</v>
      </c>
      <c r="E211" s="212">
        <f>+GETPIVOTDATA("Sum of New-HS % of Total",'Pivot-HS Student % of Undergrad'!$A$3,"State","WV","Category",13,"Category2","Technical")</f>
        <v>0</v>
      </c>
      <c r="F211" s="176">
        <f>+'NEW-Tables 80-86'!I121+'NEW-Tables 80-86'!I151</f>
        <v>0</v>
      </c>
      <c r="G211" s="212">
        <f>+GETPIVOTDATA("Sum of New-HS % of Total",'Pivot-HS Student % of Undergrad'!$A$3,"State","WV","Category2","Group3")</f>
        <v>0</v>
      </c>
      <c r="H211" s="73"/>
      <c r="I211" s="25"/>
      <c r="J211" s="1"/>
      <c r="K211" s="1"/>
      <c r="L211" s="1"/>
      <c r="M211" s="201"/>
      <c r="Q211" s="3" t="s">
        <v>79</v>
      </c>
      <c r="R211" s="431">
        <f>+GETPIVOTDATA("Sum of Old-HS % of Total",'Pivot-HS Student % of Undergrad'!$A$3,"State","WV","Category",12,"Category2","Technical")</f>
        <v>0</v>
      </c>
      <c r="S211" s="470">
        <f t="shared" si="41"/>
        <v>0</v>
      </c>
      <c r="T211" s="432">
        <f>+GETPIVOTDATA("Sum of Old-HS % of Total",'Pivot-HS Student % of Undergrad'!$A$3,"State","WV","Category",13,"Category2","Technical")</f>
        <v>0</v>
      </c>
      <c r="U211" s="470">
        <f t="shared" si="42"/>
        <v>0</v>
      </c>
      <c r="V211" s="432">
        <f>+GETPIVOTDATA("Sum of Old-HS % of Total",'Pivot-HS Student % of Undergrad'!$A$3,"State","WV","Category2","Technical")</f>
        <v>0</v>
      </c>
      <c r="W211" s="470">
        <f t="shared" si="43"/>
        <v>0</v>
      </c>
      <c r="X211" s="424"/>
      <c r="Y211" s="426"/>
      <c r="AA211" s="146"/>
      <c r="AB211" s="146"/>
      <c r="AC211" s="101" t="s">
        <v>79</v>
      </c>
      <c r="AD211" s="125">
        <f>+B211</f>
        <v>0</v>
      </c>
      <c r="AE211" s="97">
        <f>+D211</f>
        <v>0</v>
      </c>
      <c r="AF211" s="97">
        <f>+F211</f>
        <v>0</v>
      </c>
      <c r="AG211" s="97"/>
      <c r="AH211" s="100"/>
      <c r="AI211" s="101" t="s">
        <v>79</v>
      </c>
      <c r="AJ211" s="255">
        <f>+'NEW-Tables 80-86'!W121+'NEW-Tables 80-86'!V151</f>
        <v>0</v>
      </c>
      <c r="AK211" s="97">
        <f>+'NEW-Tables 80-86'!X121+'NEW-Tables 80-86'!W151</f>
        <v>0</v>
      </c>
      <c r="AL211" s="97">
        <f>+'NEW-Tables 80-86'!Y121+'NEW-Tables 80-86'!X151</f>
        <v>0</v>
      </c>
      <c r="AN211" s="25"/>
      <c r="AO211" s="101" t="s">
        <v>79</v>
      </c>
      <c r="AP211" s="860">
        <f t="shared" si="44"/>
        <v>0</v>
      </c>
      <c r="AQ211" s="860">
        <f t="shared" si="45"/>
        <v>0</v>
      </c>
      <c r="AR211" s="860">
        <f t="shared" si="46"/>
        <v>0</v>
      </c>
      <c r="AT211" s="101" t="s">
        <v>79</v>
      </c>
      <c r="AU211" s="860">
        <f t="shared" si="47"/>
        <v>0</v>
      </c>
      <c r="AV211" s="860">
        <f t="shared" si="48"/>
        <v>0</v>
      </c>
      <c r="AW211" s="860">
        <f t="shared" si="49"/>
        <v>0</v>
      </c>
      <c r="BA211" s="25"/>
      <c r="BB211" s="25"/>
      <c r="BC211" s="25"/>
    </row>
    <row r="212" spans="1:55" ht="57.75" customHeight="1">
      <c r="A212" s="834" t="s">
        <v>973</v>
      </c>
      <c r="B212" s="834"/>
      <c r="C212" s="834"/>
      <c r="D212" s="834"/>
      <c r="E212" s="834"/>
      <c r="F212" s="834"/>
      <c r="G212" s="834"/>
      <c r="H212" s="408"/>
      <c r="I212" s="408"/>
      <c r="J212" s="1"/>
      <c r="K212" s="1"/>
      <c r="L212" s="1"/>
      <c r="M212" s="201"/>
      <c r="AA212" s="146"/>
      <c r="AB212" s="146"/>
      <c r="AC212" s="146"/>
      <c r="AD212" s="146"/>
      <c r="AE212" s="146"/>
      <c r="AF212" s="146"/>
      <c r="BC212" s="25"/>
    </row>
    <row r="213" spans="1:55" ht="10.5" customHeight="1">
      <c r="B213" s="355"/>
      <c r="C213" s="355"/>
      <c r="D213" s="355"/>
      <c r="E213" s="355"/>
      <c r="F213" s="355"/>
      <c r="G213" s="833" t="s">
        <v>982</v>
      </c>
      <c r="H213" s="355"/>
      <c r="I213" s="169"/>
      <c r="J213" s="1"/>
      <c r="K213" s="1"/>
      <c r="L213" s="1"/>
      <c r="M213" s="201"/>
      <c r="AA213" s="146"/>
      <c r="AB213" s="146"/>
      <c r="AC213" s="146"/>
      <c r="AD213" s="146"/>
      <c r="AE213" s="146"/>
      <c r="BA213" s="25"/>
      <c r="BB213" s="25"/>
      <c r="BC213" s="25"/>
    </row>
    <row r="214" spans="1:55" ht="13.5" customHeight="1">
      <c r="A214" s="163"/>
      <c r="B214" s="163"/>
      <c r="C214" s="163"/>
      <c r="D214" s="163"/>
      <c r="E214" s="163"/>
      <c r="F214" s="163"/>
      <c r="G214" s="163"/>
      <c r="H214" s="163"/>
      <c r="J214" s="1"/>
      <c r="K214" s="1"/>
      <c r="L214" s="1"/>
      <c r="M214" s="201"/>
      <c r="S214" s="169"/>
      <c r="BA214" s="25"/>
      <c r="BB214" s="25"/>
      <c r="BC214" s="25"/>
    </row>
    <row r="215" spans="1:55" ht="24" customHeight="1">
      <c r="A215" s="399" t="s">
        <v>195</v>
      </c>
      <c r="B215" s="20"/>
      <c r="C215" s="20"/>
      <c r="D215" s="34"/>
      <c r="E215" s="17"/>
      <c r="F215" s="22"/>
      <c r="G215" s="22"/>
      <c r="H215" s="106"/>
      <c r="L215" s="1"/>
      <c r="M215" s="201"/>
      <c r="AK215" s="146"/>
      <c r="BA215" s="25"/>
      <c r="BB215" s="25"/>
      <c r="BC215" s="25"/>
    </row>
    <row r="216" spans="1:55" ht="15.75">
      <c r="A216" s="21"/>
      <c r="B216" s="21"/>
      <c r="C216" s="21"/>
      <c r="D216" s="35"/>
      <c r="E216" s="17"/>
      <c r="F216" s="22"/>
      <c r="G216" s="22"/>
      <c r="H216" s="106"/>
      <c r="BA216" s="25"/>
      <c r="BB216" s="25"/>
      <c r="BC216" s="25"/>
    </row>
    <row r="217" spans="1:55" ht="18" customHeight="1">
      <c r="A217" s="43" t="s">
        <v>36</v>
      </c>
      <c r="B217" s="43"/>
      <c r="C217" s="43"/>
      <c r="D217" s="62"/>
      <c r="E217" s="17"/>
      <c r="F217" s="22"/>
      <c r="G217" s="22"/>
      <c r="H217" s="106"/>
    </row>
    <row r="218" spans="1:55" ht="15.75">
      <c r="A218" s="43" t="s">
        <v>29</v>
      </c>
      <c r="B218" s="43"/>
      <c r="C218" s="43"/>
      <c r="D218" s="62"/>
      <c r="E218" s="17"/>
      <c r="F218" s="22"/>
      <c r="G218" s="22"/>
      <c r="H218" s="106"/>
      <c r="Q218" s="1" t="s">
        <v>38</v>
      </c>
    </row>
    <row r="219" spans="1:55" ht="15.75">
      <c r="A219" s="43" t="s">
        <v>983</v>
      </c>
      <c r="B219" s="43"/>
      <c r="C219" s="43"/>
      <c r="D219" s="62"/>
      <c r="E219" s="17"/>
      <c r="F219" s="22"/>
      <c r="G219" s="22"/>
      <c r="H219" s="106"/>
      <c r="I219" s="25"/>
      <c r="Q219" s="228" t="s">
        <v>150</v>
      </c>
      <c r="R219" s="228"/>
    </row>
    <row r="220" spans="1:55">
      <c r="B220" s="2"/>
      <c r="C220" s="2"/>
      <c r="D220" s="26"/>
      <c r="I220" s="25"/>
      <c r="Q220" s="131" t="s">
        <v>40</v>
      </c>
      <c r="R220" s="131"/>
      <c r="S220" s="68"/>
      <c r="T220" s="68"/>
      <c r="U220" s="78"/>
      <c r="V220" s="217" t="s">
        <v>7</v>
      </c>
      <c r="W220" s="218"/>
      <c r="X220" s="68"/>
      <c r="Y220" s="68"/>
      <c r="Z220" s="217" t="s">
        <v>141</v>
      </c>
      <c r="AA220" s="218"/>
      <c r="AB220" s="68"/>
      <c r="AC220" s="68"/>
    </row>
    <row r="221" spans="1:55" ht="39.75" customHeight="1">
      <c r="A221" s="63"/>
      <c r="B221" s="64" t="s">
        <v>62</v>
      </c>
      <c r="C221" s="36"/>
      <c r="D221" s="64" t="s">
        <v>63</v>
      </c>
      <c r="E221" s="65" t="s">
        <v>28</v>
      </c>
      <c r="F221" s="65" t="s">
        <v>45</v>
      </c>
      <c r="G221" s="66" t="s">
        <v>28</v>
      </c>
      <c r="H221" s="121" t="s">
        <v>59</v>
      </c>
      <c r="I221" s="74"/>
      <c r="Q221" s="69"/>
      <c r="R221" s="69" t="s">
        <v>62</v>
      </c>
      <c r="S221" s="69" t="s">
        <v>63</v>
      </c>
      <c r="T221" s="70" t="s">
        <v>45</v>
      </c>
      <c r="U221" s="79" t="s">
        <v>31</v>
      </c>
      <c r="V221" s="219" t="s">
        <v>62</v>
      </c>
      <c r="W221" s="69" t="s">
        <v>63</v>
      </c>
      <c r="X221" s="70" t="s">
        <v>45</v>
      </c>
      <c r="Y221" s="70" t="s">
        <v>31</v>
      </c>
      <c r="Z221" s="219" t="s">
        <v>62</v>
      </c>
      <c r="AA221" s="69" t="s">
        <v>63</v>
      </c>
      <c r="AB221" s="70" t="s">
        <v>45</v>
      </c>
      <c r="AC221" s="70" t="s">
        <v>31</v>
      </c>
    </row>
    <row r="222" spans="1:55" ht="11.25" customHeight="1">
      <c r="A222" s="1" t="s">
        <v>64</v>
      </c>
      <c r="B222" s="67">
        <f>+GETPIVOTDATA("Grand Total FTE - New",'FTE Pivot for regular counts'!$A$2,"Category2","Four-Year")</f>
        <v>2394899.7166666668</v>
      </c>
      <c r="D222" s="15">
        <f>+GETPIVOTDATA("Grand Total FTE - New",'FTE Pivot for regular counts'!$A$2,"Category2","Two-Year")</f>
        <v>1770437.6922222222</v>
      </c>
      <c r="F222" s="39">
        <f>+GETPIVOTDATA("Grand Total FTE - New",'FTE Pivot for regular counts'!$A$2,"Category2","Technical")</f>
        <v>126992.51642222224</v>
      </c>
      <c r="G222" s="37"/>
      <c r="H222" s="122">
        <f>+F222+D222+B222</f>
        <v>4292329.9253111109</v>
      </c>
      <c r="I222" s="25"/>
      <c r="Q222" s="1" t="s">
        <v>64</v>
      </c>
      <c r="R222" s="67">
        <f>+GETPIVOTDATA("Grand Total FTE - Old",'FTE Pivot for regular counts'!$A$2,"Category2","Four-Year")</f>
        <v>2389652.5295000002</v>
      </c>
      <c r="S222" s="15">
        <f>+GETPIVOTDATA("Grand Total FTE - Old",'FTE Pivot for regular counts'!$A$2,"Category2","Two-Year")</f>
        <v>1843113.3230000001</v>
      </c>
      <c r="T222" s="39">
        <f>+GETPIVOTDATA("Grand Total FTE - Old",'FTE Pivot for regular counts'!$A$2,"Category2","Technical")</f>
        <v>131640.77333333332</v>
      </c>
      <c r="U222" s="88">
        <f>SUM(R222:T222)</f>
        <v>4364406.6258333335</v>
      </c>
      <c r="V222" s="436">
        <f>+B222-R222</f>
        <v>5247.187166666612</v>
      </c>
      <c r="W222" s="437">
        <f>+D222-S222</f>
        <v>-72675.630777777871</v>
      </c>
      <c r="X222" s="438">
        <f>+F222-T222</f>
        <v>-4648.2569111110788</v>
      </c>
      <c r="Y222" s="438">
        <f>+H222-U222</f>
        <v>-72076.700522222556</v>
      </c>
      <c r="Z222" s="220">
        <f>(B222-R222)/R222</f>
        <v>2.1957950379357075E-3</v>
      </c>
      <c r="AA222" s="221">
        <f>(D222-S222)/S222</f>
        <v>-3.9430907405891433E-2</v>
      </c>
      <c r="AB222" s="71">
        <f t="shared" ref="AB222:AB239" si="50">IF(T222&gt;0,((F222-T222)/T222),)</f>
        <v>-3.5310161080116309E-2</v>
      </c>
      <c r="AC222" s="71">
        <f>(H222-U222)/U222</f>
        <v>-1.6514662060953207E-2</v>
      </c>
      <c r="AI222" s="96"/>
      <c r="AJ222" s="96"/>
      <c r="AK222" s="96"/>
      <c r="AL222" s="96"/>
    </row>
    <row r="223" spans="1:55" ht="15" customHeight="1">
      <c r="B223" s="15"/>
      <c r="D223" s="15"/>
      <c r="F223" s="15"/>
      <c r="G223" s="37"/>
      <c r="H223" s="15"/>
      <c r="I223" s="25"/>
      <c r="R223" s="15"/>
      <c r="S223" s="15"/>
      <c r="T223" s="15"/>
      <c r="U223" s="15"/>
      <c r="V223" s="436"/>
      <c r="W223" s="437"/>
      <c r="X223" s="438"/>
      <c r="Y223" s="438"/>
      <c r="Z223" s="220"/>
      <c r="AA223" s="221"/>
      <c r="AB223" s="71">
        <f t="shared" si="50"/>
        <v>0</v>
      </c>
      <c r="AC223" s="71"/>
      <c r="AI223" s="96"/>
      <c r="AJ223" s="96"/>
      <c r="AK223" s="96"/>
      <c r="AL223" s="96"/>
    </row>
    <row r="224" spans="1:55" ht="13.5" customHeight="1">
      <c r="A224" s="1" t="s">
        <v>65</v>
      </c>
      <c r="B224" s="15">
        <f>+GETPIVOTDATA("Grand Total FTE - New",'FTE Pivot for regular counts'!$A$2,"State","AL","Category2","Four-Year")</f>
        <v>128550.20833333333</v>
      </c>
      <c r="D224" s="15">
        <f>+GETPIVOTDATA("Grand Total FTE - New",'FTE Pivot for regular counts'!$A$2,"State","AL","Category2","Two-Year")</f>
        <v>63538</v>
      </c>
      <c r="F224" s="39">
        <f>+GETPIVOTDATA("Grand Total FTE - New",'FTE Pivot for regular counts'!$A$2,"State","AL","Category2","Technical")</f>
        <v>3222.0333333333338</v>
      </c>
      <c r="G224" s="37"/>
      <c r="H224" s="122">
        <f t="shared" ref="H224:H239" si="51">+F224+D224+B224</f>
        <v>195310.24166666667</v>
      </c>
      <c r="I224" s="25"/>
      <c r="Q224" s="1" t="s">
        <v>65</v>
      </c>
      <c r="R224" s="15">
        <f>+GETPIVOTDATA("Grand Total FTE - Old",'FTE Pivot for regular counts'!$A$2,"State","AL","Category2","Four-Year")</f>
        <v>129153.88333333333</v>
      </c>
      <c r="S224" s="15">
        <f>+GETPIVOTDATA("Grand Total FTE - Old",'FTE Pivot for regular counts'!$A$2,"State","AL","Category2","Two-Year")</f>
        <v>67231.166666666672</v>
      </c>
      <c r="T224" s="39">
        <f>+GETPIVOTDATA("Grand Total FTE - Old",'FTE Pivot for regular counts'!$A$2,"State","AL","Category2","Technical")</f>
        <v>3451.3999999999996</v>
      </c>
      <c r="U224" s="89">
        <f t="shared" ref="U224:U239" si="52">SUM(R224:T224)</f>
        <v>199836.44999999998</v>
      </c>
      <c r="V224" s="436">
        <f t="shared" ref="V224:V239" si="53">+B224-R224</f>
        <v>-603.67500000000291</v>
      </c>
      <c r="W224" s="437">
        <f t="shared" ref="W224:W239" si="54">+D224-S224</f>
        <v>-3693.1666666666715</v>
      </c>
      <c r="X224" s="438">
        <f t="shared" ref="X224:X239" si="55">+F224-T224</f>
        <v>-229.36666666666588</v>
      </c>
      <c r="Y224" s="438">
        <f t="shared" ref="Y224:Y239" si="56">+H224-U224</f>
        <v>-4526.2083333333139</v>
      </c>
      <c r="Z224" s="220">
        <f t="shared" ref="Z224:Z239" si="57">(B224-R224)/R224</f>
        <v>-4.6740754859223065E-3</v>
      </c>
      <c r="AA224" s="221">
        <f t="shared" ref="AA224:AA239" si="58">(D224-S224)/S224</f>
        <v>-5.4932360239670658E-2</v>
      </c>
      <c r="AB224" s="71">
        <f t="shared" si="50"/>
        <v>-6.645612408491218E-2</v>
      </c>
      <c r="AC224" s="71">
        <f t="shared" ref="AC224:AC239" si="59">(H224-U224)/U224</f>
        <v>-2.2649563347093657E-2</v>
      </c>
      <c r="AI224" s="96"/>
      <c r="AJ224" s="96"/>
      <c r="AK224" s="96"/>
      <c r="AL224" s="96"/>
    </row>
    <row r="225" spans="1:83" ht="15" customHeight="1">
      <c r="A225" s="4" t="s">
        <v>66</v>
      </c>
      <c r="B225" s="15">
        <f>+GETPIVOTDATA("Grand Total FTE - New",'FTE Pivot for regular counts'!$A$2,"State","AR","Category2","Four-Year")</f>
        <v>80978.508333333331</v>
      </c>
      <c r="D225" s="15">
        <f>+GETPIVOTDATA("Grand Total FTE - New",'FTE Pivot for regular counts'!$A$2,"State","AR","Category2","Two-Year")</f>
        <v>40814.266666666663</v>
      </c>
      <c r="F225" s="39">
        <f>+GETPIVOTDATA("Grand Total FTE - New",'FTE Pivot for regular counts'!$A$2,"State","AR","Category2","Technical")</f>
        <v>0</v>
      </c>
      <c r="G225" s="37"/>
      <c r="H225" s="122">
        <f t="shared" si="51"/>
        <v>121792.77499999999</v>
      </c>
      <c r="I225" s="25"/>
      <c r="Q225" s="4" t="s">
        <v>66</v>
      </c>
      <c r="R225" s="15">
        <f>+GETPIVOTDATA("Grand Total FTE - Old",'FTE Pivot for regular counts'!$A$2,"State","AR","Category2","Four-Year")</f>
        <v>80386.45</v>
      </c>
      <c r="S225" s="15">
        <f>+GETPIVOTDATA("Grand Total FTE - Old",'FTE Pivot for regular counts'!$A$2,"State","AR","Category2","Two-Year")</f>
        <v>42199.966666666667</v>
      </c>
      <c r="T225" s="39">
        <f>+GETPIVOTDATA("Grand Total FTE - Old",'FTE Pivot for regular counts'!$A$2,"State","AR","Category2","Technical")</f>
        <v>0</v>
      </c>
      <c r="U225" s="89">
        <f t="shared" si="52"/>
        <v>122586.41666666666</v>
      </c>
      <c r="V225" s="436">
        <f t="shared" si="53"/>
        <v>592.0583333333343</v>
      </c>
      <c r="W225" s="437">
        <f t="shared" si="54"/>
        <v>-1385.7000000000044</v>
      </c>
      <c r="X225" s="438">
        <f t="shared" si="55"/>
        <v>0</v>
      </c>
      <c r="Y225" s="438">
        <f t="shared" si="56"/>
        <v>-793.64166666666279</v>
      </c>
      <c r="Z225" s="220">
        <f t="shared" si="57"/>
        <v>7.3651508846743988E-3</v>
      </c>
      <c r="AA225" s="221">
        <f t="shared" si="58"/>
        <v>-3.2836518828214027E-2</v>
      </c>
      <c r="AB225" s="71">
        <f t="shared" si="50"/>
        <v>0</v>
      </c>
      <c r="AC225" s="71">
        <f t="shared" si="59"/>
        <v>-6.4741403513303569E-3</v>
      </c>
      <c r="AI225" s="96"/>
      <c r="AJ225" s="96"/>
      <c r="AK225" s="96"/>
      <c r="AL225" s="96"/>
    </row>
    <row r="226" spans="1:83" ht="15" customHeight="1">
      <c r="A226" s="1" t="s">
        <v>102</v>
      </c>
      <c r="B226" s="103">
        <f>+GETPIVOTDATA("Grand Total FTE - New",'FTE Pivot for regular counts'!$A$2,"State","DE","Category2","Four-Year")</f>
        <v>24173.499999999996</v>
      </c>
      <c r="D226" s="15">
        <f>+GETPIVOTDATA("Grand Total FTE - New",'FTE Pivot for regular counts'!$A$2,"State","DE","Category2","Two-Year")</f>
        <v>10395.233333333334</v>
      </c>
      <c r="F226" s="39">
        <f>+GETPIVOTDATA("Grand Total FTE - New",'FTE Pivot for regular counts'!$A$2,"State","DE","Category2","Technical")</f>
        <v>0</v>
      </c>
      <c r="G226" s="37"/>
      <c r="H226" s="122">
        <f t="shared" si="51"/>
        <v>34568.73333333333</v>
      </c>
      <c r="I226" s="25"/>
      <c r="Q226" s="1" t="s">
        <v>102</v>
      </c>
      <c r="R226" s="103">
        <f>+GETPIVOTDATA("Grand Total FTE - Old",'FTE Pivot for regular counts'!$A$2,"State","DE","Category2","Four-Year")</f>
        <v>23940.275000000001</v>
      </c>
      <c r="S226" s="15">
        <f>+GETPIVOTDATA("Grand Total FTE - Old",'FTE Pivot for regular counts'!$A$2,"State","DE","Category2","Two-Year")</f>
        <v>10774.966666666667</v>
      </c>
      <c r="T226" s="39">
        <f>+GETPIVOTDATA("Grand Total FTE - Old",'FTE Pivot for regular counts'!$A$2,"State","DE","Category2","Technical")</f>
        <v>0</v>
      </c>
      <c r="U226" s="89">
        <f t="shared" si="52"/>
        <v>34715.241666666669</v>
      </c>
      <c r="V226" s="436">
        <f t="shared" si="53"/>
        <v>233.22499999999491</v>
      </c>
      <c r="W226" s="437">
        <f t="shared" si="54"/>
        <v>-379.73333333333358</v>
      </c>
      <c r="X226" s="438">
        <f t="shared" si="55"/>
        <v>0</v>
      </c>
      <c r="Y226" s="438">
        <f t="shared" si="56"/>
        <v>-146.50833333333867</v>
      </c>
      <c r="Z226" s="220">
        <f t="shared" si="57"/>
        <v>9.7419515857689563E-3</v>
      </c>
      <c r="AA226" s="221">
        <f t="shared" si="58"/>
        <v>-3.5242181723686712E-2</v>
      </c>
      <c r="AB226" s="71">
        <f t="shared" si="50"/>
        <v>0</v>
      </c>
      <c r="AC226" s="71">
        <f t="shared" si="59"/>
        <v>-4.220288446789496E-3</v>
      </c>
      <c r="AI226" s="96"/>
      <c r="AJ226" s="96"/>
      <c r="AK226" s="96"/>
      <c r="AL226" s="96"/>
    </row>
    <row r="227" spans="1:83" ht="15" customHeight="1">
      <c r="A227" s="1" t="s">
        <v>67</v>
      </c>
      <c r="B227" s="15">
        <f>+GETPIVOTDATA("Grand Total FTE - New",'FTE Pivot for regular counts'!$A$2,"State","FL","Category2","Four-Year")</f>
        <v>292548.64166666666</v>
      </c>
      <c r="D227" s="15">
        <f>+GETPIVOTDATA("Grand Total FTE - New",'FTE Pivot for regular counts'!$A$2,"State","FL","Category2","Two-Year")</f>
        <v>345458.94111111108</v>
      </c>
      <c r="F227" s="39">
        <f>+GETPIVOTDATA("Grand Total FTE - New",'FTE Pivot for regular counts'!$A$2,"State","FL","Category2","Technical")</f>
        <v>0</v>
      </c>
      <c r="G227" s="37"/>
      <c r="H227" s="122">
        <f t="shared" si="51"/>
        <v>638007.58277777769</v>
      </c>
      <c r="I227" s="25"/>
      <c r="Q227" s="1" t="s">
        <v>67</v>
      </c>
      <c r="R227" s="15">
        <f>+GETPIVOTDATA("Grand Total FTE - Old",'FTE Pivot for regular counts'!$A$2,"State","FL","Category2","Four-Year")</f>
        <v>295499.88750000001</v>
      </c>
      <c r="S227" s="15">
        <f>+GETPIVOTDATA("Grand Total FTE - Old",'FTE Pivot for regular counts'!$A$2,"State","FL","Category2","Two-Year")</f>
        <v>359004.58</v>
      </c>
      <c r="T227" s="39">
        <f>+GETPIVOTDATA("Grand Total FTE - Old",'FTE Pivot for regular counts'!$A$2,"State","FL","Category2","Technical")</f>
        <v>0</v>
      </c>
      <c r="U227" s="89">
        <f t="shared" si="52"/>
        <v>654504.46750000003</v>
      </c>
      <c r="V227" s="436">
        <f t="shared" si="53"/>
        <v>-2951.2458333333489</v>
      </c>
      <c r="W227" s="437">
        <f t="shared" si="54"/>
        <v>-13545.638888888934</v>
      </c>
      <c r="X227" s="438">
        <f t="shared" si="55"/>
        <v>0</v>
      </c>
      <c r="Y227" s="438">
        <f t="shared" si="56"/>
        <v>-16496.884722222341</v>
      </c>
      <c r="Z227" s="220">
        <f t="shared" si="57"/>
        <v>-9.9872993465466159E-3</v>
      </c>
      <c r="AA227" s="221">
        <f t="shared" si="58"/>
        <v>-3.7731103288122209E-2</v>
      </c>
      <c r="AB227" s="71">
        <f t="shared" si="50"/>
        <v>0</v>
      </c>
      <c r="AC227" s="71">
        <f t="shared" si="59"/>
        <v>-2.5205152205049448E-2</v>
      </c>
      <c r="AI227" s="96"/>
      <c r="AJ227" s="96"/>
      <c r="AK227" s="96"/>
      <c r="AL227" s="96"/>
    </row>
    <row r="228" spans="1:83" ht="15" customHeight="1">
      <c r="A228" s="1" t="s">
        <v>68</v>
      </c>
      <c r="B228" s="15">
        <f>+GETPIVOTDATA("Grand Total FTE - New",'FTE Pivot for regular counts'!$A$2,"State","GA","Category2","Four-Year")</f>
        <v>228769.05000000002</v>
      </c>
      <c r="D228" s="15">
        <f>+GETPIVOTDATA("Grand Total FTE - New",'FTE Pivot for regular counts'!$A$2,"State","GA","Category2","Two-Year")</f>
        <v>42158.666666666672</v>
      </c>
      <c r="F228" s="39">
        <f>+GETPIVOTDATA("Grand Total FTE - New",'FTE Pivot for regular counts'!$A$2,"State","GA","Category2","Technical")</f>
        <v>76720.666666666672</v>
      </c>
      <c r="G228" s="37"/>
      <c r="H228" s="122">
        <f t="shared" si="51"/>
        <v>347648.38333333336</v>
      </c>
      <c r="I228" s="25"/>
      <c r="Q228" s="1" t="s">
        <v>68</v>
      </c>
      <c r="R228" s="15">
        <f>+GETPIVOTDATA("Grand Total FTE - Old",'FTE Pivot for regular counts'!$A$2,"State","GA","Category2","Four-Year")</f>
        <v>228526.42583333331</v>
      </c>
      <c r="S228" s="15">
        <f>+GETPIVOTDATA("Grand Total FTE - Old",'FTE Pivot for regular counts'!$A$2,"State","GA","Category2","Two-Year")</f>
        <v>46477.016666666663</v>
      </c>
      <c r="T228" s="39">
        <f>+GETPIVOTDATA("Grand Total FTE - Old",'FTE Pivot for regular counts'!$A$2,"State","GA","Category2","Technical")</f>
        <v>77975.723333333342</v>
      </c>
      <c r="U228" s="89">
        <f t="shared" si="52"/>
        <v>352979.16583333333</v>
      </c>
      <c r="V228" s="436">
        <f t="shared" si="53"/>
        <v>242.6241666667047</v>
      </c>
      <c r="W228" s="437">
        <f t="shared" si="54"/>
        <v>-4318.3499999999913</v>
      </c>
      <c r="X228" s="438">
        <f t="shared" si="55"/>
        <v>-1255.0566666666709</v>
      </c>
      <c r="Y228" s="438">
        <f t="shared" si="56"/>
        <v>-5330.7824999999721</v>
      </c>
      <c r="Z228" s="220">
        <f t="shared" si="57"/>
        <v>1.0616897620568967E-3</v>
      </c>
      <c r="AA228" s="221">
        <f t="shared" si="58"/>
        <v>-9.291366593022124E-2</v>
      </c>
      <c r="AB228" s="71">
        <f t="shared" si="50"/>
        <v>-1.6095479631545204E-2</v>
      </c>
      <c r="AC228" s="71">
        <f t="shared" si="59"/>
        <v>-1.5102258195366168E-2</v>
      </c>
      <c r="AI228" s="96"/>
      <c r="AJ228" s="96"/>
      <c r="AK228" s="96"/>
      <c r="AL228" s="96"/>
    </row>
    <row r="229" spans="1:83" ht="15" customHeight="1">
      <c r="A229" s="1" t="s">
        <v>69</v>
      </c>
      <c r="B229" s="15">
        <f>+GETPIVOTDATA("Grand Total FTE - New",'FTE Pivot for regular counts'!$A$2,"State","KY","Category2","Four-Year")</f>
        <v>101137.72500000001</v>
      </c>
      <c r="D229" s="15">
        <f>+GETPIVOTDATA("Grand Total FTE - New",'FTE Pivot for regular counts'!$A$2,"State","KY","Category2","Two-Year")</f>
        <v>48778.6</v>
      </c>
      <c r="F229" s="39">
        <f>+GETPIVOTDATA("Grand Total FTE - New",'FTE Pivot for regular counts'!$A$2,"State","KY","Category2","Technical")</f>
        <v>5377.2</v>
      </c>
      <c r="G229" s="37"/>
      <c r="H229" s="122">
        <f t="shared" si="51"/>
        <v>155293.52499999999</v>
      </c>
      <c r="I229" s="25"/>
      <c r="Q229" s="1" t="s">
        <v>69</v>
      </c>
      <c r="R229" s="15">
        <f>+GETPIVOTDATA("Grand Total FTE - Old",'FTE Pivot for regular counts'!$A$2,"State","KY","Category2","Four-Year")</f>
        <v>101030.05</v>
      </c>
      <c r="S229" s="15">
        <f>+GETPIVOTDATA("Grand Total FTE - Old",'FTE Pivot for regular counts'!$A$2,"State","KY","Category2","Two-Year")</f>
        <v>51219.366666666669</v>
      </c>
      <c r="T229" s="39">
        <f>+GETPIVOTDATA("Grand Total FTE - Old",'FTE Pivot for regular counts'!$A$2,"State","KY","Category2","Technical")</f>
        <v>5047.0666666666666</v>
      </c>
      <c r="U229" s="89">
        <f t="shared" si="52"/>
        <v>157296.48333333337</v>
      </c>
      <c r="V229" s="436">
        <f t="shared" si="53"/>
        <v>107.67500000000291</v>
      </c>
      <c r="W229" s="437">
        <f t="shared" si="54"/>
        <v>-2440.7666666666701</v>
      </c>
      <c r="X229" s="438">
        <f t="shared" si="55"/>
        <v>330.13333333333321</v>
      </c>
      <c r="Y229" s="438">
        <f t="shared" si="56"/>
        <v>-2002.9583333333721</v>
      </c>
      <c r="Z229" s="220">
        <f t="shared" si="57"/>
        <v>1.0657720153558561E-3</v>
      </c>
      <c r="AA229" s="221">
        <f t="shared" si="58"/>
        <v>-4.7653198887660397E-2</v>
      </c>
      <c r="AB229" s="71">
        <f t="shared" si="50"/>
        <v>6.5410931762343777E-2</v>
      </c>
      <c r="AC229" s="71">
        <f t="shared" si="59"/>
        <v>-1.2733649798697799E-2</v>
      </c>
      <c r="AI229" s="96"/>
      <c r="AJ229" s="96"/>
      <c r="AK229" s="96"/>
      <c r="AL229" s="96"/>
    </row>
    <row r="230" spans="1:83" ht="15" customHeight="1">
      <c r="A230" s="1" t="s">
        <v>70</v>
      </c>
      <c r="B230" s="15">
        <f>+GETPIVOTDATA("Grand Total FTE - New",'FTE Pivot for regular counts'!$A$2,"State","LA","Category2","Four-Year")</f>
        <v>119437.18333333333</v>
      </c>
      <c r="D230" s="15">
        <f>+GETPIVOTDATA("Grand Total FTE - New",'FTE Pivot for regular counts'!$A$2,"State","LA","Category2","Two-Year")</f>
        <v>40058.766666666663</v>
      </c>
      <c r="F230" s="39">
        <f>+GETPIVOTDATA("Grand Total FTE - New",'FTE Pivot for regular counts'!$A$2,"State","LA","Category2","Technical")</f>
        <v>10429.336666666666</v>
      </c>
      <c r="G230" s="37"/>
      <c r="H230" s="122">
        <f t="shared" si="51"/>
        <v>169925.28666666668</v>
      </c>
      <c r="I230" s="25"/>
      <c r="Q230" s="1" t="s">
        <v>70</v>
      </c>
      <c r="R230" s="15">
        <f>+GETPIVOTDATA("Grand Total FTE - Old",'FTE Pivot for regular counts'!$A$2,"State","LA","Category2","Four-Year")</f>
        <v>123427.8</v>
      </c>
      <c r="S230" s="15">
        <f>+GETPIVOTDATA("Grand Total FTE - Old",'FTE Pivot for regular counts'!$A$2,"State","LA","Category2","Two-Year")</f>
        <v>41072.162222222221</v>
      </c>
      <c r="T230" s="39">
        <f>+GETPIVOTDATA("Grand Total FTE - Old",'FTE Pivot for regular counts'!$A$2,"State","LA","Category2","Technical")</f>
        <v>13854.743333333332</v>
      </c>
      <c r="U230" s="89">
        <f t="shared" si="52"/>
        <v>178354.70555555559</v>
      </c>
      <c r="V230" s="436">
        <f t="shared" si="53"/>
        <v>-3990.6166666666686</v>
      </c>
      <c r="W230" s="437">
        <f t="shared" si="54"/>
        <v>-1013.3955555555585</v>
      </c>
      <c r="X230" s="438">
        <f t="shared" si="55"/>
        <v>-3425.4066666666658</v>
      </c>
      <c r="Y230" s="438">
        <f t="shared" si="56"/>
        <v>-8429.4188888889039</v>
      </c>
      <c r="Z230" s="220">
        <f t="shared" si="57"/>
        <v>-3.2331587103283606E-2</v>
      </c>
      <c r="AA230" s="221">
        <f t="shared" si="58"/>
        <v>-2.4673538005439064E-2</v>
      </c>
      <c r="AB230" s="71">
        <f t="shared" si="50"/>
        <v>-0.24723710748400723</v>
      </c>
      <c r="AC230" s="71">
        <f t="shared" si="59"/>
        <v>-4.7262105379458186E-2</v>
      </c>
      <c r="AI230" s="96"/>
      <c r="AJ230" s="96"/>
      <c r="AK230" s="96"/>
      <c r="AL230" s="96"/>
    </row>
    <row r="231" spans="1:83" ht="15" customHeight="1">
      <c r="A231" s="1" t="s">
        <v>71</v>
      </c>
      <c r="B231" s="15">
        <f>+GETPIVOTDATA("Grand Total FTE - New",'FTE Pivot for regular counts'!$A$2,"State","MD","Category2","Four-Year")</f>
        <v>103486.15000000001</v>
      </c>
      <c r="D231" s="15">
        <f>+GETPIVOTDATA("Grand Total FTE - New",'FTE Pivot for regular counts'!$A$2,"State","MD","Category2","Two-Year")</f>
        <v>93141.116666666669</v>
      </c>
      <c r="F231" s="39">
        <f>+GETPIVOTDATA("Grand Total FTE - New",'FTE Pivot for regular counts'!$A$2,"State","MD","Category2","Technical")</f>
        <v>0</v>
      </c>
      <c r="G231" s="37"/>
      <c r="H231" s="122">
        <f t="shared" si="51"/>
        <v>196627.26666666666</v>
      </c>
      <c r="I231" s="25"/>
      <c r="Q231" s="1" t="s">
        <v>71</v>
      </c>
      <c r="R231" s="15">
        <f>+GETPIVOTDATA("Grand Total FTE - Old",'FTE Pivot for regular counts'!$A$2,"State","MD","Category2","Four-Year")</f>
        <v>103770.45000000001</v>
      </c>
      <c r="S231" s="15">
        <f>+GETPIVOTDATA("Grand Total FTE - Old",'FTE Pivot for regular counts'!$A$2,"State","MD","Category2","Two-Year")</f>
        <v>104485.51666666666</v>
      </c>
      <c r="T231" s="39">
        <f>+GETPIVOTDATA("Grand Total FTE - Old",'FTE Pivot for regular counts'!$A$2,"State","MD","Category2","Technical")</f>
        <v>0</v>
      </c>
      <c r="U231" s="89">
        <f t="shared" si="52"/>
        <v>208255.96666666667</v>
      </c>
      <c r="V231" s="436">
        <f t="shared" si="53"/>
        <v>-284.30000000000291</v>
      </c>
      <c r="W231" s="437">
        <f t="shared" si="54"/>
        <v>-11344.399999999994</v>
      </c>
      <c r="X231" s="438">
        <f t="shared" si="55"/>
        <v>0</v>
      </c>
      <c r="Y231" s="438">
        <f t="shared" si="56"/>
        <v>-11628.700000000012</v>
      </c>
      <c r="Z231" s="220">
        <f t="shared" si="57"/>
        <v>-2.7397009456931417E-3</v>
      </c>
      <c r="AA231" s="221">
        <f t="shared" si="58"/>
        <v>-0.10857389963616962</v>
      </c>
      <c r="AB231" s="71">
        <f t="shared" si="50"/>
        <v>0</v>
      </c>
      <c r="AC231" s="71">
        <f t="shared" si="59"/>
        <v>-5.5838496183942925E-2</v>
      </c>
      <c r="AI231" s="96"/>
      <c r="AJ231" s="96"/>
      <c r="AK231" s="96"/>
      <c r="AL231" s="96"/>
    </row>
    <row r="232" spans="1:83" ht="15" customHeight="1">
      <c r="A232" s="1" t="s">
        <v>72</v>
      </c>
      <c r="B232" s="15">
        <f>+GETPIVOTDATA("Grand Total FTE - New",'FTE Pivot for regular counts'!$A$2,"State","MS","Category2","Four-Year")</f>
        <v>68469.350000000006</v>
      </c>
      <c r="D232" s="15">
        <f>+GETPIVOTDATA("Grand Total FTE - New",'FTE Pivot for regular counts'!$A$2,"State","Ms","Category2","Two-Year")</f>
        <v>62634.6</v>
      </c>
      <c r="F232" s="39">
        <f>+GETPIVOTDATA("Grand Total FTE - New",'FTE Pivot for regular counts'!$A$2,"State","MS","Category2","Technical")</f>
        <v>0</v>
      </c>
      <c r="G232" s="37"/>
      <c r="H232" s="122">
        <f t="shared" si="51"/>
        <v>131103.95000000001</v>
      </c>
      <c r="I232" s="25"/>
      <c r="Q232" s="1" t="s">
        <v>72</v>
      </c>
      <c r="R232" s="15">
        <f>+GETPIVOTDATA("Grand Total FTE - Old",'FTE Pivot for regular counts'!$A$2,"State","MS","Category2","Four-Year")</f>
        <v>67881.925000000003</v>
      </c>
      <c r="S232" s="15">
        <f>+GETPIVOTDATA("Grand Total FTE - Old",'FTE Pivot for regular counts'!$A$2,"State","MS","Category2","Two-Year")</f>
        <v>65850.266666666663</v>
      </c>
      <c r="T232" s="39">
        <f>+GETPIVOTDATA("Grand Total FTE - Old",'FTE Pivot for regular counts'!$A$2,"State","MS","Category2","Technical")</f>
        <v>0</v>
      </c>
      <c r="U232" s="89">
        <f t="shared" si="52"/>
        <v>133732.19166666665</v>
      </c>
      <c r="V232" s="436">
        <f t="shared" si="53"/>
        <v>587.42500000000291</v>
      </c>
      <c r="W232" s="437">
        <f t="shared" si="54"/>
        <v>-3215.6666666666642</v>
      </c>
      <c r="X232" s="438">
        <f t="shared" si="55"/>
        <v>0</v>
      </c>
      <c r="Y232" s="438">
        <f t="shared" si="56"/>
        <v>-2628.2416666666395</v>
      </c>
      <c r="Z232" s="220">
        <f t="shared" si="57"/>
        <v>8.6536290772544072E-3</v>
      </c>
      <c r="AA232" s="221">
        <f t="shared" si="58"/>
        <v>-4.8833009028563759E-2</v>
      </c>
      <c r="AB232" s="71">
        <f t="shared" si="50"/>
        <v>0</v>
      </c>
      <c r="AC232" s="71">
        <f t="shared" si="59"/>
        <v>-1.9653021713856654E-2</v>
      </c>
      <c r="AI232" s="96"/>
      <c r="AJ232" s="96"/>
      <c r="AK232" s="96"/>
      <c r="AL232" s="96"/>
    </row>
    <row r="233" spans="1:83" ht="12" customHeight="1">
      <c r="A233" s="1" t="s">
        <v>73</v>
      </c>
      <c r="B233" s="15">
        <f>+GETPIVOTDATA("Grand Total FTE - New",'FTE Pivot for regular counts'!$A$2,"State","NC","Category2","Four-Year")</f>
        <v>196767.62500000003</v>
      </c>
      <c r="D233" s="15">
        <f>+GETPIVOTDATA("Grand Total FTE - New",'FTE Pivot for regular counts'!$A$2,"State","NC","Category2","Two-Year")</f>
        <v>205949.71555555554</v>
      </c>
      <c r="F233" s="39">
        <f>+GETPIVOTDATA("Grand Total FTE - New",'FTE Pivot for regular counts'!$A$2,"State","NC","Category2","Technical")</f>
        <v>0</v>
      </c>
      <c r="G233" s="37"/>
      <c r="H233" s="122">
        <f t="shared" si="51"/>
        <v>402717.34055555554</v>
      </c>
      <c r="I233" s="25"/>
      <c r="Q233" s="1" t="s">
        <v>73</v>
      </c>
      <c r="R233" s="15">
        <f>+GETPIVOTDATA("Grand Total FTE - Old",'FTE Pivot for regular counts'!$A$2,"State","NC","Category2","Four-Year")</f>
        <v>196043.05000000002</v>
      </c>
      <c r="S233" s="15">
        <f>+GETPIVOTDATA("Grand Total FTE - Old",'FTE Pivot for regular counts'!$A$2,"State","NC","Category2","Two-Year")</f>
        <v>209716.12666666668</v>
      </c>
      <c r="T233" s="39">
        <f>+GETPIVOTDATA("Grand Total FTE - Old",'FTE Pivot for regular counts'!$A$2,"State","NC","Category2","Technical")</f>
        <v>0</v>
      </c>
      <c r="U233" s="89">
        <f t="shared" si="52"/>
        <v>405759.1766666667</v>
      </c>
      <c r="V233" s="436">
        <f t="shared" si="53"/>
        <v>724.57500000001164</v>
      </c>
      <c r="W233" s="437">
        <f t="shared" si="54"/>
        <v>-3766.4111111111415</v>
      </c>
      <c r="X233" s="438">
        <f t="shared" si="55"/>
        <v>0</v>
      </c>
      <c r="Y233" s="438">
        <f t="shared" si="56"/>
        <v>-3041.836111111159</v>
      </c>
      <c r="Z233" s="220">
        <f t="shared" si="57"/>
        <v>3.6959994246162338E-3</v>
      </c>
      <c r="AA233" s="221">
        <f t="shared" si="58"/>
        <v>-1.7959568350686086E-2</v>
      </c>
      <c r="AB233" s="71">
        <f t="shared" si="50"/>
        <v>0</v>
      </c>
      <c r="AC233" s="71">
        <f t="shared" si="59"/>
        <v>-7.4966538923407844E-3</v>
      </c>
      <c r="AI233" s="96"/>
      <c r="AJ233" s="96"/>
      <c r="AK233" s="96"/>
      <c r="AL233" s="96"/>
    </row>
    <row r="234" spans="1:83" ht="15" customHeight="1">
      <c r="A234" s="1" t="s">
        <v>74</v>
      </c>
      <c r="B234" s="15">
        <f>+GETPIVOTDATA("Grand Total FTE - New",'FTE Pivot for regular counts'!$A$2,"State","OK","Category2","Four-Year")</f>
        <v>104034.96666666666</v>
      </c>
      <c r="D234" s="15">
        <f>+GETPIVOTDATA("Grand Total FTE - New",'FTE Pivot for regular counts'!$A$2,"State","OK","Category2","Two-Year")</f>
        <v>49562.733333333323</v>
      </c>
      <c r="F234" s="39">
        <f>+GETPIVOTDATA("Grand Total FTE - New",'FTE Pivot for regular counts'!$A$2,"State","OK","Category2","Technical")</f>
        <v>19918.6842</v>
      </c>
      <c r="G234" s="37"/>
      <c r="H234" s="122">
        <f t="shared" si="51"/>
        <v>173516.38419999997</v>
      </c>
      <c r="I234" s="25"/>
      <c r="Q234" s="1" t="s">
        <v>74</v>
      </c>
      <c r="R234" s="15">
        <f>+GETPIVOTDATA("Grand Total FTE - Old",'FTE Pivot for regular counts'!$A$2,"State","OK","Category2","Four-Year")</f>
        <v>96887.483333333337</v>
      </c>
      <c r="S234" s="15">
        <f>+GETPIVOTDATA("Grand Total FTE - Old",'FTE Pivot for regular counts'!$A$2,"State","OK","Category2","Two-Year")</f>
        <v>53969.066666666666</v>
      </c>
      <c r="T234" s="67">
        <f>+GETPIVOTDATA("Grand Total FTE - Old",'FTE Pivot for regular counts'!$A$2,"State","OK","Category2","Technical")</f>
        <v>19977.49555555555</v>
      </c>
      <c r="U234" s="89">
        <f t="shared" si="52"/>
        <v>170834.04555555555</v>
      </c>
      <c r="V234" s="436">
        <f t="shared" si="53"/>
        <v>7147.4833333333227</v>
      </c>
      <c r="W234" s="437">
        <f t="shared" si="54"/>
        <v>-4406.333333333343</v>
      </c>
      <c r="X234" s="438">
        <f t="shared" si="55"/>
        <v>-58.811355555550108</v>
      </c>
      <c r="Y234" s="438">
        <f t="shared" si="56"/>
        <v>2682.3386444444186</v>
      </c>
      <c r="Z234" s="220">
        <f t="shared" si="57"/>
        <v>7.3770966975610253E-2</v>
      </c>
      <c r="AA234" s="221">
        <f t="shared" si="58"/>
        <v>-8.1645535220175688E-2</v>
      </c>
      <c r="AB234" s="71">
        <f t="shared" si="50"/>
        <v>-2.943880297307599E-3</v>
      </c>
      <c r="AC234" s="71">
        <f t="shared" si="59"/>
        <v>1.5701429043147707E-2</v>
      </c>
      <c r="AI234" s="96"/>
      <c r="AJ234" s="96"/>
      <c r="AK234" s="96"/>
      <c r="AL234" s="96"/>
    </row>
    <row r="235" spans="1:83" ht="15" customHeight="1">
      <c r="A235" s="1" t="s">
        <v>75</v>
      </c>
      <c r="B235" s="15">
        <f>+GETPIVOTDATA("Grand Total FTE - New",'FTE Pivot for regular counts'!$A$2,"State","SC","Category2","Four-Year")</f>
        <v>96891.400000000009</v>
      </c>
      <c r="D235" s="15">
        <f>+GETPIVOTDATA("Grand Total FTE - New",'FTE Pivot for regular counts'!$A$2,"State","SC","Category2","Two-Year")</f>
        <v>78995.766666666677</v>
      </c>
      <c r="F235" s="39">
        <f>+GETPIVOTDATA("Grand Total FTE - New",'FTE Pivot for regular counts'!$A$2,"State","SC","Category2","Technical")</f>
        <v>0</v>
      </c>
      <c r="G235" s="37"/>
      <c r="H235" s="122">
        <f t="shared" si="51"/>
        <v>175887.16666666669</v>
      </c>
      <c r="I235" s="25"/>
      <c r="Q235" s="1" t="s">
        <v>75</v>
      </c>
      <c r="R235" s="15">
        <f>+GETPIVOTDATA("Grand Total FTE - Old",'FTE Pivot for regular counts'!$A$2,"State","SC","Category2","Four-Year")</f>
        <v>96195.59616666667</v>
      </c>
      <c r="S235" s="15">
        <f>+GETPIVOTDATA("Grand Total FTE - Old",'FTE Pivot for regular counts'!$A$2,"State","SC","Category2","Two-Year")</f>
        <v>82579.409666666674</v>
      </c>
      <c r="T235" s="39">
        <f>+GETPIVOTDATA("Grand Total FTE - Old",'FTE Pivot for regular counts'!$A$2,"State","SC","Category2","Technical")</f>
        <v>0</v>
      </c>
      <c r="U235" s="89">
        <f t="shared" si="52"/>
        <v>178775.00583333336</v>
      </c>
      <c r="V235" s="436">
        <f t="shared" si="53"/>
        <v>695.80383333333884</v>
      </c>
      <c r="W235" s="437">
        <f t="shared" si="54"/>
        <v>-3583.6429999999964</v>
      </c>
      <c r="X235" s="438">
        <f t="shared" si="55"/>
        <v>0</v>
      </c>
      <c r="Y235" s="438">
        <f t="shared" si="56"/>
        <v>-2887.8391666666721</v>
      </c>
      <c r="Z235" s="220">
        <f t="shared" si="57"/>
        <v>7.2332192019248188E-3</v>
      </c>
      <c r="AA235" s="221">
        <f t="shared" si="58"/>
        <v>-4.3396326208499654E-2</v>
      </c>
      <c r="AB235" s="71">
        <f t="shared" si="50"/>
        <v>0</v>
      </c>
      <c r="AC235" s="71">
        <f t="shared" si="59"/>
        <v>-1.6153483834082036E-2</v>
      </c>
      <c r="AI235" s="96"/>
      <c r="AJ235" s="96"/>
      <c r="AK235" s="96"/>
      <c r="AL235" s="96"/>
    </row>
    <row r="236" spans="1:83" ht="15" customHeight="1">
      <c r="A236" s="1" t="s">
        <v>76</v>
      </c>
      <c r="B236" s="15">
        <f>+GETPIVOTDATA("Grand Total FTE - New",'FTE Pivot for regular counts'!$A$2,"State","TN","Category2","Four-Year")</f>
        <v>119124.94166666668</v>
      </c>
      <c r="D236" s="15">
        <f>+GETPIVOTDATA("Grand Total FTE - New",'FTE Pivot for regular counts'!$A$2,"State","TN","Category2","Two-Year")</f>
        <v>60035.866666666669</v>
      </c>
      <c r="F236" s="39">
        <f>+GETPIVOTDATA("Grand Total FTE - New",'FTE Pivot for regular counts'!$A$2,"State","TN","Category2","Technical")</f>
        <v>11324.595555555554</v>
      </c>
      <c r="G236" s="37"/>
      <c r="H236" s="122">
        <f t="shared" si="51"/>
        <v>190485.40388888889</v>
      </c>
      <c r="I236" s="25"/>
      <c r="Q236" s="1" t="s">
        <v>76</v>
      </c>
      <c r="R236" s="15">
        <f>+GETPIVOTDATA("Grand Total FTE - Old",'FTE Pivot for regular counts'!$A$2,"State","TN","Category2","Four-Year")</f>
        <v>121770.39166666666</v>
      </c>
      <c r="S236" s="15">
        <f>+GETPIVOTDATA("Grand Total FTE - Old",'FTE Pivot for regular counts'!$A$2,"State","TN","Category2","Two-Year")</f>
        <v>62992.066666666658</v>
      </c>
      <c r="T236" s="39">
        <f>+GETPIVOTDATA("Grand Total FTE - Old",'FTE Pivot for regular counts'!$A$2,"State","TN","Category2","Technical")</f>
        <v>11334.344444444445</v>
      </c>
      <c r="U236" s="89">
        <f t="shared" si="52"/>
        <v>196096.80277777775</v>
      </c>
      <c r="V236" s="436">
        <f t="shared" si="53"/>
        <v>-2645.4499999999825</v>
      </c>
      <c r="W236" s="437">
        <f t="shared" si="54"/>
        <v>-2956.1999999999898</v>
      </c>
      <c r="X236" s="438">
        <f t="shared" si="55"/>
        <v>-9.7488888888910878</v>
      </c>
      <c r="Y236" s="438">
        <f t="shared" si="56"/>
        <v>-5611.3988888888562</v>
      </c>
      <c r="Z236" s="220">
        <f t="shared" si="57"/>
        <v>-2.1724903433353628E-2</v>
      </c>
      <c r="AA236" s="221">
        <f t="shared" si="58"/>
        <v>-4.6929719192152081E-2</v>
      </c>
      <c r="AB236" s="71">
        <f t="shared" si="50"/>
        <v>-8.6011934229416579E-4</v>
      </c>
      <c r="AC236" s="71">
        <f t="shared" si="59"/>
        <v>-2.8615453232288784E-2</v>
      </c>
      <c r="AI236" s="96"/>
      <c r="AJ236" s="96"/>
      <c r="AK236" s="96"/>
      <c r="AL236" s="96"/>
    </row>
    <row r="237" spans="1:83" ht="15" customHeight="1">
      <c r="A237" s="1" t="s">
        <v>77</v>
      </c>
      <c r="B237" s="15">
        <f>+GETPIVOTDATA("Grand Total FTE - New",'FTE Pivot for regular counts'!$A$2,"State","TX","Category2","Four-Year")</f>
        <v>478504.8583333334</v>
      </c>
      <c r="D237" s="15">
        <f>+GETPIVOTDATA("Grand Total FTE - New",'FTE Pivot for regular counts'!$A$2,"State","TX","Category2","Two-Year")</f>
        <v>487766.30555555562</v>
      </c>
      <c r="F237" s="39">
        <f>+GETPIVOTDATA("Grand Total FTE - New",'FTE Pivot for regular counts'!$A$2,"State","TX","Category2","Technical")</f>
        <v>0</v>
      </c>
      <c r="G237" s="37"/>
      <c r="H237" s="122">
        <f t="shared" si="51"/>
        <v>966271.16388888902</v>
      </c>
      <c r="I237" s="25"/>
      <c r="Q237" s="1" t="s">
        <v>77</v>
      </c>
      <c r="R237" s="15">
        <f>+GETPIVOTDATA("Grand Total FTE - Old",'FTE Pivot for regular counts'!$A$2,"State","TX","Category2","Four-Year")</f>
        <v>472795.48333333328</v>
      </c>
      <c r="S237" s="15">
        <f>+GETPIVOTDATA("Grand Total FTE - Old",'FTE Pivot for regular counts'!$A$2,"State","TX","Category2","Two-Year")</f>
        <v>498206.86444444448</v>
      </c>
      <c r="T237" s="39">
        <f>+GETPIVOTDATA("Grand Total FTE - Old",'FTE Pivot for regular counts'!$A$2,"State","TX","Category2","Technical")</f>
        <v>0</v>
      </c>
      <c r="U237" s="89">
        <f t="shared" si="52"/>
        <v>971002.34777777782</v>
      </c>
      <c r="V237" s="436">
        <f t="shared" si="53"/>
        <v>5709.3750000001164</v>
      </c>
      <c r="W237" s="437">
        <f t="shared" si="54"/>
        <v>-10440.55888888886</v>
      </c>
      <c r="X237" s="438">
        <f t="shared" si="55"/>
        <v>0</v>
      </c>
      <c r="Y237" s="438">
        <f t="shared" si="56"/>
        <v>-4731.1838888888014</v>
      </c>
      <c r="Z237" s="220">
        <f t="shared" si="57"/>
        <v>1.2075781603807871E-2</v>
      </c>
      <c r="AA237" s="221">
        <f t="shared" si="58"/>
        <v>-2.0956272652989702E-2</v>
      </c>
      <c r="AB237" s="71">
        <f t="shared" si="50"/>
        <v>0</v>
      </c>
      <c r="AC237" s="71">
        <f t="shared" si="59"/>
        <v>-4.8724742012380522E-3</v>
      </c>
      <c r="AI237" s="96"/>
      <c r="AJ237" s="96"/>
      <c r="AK237" s="96"/>
      <c r="AL237" s="96"/>
    </row>
    <row r="238" spans="1:83" ht="15" customHeight="1">
      <c r="A238" s="1" t="s">
        <v>78</v>
      </c>
      <c r="B238" s="15">
        <f>+GETPIVOTDATA("Grand Total FTE - New",'FTE Pivot for regular counts'!$A$2,"State","VA","Category2","Four-Year")</f>
        <v>194983.49666666664</v>
      </c>
      <c r="D238" s="15">
        <f>+GETPIVOTDATA("Grand Total FTE - New",'FTE Pivot for regular counts'!$A$2,"State","VA","Category2","Two-Year")</f>
        <v>123687.76666666665</v>
      </c>
      <c r="F238" s="39">
        <f>+GETPIVOTDATA("Grand Total FTE - New",'FTE Pivot for regular counts'!$A$2,"State","VA","Category2","Technical")</f>
        <v>0</v>
      </c>
      <c r="G238" s="37"/>
      <c r="H238" s="122">
        <f t="shared" si="51"/>
        <v>318671.26333333331</v>
      </c>
      <c r="I238" s="25"/>
      <c r="Q238" s="1" t="s">
        <v>78</v>
      </c>
      <c r="R238" s="15">
        <f>+GETPIVOTDATA("Grand Total FTE - Old",'FTE Pivot for regular counts'!$A$2,"State","VA","Category2","Four-Year")</f>
        <v>194555.27500000002</v>
      </c>
      <c r="S238" s="15">
        <f>+GETPIVOTDATA("Grand Total FTE - Old",'FTE Pivot for regular counts'!$A$2,"State","VA","Category2","Two-Year")</f>
        <v>128968.7</v>
      </c>
      <c r="T238" s="39">
        <f>+GETPIVOTDATA("Grand Total FTE - Old",'FTE Pivot for regular counts'!$A$2,"State","VA","Category2","Technical")</f>
        <v>0</v>
      </c>
      <c r="U238" s="89">
        <f t="shared" si="52"/>
        <v>323523.97500000003</v>
      </c>
      <c r="V238" s="436">
        <f t="shared" si="53"/>
        <v>428.22166666662088</v>
      </c>
      <c r="W238" s="437">
        <f t="shared" si="54"/>
        <v>-5280.9333333333489</v>
      </c>
      <c r="X238" s="438">
        <f t="shared" si="55"/>
        <v>0</v>
      </c>
      <c r="Y238" s="438">
        <f t="shared" si="56"/>
        <v>-4852.711666666728</v>
      </c>
      <c r="Z238" s="220">
        <f t="shared" si="57"/>
        <v>2.2010283024534844E-3</v>
      </c>
      <c r="AA238" s="221">
        <f t="shared" si="58"/>
        <v>-4.094740300036636E-2</v>
      </c>
      <c r="AB238" s="71">
        <f t="shared" si="50"/>
        <v>0</v>
      </c>
      <c r="AC238" s="71">
        <f t="shared" si="59"/>
        <v>-1.4999542666557331E-2</v>
      </c>
    </row>
    <row r="239" spans="1:83" ht="15" customHeight="1">
      <c r="A239" s="3" t="s">
        <v>79</v>
      </c>
      <c r="B239" s="6">
        <f>+GETPIVOTDATA("Grand Total FTE - New",'FTE Pivot for regular counts'!$A$2,"State","WV","Category2","Four-Year")</f>
        <v>57042.111666666671</v>
      </c>
      <c r="C239" s="3"/>
      <c r="D239" s="6">
        <f>+GETPIVOTDATA("Grand Total FTE - New",'FTE Pivot for regular counts'!$A$2,"State","WV","Category2","Two-Year")</f>
        <v>17461.346666666668</v>
      </c>
      <c r="E239" s="3"/>
      <c r="F239" s="40">
        <f>+GETPIVOTDATA("Grand Total FTE - New",'FTE Pivot for regular counts'!$A$2,"State","WV","Category2","Technical")</f>
        <v>0</v>
      </c>
      <c r="G239" s="38"/>
      <c r="H239" s="122">
        <f t="shared" si="51"/>
        <v>74503.458333333343</v>
      </c>
      <c r="I239" s="25"/>
      <c r="Q239" s="3" t="s">
        <v>79</v>
      </c>
      <c r="R239" s="6">
        <f>+GETPIVOTDATA("Grand Total FTE - Old",'FTE Pivot for regular counts'!$A$2,"State","WV","Category2","Four-Year")</f>
        <v>57788.103333333333</v>
      </c>
      <c r="S239" s="6">
        <f>+GETPIVOTDATA("Grand Total FTE - Old",'FTE Pivot for regular counts'!$A$2,"State","WV","Category2","Two-Year")</f>
        <v>18366.080000000002</v>
      </c>
      <c r="T239" s="40">
        <f>+GETPIVOTDATA("Grand Total FTE - Old",'FTE Pivot for regular counts'!$A$2,"State","WV","Category2","Technical")</f>
        <v>0</v>
      </c>
      <c r="U239" s="90">
        <f t="shared" si="52"/>
        <v>76154.183333333334</v>
      </c>
      <c r="V239" s="439">
        <f t="shared" si="53"/>
        <v>-745.99166666666133</v>
      </c>
      <c r="W239" s="440">
        <f t="shared" si="54"/>
        <v>-904.73333333333358</v>
      </c>
      <c r="X239" s="440">
        <f t="shared" si="55"/>
        <v>0</v>
      </c>
      <c r="Y239" s="441">
        <f t="shared" si="56"/>
        <v>-1650.7249999999913</v>
      </c>
      <c r="Z239" s="86">
        <f t="shared" si="57"/>
        <v>-1.2909087227930501E-2</v>
      </c>
      <c r="AA239" s="87">
        <f t="shared" si="58"/>
        <v>-4.9261101625024693E-2</v>
      </c>
      <c r="AB239" s="87">
        <f t="shared" si="50"/>
        <v>0</v>
      </c>
      <c r="AC239" s="87">
        <f t="shared" si="59"/>
        <v>-2.1676090895422353E-2</v>
      </c>
    </row>
    <row r="240" spans="1:83" ht="15" customHeight="1">
      <c r="A240" s="400"/>
      <c r="B240" s="401"/>
      <c r="C240" s="401"/>
      <c r="D240" s="401"/>
      <c r="E240" s="401"/>
      <c r="F240" s="401"/>
      <c r="G240" s="401"/>
      <c r="H240" s="402"/>
      <c r="I240" s="15"/>
      <c r="J240" s="103"/>
      <c r="K240" s="103"/>
      <c r="P240" s="25"/>
      <c r="Q240" s="25"/>
      <c r="R240" s="25"/>
      <c r="S240" s="25"/>
      <c r="T240" s="25"/>
      <c r="U240" s="25"/>
      <c r="V240" s="26"/>
      <c r="W240" s="26"/>
      <c r="X240" s="26"/>
      <c r="Y240" s="26"/>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row>
    <row r="241" spans="2:83" s="25" customFormat="1" ht="20.25" customHeight="1">
      <c r="B241" s="15"/>
      <c r="C241" s="15"/>
      <c r="D241" s="15"/>
      <c r="E241" s="15"/>
      <c r="F241" s="15"/>
      <c r="G241" s="15"/>
      <c r="H241" s="103"/>
      <c r="J241" s="4"/>
      <c r="K241" s="4"/>
      <c r="L241" s="103"/>
      <c r="M241" s="103"/>
      <c r="P241" s="1"/>
      <c r="Q241" s="102"/>
      <c r="R241" s="1"/>
      <c r="S241" s="95"/>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row>
    <row r="242" spans="2:83" ht="71.25" customHeight="1">
      <c r="H242" s="169"/>
      <c r="Q242" s="42"/>
    </row>
    <row r="257" spans="14:20">
      <c r="P257" s="25"/>
      <c r="Q257" s="25"/>
      <c r="R257" s="25"/>
      <c r="S257" s="25"/>
      <c r="T257" s="25"/>
    </row>
    <row r="258" spans="14:20">
      <c r="N258" s="25"/>
      <c r="O258" s="25"/>
      <c r="P258" s="25"/>
      <c r="Q258" s="25"/>
      <c r="R258" s="25"/>
      <c r="S258" s="25"/>
      <c r="T258" s="25"/>
    </row>
    <row r="259" spans="14:20">
      <c r="N259" s="25"/>
      <c r="O259" s="25"/>
      <c r="P259" s="25"/>
      <c r="Q259" s="25"/>
      <c r="R259" s="25"/>
      <c r="S259" s="25"/>
      <c r="T259" s="25"/>
    </row>
    <row r="260" spans="14:20">
      <c r="N260" s="25"/>
      <c r="O260" s="25"/>
      <c r="P260" s="25"/>
      <c r="Q260" s="25"/>
      <c r="R260" s="25"/>
      <c r="S260" s="25"/>
      <c r="T260" s="25"/>
    </row>
    <row r="261" spans="14:20">
      <c r="N261" s="25"/>
      <c r="O261" s="25"/>
      <c r="P261" s="25"/>
      <c r="Q261" s="25"/>
      <c r="R261" s="25"/>
      <c r="S261" s="25"/>
      <c r="T261" s="25"/>
    </row>
    <row r="262" spans="14:20">
      <c r="N262" s="25"/>
      <c r="O262" s="25"/>
      <c r="P262" s="25"/>
      <c r="Q262" s="25"/>
      <c r="R262" s="25"/>
      <c r="S262" s="25"/>
      <c r="T262" s="25"/>
    </row>
    <row r="263" spans="14:20">
      <c r="N263" s="25"/>
      <c r="O263" s="25"/>
      <c r="P263" s="25"/>
      <c r="Q263" s="25"/>
      <c r="R263" s="25"/>
      <c r="S263" s="25"/>
      <c r="T263" s="25"/>
    </row>
    <row r="264" spans="14:20">
      <c r="N264" s="25"/>
      <c r="O264" s="25"/>
      <c r="P264" s="25"/>
      <c r="Q264" s="25"/>
      <c r="R264" s="25"/>
      <c r="S264" s="25"/>
      <c r="T264" s="25"/>
    </row>
    <row r="265" spans="14:20">
      <c r="N265" s="25"/>
      <c r="O265" s="25"/>
      <c r="P265" s="25"/>
      <c r="Q265" s="25"/>
      <c r="R265" s="25"/>
      <c r="S265" s="25"/>
      <c r="T265" s="25"/>
    </row>
    <row r="266" spans="14:20">
      <c r="N266" s="25"/>
      <c r="O266" s="25"/>
    </row>
  </sheetData>
  <mergeCells count="13">
    <mergeCell ref="A212:G212"/>
    <mergeCell ref="A124:J124"/>
    <mergeCell ref="A126:J126"/>
    <mergeCell ref="A127:J127"/>
    <mergeCell ref="A152:I152"/>
    <mergeCell ref="A182:K182"/>
    <mergeCell ref="A122:I122"/>
    <mergeCell ref="A30:O30"/>
    <mergeCell ref="A94:J94"/>
    <mergeCell ref="A96:J96"/>
    <mergeCell ref="A97:J97"/>
    <mergeCell ref="A60:H60"/>
    <mergeCell ref="A91:H91"/>
  </mergeCells>
  <phoneticPr fontId="0" type="noConversion"/>
  <pageMargins left="0.25" right="1.02083333333333E-2" top="1" bottom="0.85" header="0.75" footer="0.5"/>
  <pageSetup scale="96" firstPageNumber="88" fitToHeight="7" orientation="landscape" useFirstPageNumber="1" r:id="rId1"/>
  <headerFooter alignWithMargins="0">
    <oddHeader>&amp;RSREB-State Data Exchange</oddHeader>
    <oddFooter>&amp;C&amp;10&amp;P</oddFooter>
  </headerFooter>
  <rowBreaks count="6" manualBreakCount="6">
    <brk id="31" max="14" man="1"/>
    <brk id="62" max="14" man="1"/>
    <brk id="93" max="14" man="1"/>
    <brk id="123" max="14" man="1"/>
    <brk id="153" max="14" man="1"/>
    <brk id="183" max="1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S263"/>
  <sheetViews>
    <sheetView showZeros="0" view="pageBreakPreview" zoomScaleNormal="100" zoomScaleSheetLayoutView="100" workbookViewId="0"/>
  </sheetViews>
  <sheetFormatPr defaultRowHeight="12.75"/>
  <cols>
    <col min="1" max="1" width="15" style="1" customWidth="1"/>
    <col min="2" max="2" width="11.6640625" style="1" customWidth="1"/>
    <col min="3" max="3" width="11.83203125" style="1" customWidth="1"/>
    <col min="4" max="4" width="11.6640625" style="1" customWidth="1"/>
    <col min="5" max="5" width="10.83203125" style="1" customWidth="1"/>
    <col min="6" max="6" width="12.1640625" style="1" customWidth="1"/>
    <col min="7" max="7" width="10" style="1" customWidth="1"/>
    <col min="8" max="8" width="12" style="4" customWidth="1"/>
    <col min="9" max="9" width="12.6640625" style="1" customWidth="1"/>
    <col min="10" max="10" width="11.6640625" style="4" customWidth="1"/>
    <col min="11" max="11" width="10" style="4" customWidth="1"/>
    <col min="12" max="12" width="10.5" style="4" customWidth="1"/>
    <col min="13" max="13" width="10" style="73" customWidth="1"/>
    <col min="14" max="14" width="12.1640625" style="1" customWidth="1"/>
    <col min="15" max="15" width="10" style="1" customWidth="1"/>
    <col min="16" max="16384" width="9.33203125" style="1"/>
  </cols>
  <sheetData>
    <row r="1" spans="1:17" ht="18">
      <c r="A1" s="41" t="s">
        <v>163</v>
      </c>
      <c r="B1" s="20"/>
      <c r="C1" s="20"/>
      <c r="D1" s="20"/>
      <c r="E1" s="20"/>
      <c r="F1" s="20"/>
      <c r="G1" s="20"/>
      <c r="H1" s="104"/>
      <c r="I1" s="20"/>
      <c r="J1" s="104"/>
      <c r="K1" s="104"/>
      <c r="L1" s="104"/>
      <c r="M1" s="225"/>
      <c r="N1" s="17"/>
      <c r="O1" s="22"/>
    </row>
    <row r="2" spans="1:17" ht="15.75">
      <c r="A2" s="21"/>
      <c r="B2" s="21"/>
      <c r="C2" s="21"/>
      <c r="D2" s="21"/>
      <c r="E2" s="21"/>
      <c r="F2" s="21"/>
      <c r="G2" s="21"/>
      <c r="H2" s="105"/>
      <c r="I2" s="21"/>
      <c r="J2" s="105"/>
      <c r="K2" s="105"/>
      <c r="L2" s="105"/>
      <c r="M2" s="198"/>
      <c r="N2" s="226"/>
      <c r="O2" s="22"/>
    </row>
    <row r="3" spans="1:17" ht="15.75">
      <c r="A3" s="110" t="s">
        <v>32</v>
      </c>
      <c r="B3" s="22"/>
      <c r="C3" s="22"/>
      <c r="D3" s="22"/>
      <c r="E3" s="22"/>
      <c r="F3" s="22"/>
      <c r="G3" s="22"/>
      <c r="H3" s="106"/>
      <c r="I3" s="22"/>
      <c r="J3" s="106"/>
      <c r="K3" s="106"/>
      <c r="L3" s="106"/>
      <c r="M3" s="170"/>
      <c r="N3" s="22"/>
      <c r="O3" s="226"/>
    </row>
    <row r="4" spans="1:17" ht="15.75">
      <c r="A4" s="43" t="s">
        <v>974</v>
      </c>
      <c r="B4" s="22"/>
      <c r="C4" s="22"/>
      <c r="D4" s="22"/>
      <c r="E4" s="22"/>
      <c r="F4" s="22"/>
      <c r="G4" s="22"/>
      <c r="H4" s="106"/>
      <c r="I4" s="22"/>
      <c r="J4" s="106"/>
      <c r="K4" s="106"/>
      <c r="L4" s="106"/>
      <c r="M4" s="170"/>
      <c r="N4" s="227"/>
      <c r="O4" s="22"/>
    </row>
    <row r="5" spans="1:17" ht="15.75" customHeight="1">
      <c r="B5" s="2"/>
      <c r="C5" s="2"/>
      <c r="D5" s="2"/>
      <c r="E5" s="2"/>
      <c r="F5" s="2"/>
      <c r="G5" s="2"/>
      <c r="H5" s="107"/>
      <c r="I5" s="2"/>
      <c r="J5" s="107"/>
      <c r="K5" s="107"/>
      <c r="L5" s="107"/>
      <c r="M5" s="191"/>
    </row>
    <row r="6" spans="1:17" ht="15" customHeight="1">
      <c r="A6" s="44"/>
      <c r="B6" s="840" t="s">
        <v>62</v>
      </c>
      <c r="C6" s="841"/>
      <c r="D6" s="841"/>
      <c r="E6" s="841"/>
      <c r="F6" s="841"/>
      <c r="G6" s="841"/>
      <c r="H6" s="108"/>
      <c r="I6" s="165"/>
      <c r="J6" s="165"/>
      <c r="K6" s="165"/>
      <c r="L6" s="165"/>
      <c r="M6" s="165"/>
      <c r="N6" s="165"/>
      <c r="O6" s="165"/>
    </row>
    <row r="7" spans="1:17" ht="17.25" customHeight="1">
      <c r="A7" s="45"/>
      <c r="B7" s="189">
        <v>1</v>
      </c>
      <c r="C7" s="22"/>
      <c r="D7" s="190">
        <v>2</v>
      </c>
      <c r="E7" s="22"/>
      <c r="F7" s="190">
        <v>3</v>
      </c>
      <c r="G7" s="22"/>
      <c r="H7" s="190">
        <v>4</v>
      </c>
      <c r="I7" s="65"/>
      <c r="J7" s="190">
        <v>5</v>
      </c>
      <c r="K7" s="65"/>
      <c r="L7" s="190">
        <v>6</v>
      </c>
      <c r="M7" s="192"/>
      <c r="N7" s="190" t="s">
        <v>30</v>
      </c>
      <c r="O7" s="65"/>
    </row>
    <row r="8" spans="1:17" ht="77.25" customHeight="1">
      <c r="A8" s="188"/>
      <c r="B8" s="194" t="s">
        <v>143</v>
      </c>
      <c r="C8" s="166" t="s">
        <v>22</v>
      </c>
      <c r="D8" s="195" t="s">
        <v>143</v>
      </c>
      <c r="E8" s="166" t="s">
        <v>22</v>
      </c>
      <c r="F8" s="195" t="s">
        <v>143</v>
      </c>
      <c r="G8" s="166" t="s">
        <v>22</v>
      </c>
      <c r="H8" s="195" t="s">
        <v>143</v>
      </c>
      <c r="I8" s="166" t="s">
        <v>22</v>
      </c>
      <c r="J8" s="195" t="s">
        <v>143</v>
      </c>
      <c r="K8" s="166" t="s">
        <v>22</v>
      </c>
      <c r="L8" s="195" t="s">
        <v>143</v>
      </c>
      <c r="M8" s="121" t="s">
        <v>22</v>
      </c>
      <c r="N8" s="195" t="s">
        <v>143</v>
      </c>
      <c r="O8" s="166" t="s">
        <v>22</v>
      </c>
      <c r="Q8" s="228"/>
    </row>
    <row r="9" spans="1:17" ht="15" customHeight="1">
      <c r="A9" s="1" t="s">
        <v>64</v>
      </c>
      <c r="B9" s="207">
        <f>+GETPIVOTDATA("Undergrad Student Credit Hour  FTE - Old",'FTE Pivot for regular counts'!$A$2,"Category",1,"Category2","Group1")</f>
        <v>867928.21333333326</v>
      </c>
      <c r="C9" s="256"/>
      <c r="D9" s="208">
        <f>+GETPIVOTDATA("Undergrad Student Credit Hour  FTE - Old",'FTE Pivot for regular counts'!$A$2,"Category",2,"Category2","Four-Year")</f>
        <v>231065.2</v>
      </c>
      <c r="E9" s="256"/>
      <c r="F9" s="186">
        <f>+GETPIVOTDATA("Undergrad Student Credit Hour  FTE - Old",'FTE Pivot for regular counts'!$A$2,"Category",3,"Category2","Four-Year")</f>
        <v>580103.71666666667</v>
      </c>
      <c r="G9" s="256"/>
      <c r="H9" s="186">
        <f>+GETPIVOTDATA("Undergrad Student Credit Hour  FTE - Old",'FTE Pivot for regular counts'!$A$2,"Category",4,"Category2","Four-Year")</f>
        <v>152802.35000000003</v>
      </c>
      <c r="I9" s="256"/>
      <c r="J9" s="186">
        <f>+GETPIVOTDATA("Undergrad Student Credit Hour  FTE - Old",'FTE Pivot for regular counts'!$A$2,"Category",5,"Category2","Four-Year")</f>
        <v>98892.566666666666</v>
      </c>
      <c r="K9" s="256"/>
      <c r="L9" s="186">
        <f>+GETPIVOTDATA("Undergrad Student Credit Hour  FTE - Old",'FTE Pivot for regular counts'!$A$2,"Category",6,"Category2","Four-Year")</f>
        <v>74128.337</v>
      </c>
      <c r="M9" s="256"/>
      <c r="N9" s="186">
        <f>+GETPIVOTDATA("Undergrad Student Credit Hour  FTE - Old",'FTE Pivot for regular counts'!$A$2,"Category2","Four-Year")</f>
        <v>2004920.3836666669</v>
      </c>
      <c r="O9" s="256"/>
    </row>
    <row r="10" spans="1:17" ht="12.75" customHeight="1">
      <c r="B10" s="5"/>
      <c r="C10" s="257" t="s">
        <v>171</v>
      </c>
      <c r="D10" s="186"/>
      <c r="E10" s="257" t="s">
        <v>172</v>
      </c>
      <c r="F10" s="186"/>
      <c r="G10" s="257" t="s">
        <v>173</v>
      </c>
      <c r="H10" s="186"/>
      <c r="I10" s="257" t="s">
        <v>174</v>
      </c>
      <c r="J10" s="186"/>
      <c r="K10" s="257" t="s">
        <v>175</v>
      </c>
      <c r="L10" s="186"/>
      <c r="M10" s="257" t="s">
        <v>176</v>
      </c>
      <c r="N10" s="186"/>
      <c r="O10" s="257" t="s">
        <v>177</v>
      </c>
    </row>
    <row r="11" spans="1:17" ht="15" customHeight="1">
      <c r="A11" s="1" t="s">
        <v>65</v>
      </c>
      <c r="B11" s="5">
        <f>+GETPIVOTDATA("Undergrad Student Credit Hour  FTE - Old",'FTE Pivot for regular counts'!$A$2,"State","AL","Category",1,"Category2","Four-Year")</f>
        <v>45791.933333333334</v>
      </c>
      <c r="C11" s="167">
        <f>+GETPIVOTDATA("Sum of Old-HS % of Total",'Pivot-HS Student % of Undergrad'!$A$3,"State","AL","Category",1,"Category2","Four-Year")</f>
        <v>1.6705999164336076E-3</v>
      </c>
      <c r="D11" s="186">
        <f>+GETPIVOTDATA("Undergrad Student Credit Hour  FTE - Old",'FTE Pivot for regular counts'!$A$2,"State","AL","Category",2,"Category2","Four-Year")</f>
        <v>14068.133333333335</v>
      </c>
      <c r="E11" s="167">
        <f>+GETPIVOTDATA("Sum of Old-HS % of Total",'Pivot-HS Student % of Undergrad'!$A$3,"State","AL","Category",2,"Category2","Four-Year")</f>
        <v>1.1420610173346855E-3</v>
      </c>
      <c r="F11" s="186">
        <f>+GETPIVOTDATA("Undergrad Student Credit Hour  FTE - Old",'FTE Pivot for regular counts'!$A$2,"State","AL","Category",3,"Category2","Four-Year")</f>
        <v>29641.199999999997</v>
      </c>
      <c r="G11" s="167">
        <f>+GETPIVOTDATA("Sum of Old-HS % of Total",'Pivot-HS Student % of Undergrad'!$A$3,"State","AL","Category",3,"Category2","Four-Year")</f>
        <v>2.6505899446266235E-3</v>
      </c>
      <c r="H11" s="186">
        <f>+GETPIVOTDATA("Undergrad Student Credit Hour  FTE - Old",'FTE Pivot for regular counts'!$A$2,"State","AL","Category",4,"Category2","Four-Year")</f>
        <v>14067.433333333332</v>
      </c>
      <c r="I11" s="167">
        <f>+GETPIVOTDATA("Sum of Old-HS % of Total",'Pivot-HS Student % of Undergrad'!$A$3,"State","AL","Category",4,"Category2","Four-Year")</f>
        <v>7.1133563810503219E-3</v>
      </c>
      <c r="J11" s="186">
        <f>+GETPIVOTDATA("Undergrad Student Credit Hour  FTE - Old",'FTE Pivot for regular counts'!$A$2,"State","AL","Category",5,"Category2","Four-Year")</f>
        <v>4191.3999999999996</v>
      </c>
      <c r="K11" s="167">
        <f>+GETPIVOTDATA("Sum of Old-HS % of Total",'Pivot-HS Student % of Undergrad'!$A$3,"State","AL","Category",5,"Category2","Four-Year")</f>
        <v>1.5189833150419112E-3</v>
      </c>
      <c r="L11" s="186">
        <f>+GETPIVOTDATA("Undergrad Student Credit Hour  FTE - Old",'FTE Pivot for regular counts'!$A$2,"State","AL","Category",6,"Category2","Four-Year")</f>
        <v>2786.2</v>
      </c>
      <c r="M11" s="167">
        <f>+GETPIVOTDATA("Sum of Old-HS % of Total",'Pivot-HS Student % of Undergrad'!$A$3,"State","AL","Category",6,"Category2","Four-Year")</f>
        <v>0</v>
      </c>
      <c r="N11" s="186">
        <f>+GETPIVOTDATA("Undergrad Student Credit Hour  FTE - Old",'FTE Pivot for regular counts'!$A$2,"State","AL","Category2","Four-Year")</f>
        <v>110546.29999999999</v>
      </c>
      <c r="O11" s="167">
        <f>+GETPIVOTDATA("Sum of Old-HS % of Total",'Pivot-HS Student % of Undergrad'!$A$3,"State","AL","Category2","Group1")</f>
        <v>2.5108634722886851E-3</v>
      </c>
    </row>
    <row r="12" spans="1:17" ht="15" customHeight="1">
      <c r="A12" s="4" t="s">
        <v>66</v>
      </c>
      <c r="B12" s="5">
        <f>+GETPIVOTDATA("Undergrad Student Credit Hour  FTE - Old",'FTE Pivot for regular counts'!$A$2,"State","AR","Category",1,"Category2","Four-Year")</f>
        <v>18987.8</v>
      </c>
      <c r="C12" s="211">
        <f>+GETPIVOTDATA("Sum of Old-HS % of Total",'Pivot-HS Student % of Undergrad'!$A$3,"State","AR","Category",1,"Category2","Four-Year")</f>
        <v>2.2646120140300613E-4</v>
      </c>
      <c r="D12" s="186">
        <f>+GETPIVOTDATA("Undergrad Student Credit Hour  FTE - Old",'FTE Pivot for regular counts'!$A$2,"State","AR","Category",2,"Category2","Four-Year")</f>
        <v>0</v>
      </c>
      <c r="E12" s="167">
        <f>+GETPIVOTDATA("Sum of Old-HS % of Total",'Pivot-HS Student % of Undergrad'!$A$3,"State","AR","Category",2,"Category2","Four-Year")</f>
        <v>0</v>
      </c>
      <c r="F12" s="186">
        <f>+GETPIVOTDATA("Undergrad Student Credit Hour  FTE - Old",'FTE Pivot for regular counts'!$A$2,"State","AR","Category",3,"Category2","Four-Year")</f>
        <v>33296.966666666667</v>
      </c>
      <c r="G12" s="167">
        <f>+GETPIVOTDATA("Sum of Old-HS % of Total",'Pivot-HS Student % of Undergrad'!$A$3,"State","AR","Category",3,"Category2","Four-Year")</f>
        <v>2.7171644263891907E-2</v>
      </c>
      <c r="H12" s="186">
        <f>+GETPIVOTDATA("Undergrad Student Credit Hour  FTE - Old",'FTE Pivot for regular counts'!$A$2,"State","AR","Category",4,"Category2","Four-Year")</f>
        <v>5912.333333333333</v>
      </c>
      <c r="I12" s="167">
        <f>+GETPIVOTDATA("Sum of Old-HS % of Total",'Pivot-HS Student % of Undergrad'!$A$3,"State","AR","Category",4,"Category2","Four-Year")</f>
        <v>5.8803630828212208E-3</v>
      </c>
      <c r="J12" s="186">
        <f>+GETPIVOTDATA("Undergrad Student Credit Hour  FTE - Old",'FTE Pivot for regular counts'!$A$2,"State","AR","Category",5,"Category2","Four-Year")</f>
        <v>2353.4666666666667</v>
      </c>
      <c r="K12" s="167">
        <f>+GETPIVOTDATA("Sum of Old-HS % of Total",'Pivot-HS Student % of Undergrad'!$A$3,"State","AR","Category",5,"Category2","Four-Year")</f>
        <v>6.2177780295733953E-2</v>
      </c>
      <c r="L12" s="186">
        <f>+GETPIVOTDATA("Undergrad Student Credit Hour  FTE - Old",'FTE Pivot for regular counts'!$A$2,"State","AR","Category",6,"Category2","Four-Year")</f>
        <v>8620.7999999999993</v>
      </c>
      <c r="M12" s="167">
        <f>+GETPIVOTDATA("Sum of Old-HS % of Total",'Pivot-HS Student % of Undergrad'!$A$3,"State","AR","Category",6,"Category2","Four-Year")</f>
        <v>5.9159242761692649E-3</v>
      </c>
      <c r="N12" s="186">
        <f>+GETPIVOTDATA("Undergrad Student Credit Hour  FTE - Old",'FTE Pivot for regular counts'!$A$2,"State","AR","Category2","Four-Year")</f>
        <v>69171.366666666669</v>
      </c>
      <c r="O12" s="167">
        <f>+GETPIVOTDATA("Sum of Old-HS % of Total",'Pivot-HS Student % of Undergrad'!$A$3,"State","AR","Category2","Group1")</f>
        <v>1.6497192238985207E-2</v>
      </c>
    </row>
    <row r="13" spans="1:17" ht="15" customHeight="1">
      <c r="A13" s="1" t="s">
        <v>102</v>
      </c>
      <c r="B13" s="5">
        <f>+GETPIVOTDATA("Undergrad Student Credit Hour  FTE - Old",'FTE Pivot for regular counts'!$A$2,"State","DE","Category",1,"Category2","Four-Year")</f>
        <v>17960.3</v>
      </c>
      <c r="C13" s="167">
        <f>+GETPIVOTDATA("Sum of Old-HS % of Total",'Pivot-HS Student % of Undergrad'!$A$3,"State","DE","Category",1,"Category2","Four-Year")</f>
        <v>0</v>
      </c>
      <c r="D13" s="186">
        <f>+GETPIVOTDATA("Undergrad Student Credit Hour  FTE - Old",'FTE Pivot for regular counts'!$A$2,"State","DE","Category",2,"Category2","Four-Year")</f>
        <v>0</v>
      </c>
      <c r="E13" s="167">
        <f>+GETPIVOTDATA("Sum of Old-HS % of Total",'Pivot-HS Student % of Undergrad'!$A$3,"State","DE","Category",2,"Category2","Four-Year")</f>
        <v>0</v>
      </c>
      <c r="F13" s="186">
        <f>+GETPIVOTDATA("Undergrad Student Credit Hour  FTE - Old",'FTE Pivot for regular counts'!$A$2,"State","DE","Category",3,"Category2","Four-Year")</f>
        <v>3667.7666666666669</v>
      </c>
      <c r="G13" s="167">
        <f>+GETPIVOTDATA("Sum of Old-HS % of Total",'Pivot-HS Student % of Undergrad'!$A$3,"State","DE","Category",3,"Category2","Four-Year")</f>
        <v>0</v>
      </c>
      <c r="H13" s="186">
        <f>+GETPIVOTDATA("Undergrad Student Credit Hour  FTE - Old",'FTE Pivot for regular counts'!$A$2,"State","DE","Category",4,"Category2","Four-Year")</f>
        <v>0</v>
      </c>
      <c r="I13" s="167">
        <f>+GETPIVOTDATA("Sum of Old-HS % of Total",'Pivot-HS Student % of Undergrad'!$A$3,"State","DE","Category",4,"Category2","Four-Year")</f>
        <v>0</v>
      </c>
      <c r="J13" s="186">
        <f>+GETPIVOTDATA("Undergrad Student Credit Hour  FTE - Old",'FTE Pivot for regular counts'!$A$2,"State","DE","Category",5,"Category2","Four-Year")</f>
        <v>0</v>
      </c>
      <c r="K13" s="167">
        <f>+GETPIVOTDATA("Sum of Old-HS % of Total",'Pivot-HS Student % of Undergrad'!$A$3,"State","FL","Category",5,"Category2","Four-Year")</f>
        <v>0</v>
      </c>
      <c r="L13" s="186">
        <f>+GETPIVOTDATA("Undergrad Student Credit Hour  FTE - Old",'FTE Pivot for regular counts'!$A$2,"State","DE","Category",6,"Category2","Four-Year")</f>
        <v>0</v>
      </c>
      <c r="M13" s="167">
        <f>+GETPIVOTDATA("Sum of Old-HS % of Total",'Pivot-HS Student % of Undergrad'!$A$3,"State","DE","Category",6,"Category2","Four-Year")</f>
        <v>0</v>
      </c>
      <c r="N13" s="186">
        <f>+GETPIVOTDATA("Undergrad Student Credit Hour  FTE - Old",'FTE Pivot for regular counts'!$A$2,"State","DE","Category2","Four-Year")</f>
        <v>21628.066666666666</v>
      </c>
      <c r="O13" s="167">
        <f>+GETPIVOTDATA("Sum of Old-HS % of Total",'Pivot-HS Student % of Undergrad'!$A$3,"State","DE","Category2","Group1")</f>
        <v>0</v>
      </c>
    </row>
    <row r="14" spans="1:17" ht="15" customHeight="1">
      <c r="A14" s="1" t="s">
        <v>67</v>
      </c>
      <c r="B14" s="5">
        <f>+GETPIVOTDATA("Undergrad Student Credit Hour  FTE - Old",'FTE Pivot for regular counts'!$A$2,"State","FL","Category",1,"Category2","Four-Year")</f>
        <v>179459.6</v>
      </c>
      <c r="C14" s="167">
        <f>+GETPIVOTDATA("Sum of Old-HS % of Total",'Pivot-HS Student % of Undergrad'!$A$3,"State","FL","Category",1,"Category2","Four-Year")</f>
        <v>7.0305517230619032E-3</v>
      </c>
      <c r="D14" s="186">
        <f>+GETPIVOTDATA("Undergrad Student Credit Hour  FTE - Old",'FTE Pivot for regular counts'!$A$2,"State","FL","Category",2,"Category2","Four-Year")</f>
        <v>20560.166666666668</v>
      </c>
      <c r="E14" s="167">
        <f>+GETPIVOTDATA("Sum of Old-HS % of Total",'Pivot-HS Student % of Undergrad'!$A$3,"State","FL","Category",2,"Category2","Four-Year")</f>
        <v>1.3085172785564319E-2</v>
      </c>
      <c r="F14" s="186">
        <f>+GETPIVOTDATA("Undergrad Student Credit Hour  FTE - Old",'FTE Pivot for regular counts'!$A$2,"State","FL","Category",3,"Category2","Four-Year")</f>
        <v>31357.899999999998</v>
      </c>
      <c r="G14" s="167">
        <f>+GETPIVOTDATA("Sum of Old-HS % of Total",'Pivot-HS Student % of Undergrad'!$A$3,"State","FL","Category",3,"Category2","Four-Year")</f>
        <v>1.6444553578736671E-3</v>
      </c>
      <c r="H14" s="186">
        <f>+GETPIVOTDATA("Undergrad Student Credit Hour  FTE - Old",'FTE Pivot for regular counts'!$A$2,"State","FL","Category",4,"Category2","Four-Year")</f>
        <v>10147.033333333333</v>
      </c>
      <c r="I14" s="167">
        <f>+GETPIVOTDATA("Sum of Old-HS % of Total",'Pivot-HS Student % of Undergrad'!$A$3,"State","FL","Category",4,"Category2","Four-Year")</f>
        <v>1.0627079836142583E-2</v>
      </c>
      <c r="J14" s="186">
        <f>+GETPIVOTDATA("Undergrad Student Credit Hour  FTE - Old",'FTE Pivot for regular counts'!$A$2,"State","FL","Category",5,"Category2","Four-Year")</f>
        <v>0</v>
      </c>
      <c r="K14" s="167">
        <f>+GETPIVOTDATA("Sum of Old-HS % of Total",'Pivot-HS Student % of Undergrad'!$A$3,"State","FL","Category",5,"Category2","Four-Year")</f>
        <v>0</v>
      </c>
      <c r="L14" s="186">
        <f>+GETPIVOTDATA("Undergrad Student Credit Hour  FTE - Old",'FTE Pivot for regular counts'!$A$2,"State","FL","Category",6,"Category2","Four-Year")</f>
        <v>950.66666666666663</v>
      </c>
      <c r="M14" s="167">
        <f>+GETPIVOTDATA("Sum of Old-HS % of Total",'Pivot-HS Student % of Undergrad'!$A$3,"State","FL","Category",6,"Category2","Four-Year")</f>
        <v>7.0126227208976155E-4</v>
      </c>
      <c r="N14" s="186">
        <f>+GETPIVOTDATA("Undergrad Student Credit Hour  FTE - Old",'FTE Pivot for regular counts'!$A$2,"State","FL","Category2","Four-Year")</f>
        <v>242475.36666666664</v>
      </c>
      <c r="O14" s="167">
        <f>+GETPIVOTDATA("Sum of Old-HS % of Total",'Pivot-HS Student % of Undergrad'!$A$3,"State","FL","Category2","Group1")</f>
        <v>6.973079464704387E-3</v>
      </c>
    </row>
    <row r="15" spans="1:17" ht="15" customHeight="1">
      <c r="B15" s="5"/>
      <c r="C15" s="167"/>
      <c r="D15" s="186"/>
      <c r="E15" s="167"/>
      <c r="F15" s="186"/>
      <c r="G15" s="167"/>
      <c r="H15" s="186"/>
      <c r="I15" s="167"/>
      <c r="J15" s="186"/>
      <c r="K15" s="167"/>
      <c r="L15" s="186"/>
      <c r="M15" s="167"/>
      <c r="N15" s="186"/>
      <c r="O15" s="167"/>
    </row>
    <row r="16" spans="1:17" ht="15" customHeight="1">
      <c r="A16" s="1" t="s">
        <v>68</v>
      </c>
      <c r="B16" s="5">
        <f>+GETPIVOTDATA("Undergrad Student Credit Hour  FTE - Old",'FTE Pivot for regular counts'!$A$2,"State","GA","Category",1,"Category2","Four-Year")</f>
        <v>46819.28</v>
      </c>
      <c r="C16" s="167">
        <f>+GETPIVOTDATA("Sum of Old-HS % of Total",'Pivot-HS Student % of Undergrad'!$A$3,"State","GA","Category",1,"Category2","Four-Year")</f>
        <v>1.7350402085066952E-3</v>
      </c>
      <c r="D16" s="186">
        <f>+GETPIVOTDATA("Undergrad Student Credit Hour  FTE - Old",'FTE Pivot for regular counts'!$A$2,"State","GA","Category",2,"Category2","Four-Year")</f>
        <v>14130.933333333332</v>
      </c>
      <c r="E16" s="167">
        <f>+GETPIVOTDATA("Sum of Old-HS % of Total",'Pivot-HS Student % of Undergrad'!$A$3,"State","GA","Category",2,"Category2","Four-Year")</f>
        <v>5.8736389198165723E-3</v>
      </c>
      <c r="F16" s="186">
        <f>+GETPIVOTDATA("Undergrad Student Credit Hour  FTE - Old",'FTE Pivot for regular counts'!$A$2,"State","GA","Category",3,"Category2","Four-Year")</f>
        <v>55741.133333333331</v>
      </c>
      <c r="G16" s="167">
        <f>+GETPIVOTDATA("Sum of Old-HS % of Total",'Pivot-HS Student % of Undergrad'!$A$3,"State","GA","Category",3,"Category2","Four-Year")</f>
        <v>5.4095300059680647E-3</v>
      </c>
      <c r="H16" s="186">
        <f>+GETPIVOTDATA("Undergrad Student Credit Hour  FTE - Old",'FTE Pivot for regular counts'!$A$2,"State","GA","Category",4,"Category2","Four-Year")</f>
        <v>37893.416666666672</v>
      </c>
      <c r="I16" s="167">
        <f>+GETPIVOTDATA("Sum of Old-HS % of Total",'Pivot-HS Student % of Undergrad'!$A$3,"State","GA","Category",4,"Category2","Four-Year")</f>
        <v>5.3333802485480107E-3</v>
      </c>
      <c r="J16" s="186">
        <f>+GETPIVOTDATA("Undergrad Student Credit Hour  FTE - Old",'FTE Pivot for regular counts'!$A$2,"State","GA","Category",5,"Category2","Four-Year")</f>
        <v>15210.300000000001</v>
      </c>
      <c r="K16" s="167">
        <f>+GETPIVOTDATA("Sum of Old-HS % of Total",'Pivot-HS Student % of Undergrad'!$A$3,"State","GA","Category",5,"Category2","Four-Year")</f>
        <v>1.3894093695281048E-2</v>
      </c>
      <c r="L16" s="186">
        <f>+GETPIVOTDATA("Undergrad Student Credit Hour  FTE - Old",'FTE Pivot for regular counts'!$A$2,"State","GA","Category",6,"Category2","Four-Year")</f>
        <v>18748.966666666667</v>
      </c>
      <c r="M16" s="167">
        <f>+GETPIVOTDATA("Sum of Old-HS % of Total",'Pivot-HS Student % of Undergrad'!$A$3,"State","GA","Category",6,"Category2","Four-Year")</f>
        <v>1.7382291290720022E-2</v>
      </c>
      <c r="N16" s="186">
        <f>+GETPIVOTDATA("Undergrad Student Credit Hour  FTE - Old",'FTE Pivot for regular counts'!$A$2,"State","GA","Category2","Four-Year")</f>
        <v>188544.03</v>
      </c>
      <c r="O16" s="167">
        <f>+GETPIVOTDATA("Sum of Old-HS % of Total",'Pivot-HS Student % of Undergrad'!$A$3,"State","GA","Category2","Group1")</f>
        <v>6.3916104901332593E-3</v>
      </c>
    </row>
    <row r="17" spans="1:15" ht="15" customHeight="1">
      <c r="A17" s="1" t="s">
        <v>69</v>
      </c>
      <c r="B17" s="5">
        <f>+GETPIVOTDATA("Undergrad Student Credit Hour  FTE - Old",'FTE Pivot for regular counts'!$A$2,"State","KY","Category",1,"Category2","Four-Year")</f>
        <v>32257.599999999999</v>
      </c>
      <c r="C17" s="167">
        <f>+GETPIVOTDATA("Sum of Old-HS % of Total",'Pivot-HS Student % of Undergrad'!$A$3,"State","KY","Category",1,"Category2","Four-Year")</f>
        <v>1.6037564274258883E-3</v>
      </c>
      <c r="D17" s="186">
        <f>+GETPIVOTDATA("Undergrad Student Credit Hour  FTE - Old",'FTE Pivot for regular counts'!$A$2,"State","KY","Category",2,"Category2","Four-Year")</f>
        <v>0</v>
      </c>
      <c r="E17" s="167">
        <f>+GETPIVOTDATA("Sum of Old-HS % of Total",'Pivot-HS Student % of Undergrad'!$A$3,"State","KY","Category",2,"Category2","Four-Year")</f>
        <v>0</v>
      </c>
      <c r="F17" s="186">
        <f>+GETPIVOTDATA("Undergrad Student Credit Hour  FTE - Old",'FTE Pivot for regular counts'!$A$2,"State","KY","Category",3,"Category2","Four-Year")</f>
        <v>41413.300000000003</v>
      </c>
      <c r="G17" s="167">
        <f>+GETPIVOTDATA("Sum of Old-HS % of Total",'Pivot-HS Student % of Undergrad'!$A$3,"State","KY","Category",3,"Category2","Four-Year")</f>
        <v>2.7879932292282913E-2</v>
      </c>
      <c r="H17" s="186">
        <f>+GETPIVOTDATA("Undergrad Student Credit Hour  FTE - Old",'FTE Pivot for regular counts'!$A$2,"State","KY","Category",4,"Category2","Four-Year")</f>
        <v>13086.9</v>
      </c>
      <c r="I17" s="167">
        <f>+GETPIVOTDATA("Sum of Old-HS % of Total",'Pivot-HS Student % of Undergrad'!$A$3,"State","KY","Category",4,"Category2","Four-Year")</f>
        <v>1.4008919861337165E-2</v>
      </c>
      <c r="J17" s="186">
        <f>+GETPIVOTDATA("Undergrad Student Credit Hour  FTE - Old",'FTE Pivot for regular counts'!$A$2,"State","KY","Category",5,"Category2","Four-Year")</f>
        <v>0</v>
      </c>
      <c r="K17" s="167">
        <f>+GETPIVOTDATA("Sum of Old-HS % of Total",'Pivot-HS Student % of Undergrad'!$A$3,"State","KY","Category",5,"Category2","Four-Year")</f>
        <v>0</v>
      </c>
      <c r="L17" s="186">
        <f>+GETPIVOTDATA("Undergrad Student Credit Hour  FTE - Old",'FTE Pivot for regular counts'!$A$2,"State","KY","Category",6,"Category2","Four-Year")</f>
        <v>0</v>
      </c>
      <c r="M17" s="167">
        <f>+GETPIVOTDATA("Sum of Old-HS % of Total",'Pivot-HS Student % of Undergrad'!$A$3,"State","KY","Category",6,"Category2","Four-Year")</f>
        <v>0</v>
      </c>
      <c r="N17" s="186">
        <f>+GETPIVOTDATA("Undergrad Student Credit Hour  FTE - Old",'FTE Pivot for regular counts'!$A$2,"State","KY","Category2","Four-Year")</f>
        <v>86757.799999999988</v>
      </c>
      <c r="O17" s="167">
        <f>+GETPIVOTDATA("Sum of Old-HS % of Total",'Pivot-HS Student % of Undergrad'!$A$3,"State","KY","Category2","Group1")</f>
        <v>1.6017772081203842E-2</v>
      </c>
    </row>
    <row r="18" spans="1:15" ht="15" customHeight="1">
      <c r="A18" s="1" t="s">
        <v>70</v>
      </c>
      <c r="B18" s="5">
        <f>+GETPIVOTDATA("Undergrad Student Credit Hour  FTE - Old",'FTE Pivot for regular counts'!$A$2,"State","LA","Category",1,"Category2","Four-Year")</f>
        <v>24166.9</v>
      </c>
      <c r="C18" s="167">
        <f>+GETPIVOTDATA("Sum of Old-HS % of Total",'Pivot-HS Student % of Undergrad'!$A$3,"State","LA","Category",1,"Category2","Four-Year")</f>
        <v>2.8234210152453701E-3</v>
      </c>
      <c r="D18" s="186">
        <f>+GETPIVOTDATA("Undergrad Student Credit Hour  FTE - Old",'FTE Pivot for regular counts'!$A$2,"State","LA","Category",2,"Category2","Four-Year")</f>
        <v>28101.1</v>
      </c>
      <c r="E18" s="167">
        <f>+GETPIVOTDATA("Sum of Old-HS % of Total",'Pivot-HS Student % of Undergrad'!$A$3,"State","LA","Category",2,"Category2","Four-Year")</f>
        <v>1.7151167273404481E-2</v>
      </c>
      <c r="F18" s="186">
        <f>+GETPIVOTDATA("Undergrad Student Credit Hour  FTE - Old",'FTE Pivot for regular counts'!$A$2,"State","LA","Category",3,"Category2","Four-Year")</f>
        <v>23235.633333333331</v>
      </c>
      <c r="G18" s="167">
        <f>+GETPIVOTDATA("Sum of Old-HS % of Total",'Pivot-HS Student % of Undergrad'!$A$3,"State","LA","Category",3,"Category2","Four-Year")</f>
        <v>3.2729901917887612E-2</v>
      </c>
      <c r="H18" s="186">
        <f>+GETPIVOTDATA("Undergrad Student Credit Hour  FTE - Old",'FTE Pivot for regular counts'!$A$2,"State","LA","Category",4,"Category2","Four-Year")</f>
        <v>29616.366666666665</v>
      </c>
      <c r="I18" s="167">
        <f>+GETPIVOTDATA("Sum of Old-HS % of Total",'Pivot-HS Student % of Undergrad'!$A$3,"State","LA","Category",4,"Category2","Four-Year")</f>
        <v>2.7969895024260234E-2</v>
      </c>
      <c r="J18" s="186">
        <f>+GETPIVOTDATA("Undergrad Student Credit Hour  FTE - Old",'FTE Pivot for regular counts'!$A$2,"State","LA","Category",5,"Category2","Four-Year")</f>
        <v>0</v>
      </c>
      <c r="K18" s="167">
        <f>+GETPIVOTDATA("Sum of Old-HS % of Total",'Pivot-HS Student % of Undergrad'!$A$3,"State","LA","Category",5,"Category2","Four-Year")</f>
        <v>0</v>
      </c>
      <c r="L18" s="186">
        <f>+GETPIVOTDATA("Undergrad Student Credit Hour  FTE - Old",'FTE Pivot for regular counts'!$A$2,"State","LA","Category",6,"Category2","Four-Year")</f>
        <v>1724.3</v>
      </c>
      <c r="M18" s="167">
        <f>+GETPIVOTDATA("Sum of Old-HS % of Total",'Pivot-HS Student % of Undergrad'!$A$3,"State","LA","Category",6,"Category2","Four-Year")</f>
        <v>5.5462119894063293E-2</v>
      </c>
      <c r="N18" s="186">
        <f>+GETPIVOTDATA("Undergrad Student Credit Hour  FTE - Old",'FTE Pivot for regular counts'!$A$2,"State","LA","Category2","Four-Year")</f>
        <v>106844.3</v>
      </c>
      <c r="O18" s="167">
        <f>+GETPIVOTDATA("Sum of Old-HS % of Total",'Pivot-HS Student % of Undergrad'!$A$3,"State","LA","Category2","Group1")</f>
        <v>2.091548168690328E-2</v>
      </c>
    </row>
    <row r="19" spans="1:15" ht="15" customHeight="1">
      <c r="A19" s="1" t="s">
        <v>71</v>
      </c>
      <c r="B19" s="5">
        <f>+GETPIVOTDATA("Undergrad Student Credit Hour  FTE - Old",'FTE Pivot for regular counts'!$A$2,"State","MD","Category",1,"Category2","Four-Year")</f>
        <v>26352.5</v>
      </c>
      <c r="C19" s="167">
        <f>+GETPIVOTDATA("Sum of Old-HS % of Total",'Pivot-HS Student % of Undergrad'!$A$3,"State","MD","Category",1,"Category2","Four-Year")</f>
        <v>0</v>
      </c>
      <c r="D19" s="186">
        <f>+GETPIVOTDATA("Undergrad Student Credit Hour  FTE - Old",'FTE Pivot for regular counts'!$A$2,"State","MD","Category",2,"Category2","Four-Year")</f>
        <v>16456</v>
      </c>
      <c r="E19" s="167">
        <f>+GETPIVOTDATA("Sum of Old-HS % of Total",'Pivot-HS Student % of Undergrad'!$A$3,"State","MD","Category",2,"Category2","Four-Year")</f>
        <v>0</v>
      </c>
      <c r="F19" s="186">
        <f>+GETPIVOTDATA("Undergrad Student Credit Hour  FTE - Old",'FTE Pivot for regular counts'!$A$2,"State","MD","Category",3,"Category2","Four-Year")</f>
        <v>17208.033333333333</v>
      </c>
      <c r="G19" s="167">
        <f>+GETPIVOTDATA("Sum of Old-HS % of Total",'Pivot-HS Student % of Undergrad'!$A$3,"State","MD","Category",3,"Category2","Four-Year")</f>
        <v>0</v>
      </c>
      <c r="H19" s="186">
        <f>+GETPIVOTDATA("Undergrad Student Credit Hour  FTE - Old",'FTE Pivot for regular counts'!$A$2,"State","MD","Category",4,"Category2","Four-Year")</f>
        <v>22451.833333333332</v>
      </c>
      <c r="I19" s="167">
        <f>+GETPIVOTDATA("Sum of Old-HS % of Total",'Pivot-HS Student % of Undergrad'!$A$3,"State","MD","Category",4,"Category2","Four-Year")</f>
        <v>0</v>
      </c>
      <c r="J19" s="186">
        <f>+GETPIVOTDATA("Undergrad Student Credit Hour  FTE - Old",'FTE Pivot for regular counts'!$A$2,"State","MD","Category",5,"Category2","Four-Year")</f>
        <v>2856.4333333333334</v>
      </c>
      <c r="K19" s="167">
        <f>+GETPIVOTDATA("Sum of Old-HS % of Total",'Pivot-HS Student % of Undergrad'!$A$3,"State","MD","Category",5,"Category2","Four-Year")</f>
        <v>0</v>
      </c>
      <c r="L19" s="186">
        <f>+GETPIVOTDATA("Undergrad Student Credit Hour  FTE - Old",'FTE Pivot for regular counts'!$A$2,"State","MD","Category",6,"Category2","Four-Year")</f>
        <v>2122.2333333333331</v>
      </c>
      <c r="M19" s="167">
        <f>+GETPIVOTDATA("Sum of Old-HS % of Total",'Pivot-HS Student % of Undergrad'!$A$3,"State","MD","Category",6,"Category2","Four-Year")</f>
        <v>0</v>
      </c>
      <c r="N19" s="186">
        <f>+GETPIVOTDATA("Undergrad Student Credit Hour  FTE - Old",'FTE Pivot for regular counts'!$A$2,"State","MD","Category2","Four-Year")</f>
        <v>87447.03333333334</v>
      </c>
      <c r="O19" s="167">
        <f>+GETPIVOTDATA("Sum of Old-HS % of Total",'Pivot-HS Student % of Undergrad'!$A$3,"State","MD","Category2","Group1")</f>
        <v>0</v>
      </c>
    </row>
    <row r="20" spans="1:15" ht="15" customHeight="1">
      <c r="B20" s="5"/>
      <c r="C20" s="167"/>
      <c r="D20" s="186"/>
      <c r="E20" s="167"/>
      <c r="F20" s="186"/>
      <c r="G20" s="167"/>
      <c r="H20" s="186"/>
      <c r="I20" s="167"/>
      <c r="J20" s="186"/>
      <c r="K20" s="167"/>
      <c r="L20" s="186"/>
      <c r="M20" s="167"/>
      <c r="N20" s="186"/>
      <c r="O20" s="167"/>
    </row>
    <row r="21" spans="1:15" ht="15" customHeight="1">
      <c r="A21" s="1" t="s">
        <v>72</v>
      </c>
      <c r="B21" s="5">
        <f>+GETPIVOTDATA("Undergrad Student Credit Hour  FTE - Old",'FTE Pivot for regular counts'!$A$2,"State","MS","Category",1,"Category2","Four-Year")</f>
        <v>26669</v>
      </c>
      <c r="C21" s="167">
        <f>+GETPIVOTDATA("Sum of Old-HS % of Total",'Pivot-HS Student % of Undergrad'!$A$3,"State","MS","Category",1,"Category2","Four-Year")</f>
        <v>0</v>
      </c>
      <c r="D21" s="186">
        <f>+GETPIVOTDATA("Undergrad Student Credit Hour  FTE - Old",'FTE Pivot for regular counts'!$A$2,"State","MS","Category",2,"Category2","Four-Year")</f>
        <v>20950.45</v>
      </c>
      <c r="E21" s="167">
        <f>+GETPIVOTDATA("Sum of Old-HS % of Total",'Pivot-HS Student % of Undergrad'!$A$3,"State","MS","Category",2,"Category2","Four-Year")</f>
        <v>0</v>
      </c>
      <c r="F21" s="186">
        <f>+GETPIVOTDATA("Undergrad Student Credit Hour  FTE - Old",'FTE Pivot for regular counts'!$A$2,"State","MS","Category",3,"Category2","Four-Year")</f>
        <v>0</v>
      </c>
      <c r="G21" s="167">
        <f>+GETPIVOTDATA("Sum of Old-HS % of Total",'Pivot-HS Student % of Undergrad'!$A$3,"State","MS","Category",3,"Category2","Four-Year")</f>
        <v>0</v>
      </c>
      <c r="H21" s="186">
        <f>+GETPIVOTDATA("Undergrad Student Credit Hour  FTE - Old",'FTE Pivot for regular counts'!$A$2,"State","MS","Category",4,"Category2","Four-Year")</f>
        <v>7223.4666666666672</v>
      </c>
      <c r="I21" s="167">
        <f>+GETPIVOTDATA("Sum of Old-HS % of Total",'Pivot-HS Student % of Undergrad'!$A$3,"State","MS","Category",4,"Category2","Four-Year")</f>
        <v>0</v>
      </c>
      <c r="J21" s="186">
        <f>+GETPIVOTDATA("Undergrad Student Credit Hour  FTE - Old",'FTE Pivot for regular counts'!$A$2,"State","MS","Category",5,"Category2","Four-Year")</f>
        <v>2277.3000000000002</v>
      </c>
      <c r="K21" s="167">
        <f>+GETPIVOTDATA("Sum of Old-HS % of Total",'Pivot-HS Student % of Undergrad'!$A$3,"State","MS","Category",5,"Category2","Four-Year")</f>
        <v>0</v>
      </c>
      <c r="L21" s="186">
        <f>+GETPIVOTDATA("Undergrad Student Credit Hour  FTE - Old",'FTE Pivot for regular counts'!$A$2,"State","MS","Category",6,"Category2","Four-Year")</f>
        <v>0</v>
      </c>
      <c r="M21" s="167">
        <f>+GETPIVOTDATA("Sum of Old-HS % of Total",'Pivot-HS Student % of Undergrad'!$A$3,"State","MS","Category",6,"Category2","Four-Year")</f>
        <v>0</v>
      </c>
      <c r="N21" s="186">
        <f>+GETPIVOTDATA("Undergrad Student Credit Hour  FTE - Old",'FTE Pivot for regular counts'!$A$2,"State","MS","Category2","Four-Year")</f>
        <v>57120.216666666667</v>
      </c>
      <c r="O21" s="167">
        <f>+GETPIVOTDATA("Sum of Old-HS % of Total",'Pivot-HS Student % of Undergrad'!$A$3,"State","MS","Category2","Group1")</f>
        <v>0</v>
      </c>
    </row>
    <row r="22" spans="1:15" ht="15" customHeight="1">
      <c r="A22" s="1" t="s">
        <v>73</v>
      </c>
      <c r="B22" s="5">
        <f>+GETPIVOTDATA("Undergrad Student Credit Hour  FTE - Old",'FTE Pivot for regular counts'!$A$2,"State","NC","Category",1,"Category2","Four-Year")</f>
        <v>54505.899999999994</v>
      </c>
      <c r="C22" s="469">
        <f>+GETPIVOTDATA("Sum of Old-HS % of Total",'Pivot-HS Student % of Undergrad'!$A$3,"State","NC","Category",1,"Category2","Four-Year")</f>
        <v>5.5039913110323834E-6</v>
      </c>
      <c r="D22" s="186">
        <f>+GETPIVOTDATA("Undergrad Student Credit Hour  FTE - Old",'FTE Pivot for regular counts'!$A$2,"State","NC","Category",2,"Category2","Four-Year")</f>
        <v>38421.9</v>
      </c>
      <c r="E22" s="211">
        <f>+GETPIVOTDATA("Sum of Old-HS % of Total",'Pivot-HS Student % of Undergrad'!$A$3,"State","NC","Category",2,"Category2","Four-Year")</f>
        <v>5.2053646488070602E-4</v>
      </c>
      <c r="F22" s="186">
        <f>+GETPIVOTDATA("Undergrad Student Credit Hour  FTE - Old",'FTE Pivot for regular counts'!$A$2,"State","NC","Category",3,"Category2","Four-Year")</f>
        <v>50076.833333333336</v>
      </c>
      <c r="G22" s="167">
        <f>+GETPIVOTDATA("Sum of Old-HS % of Total",'Pivot-HS Student % of Undergrad'!$A$3,"State","NC","Category",3,"Category2","Four-Year")</f>
        <v>4.3286815926193416E-3</v>
      </c>
      <c r="H22" s="186">
        <f>+GETPIVOTDATA("Undergrad Student Credit Hour  FTE - Old",'FTE Pivot for regular counts'!$A$2,"State","NC","Category",4,"Category2","Four-Year")</f>
        <v>4960.7333333333336</v>
      </c>
      <c r="I22" s="167">
        <f>+GETPIVOTDATA("Sum of Old-HS % of Total",'Pivot-HS Student % of Undergrad'!$A$3,"State","NC","Category",4,"Category2","Four-Year")</f>
        <v>1.7053930198492159E-2</v>
      </c>
      <c r="J22" s="186">
        <f>+GETPIVOTDATA("Undergrad Student Credit Hour  FTE - Old",'FTE Pivot for regular counts'!$A$2,"State","NC","Category",5,"Category2","Four-Year")</f>
        <v>10259.633333333333</v>
      </c>
      <c r="K22" s="167">
        <f>+GETPIVOTDATA("Sum of Old-HS % of Total",'Pivot-HS Student % of Undergrad'!$A$3,"State","NC","Category",5,"Category2","Four-Year")</f>
        <v>0</v>
      </c>
      <c r="L22" s="186">
        <f>+GETPIVOTDATA("Undergrad Student Credit Hour  FTE - Old",'FTE Pivot for regular counts'!$A$2,"State","NC","Category",6,"Category2","Four-Year")</f>
        <v>6084.1333333333332</v>
      </c>
      <c r="M22" s="167">
        <f>+GETPIVOTDATA("Sum of Old-HS % of Total",'Pivot-HS Student % of Undergrad'!$A$3,"State","NC","Category",6,"Category2","Four-Year")</f>
        <v>0</v>
      </c>
      <c r="N22" s="186">
        <f>+GETPIVOTDATA("Undergrad Student Credit Hour  FTE - Old",'FTE Pivot for regular counts'!$A$2,"State","NC","Category2","Four-Year")</f>
        <v>164309.13333333333</v>
      </c>
      <c r="O22" s="167">
        <f>+GETPIVOTDATA("Sum of Old-HS % of Total",'Pivot-HS Student % of Undergrad'!$A$3,"State","NC","Category2","Group1")</f>
        <v>1.9576919440875066E-3</v>
      </c>
    </row>
    <row r="23" spans="1:15" ht="15" customHeight="1">
      <c r="A23" s="1" t="s">
        <v>74</v>
      </c>
      <c r="B23" s="5">
        <f>+GETPIVOTDATA("Undergrad Student Credit Hour  FTE - Old",'FTE Pivot for regular counts'!$A$2,"State","OK","Category",1,"Category2","Four-Year")</f>
        <v>43058</v>
      </c>
      <c r="C23" s="167">
        <f>+GETPIVOTDATA("Sum of Old-HS % of Total",'Pivot-HS Student % of Undergrad'!$A$3,"State","OK","Category",1,"Category2","Four-Year")</f>
        <v>1.249477449022249E-3</v>
      </c>
      <c r="D23" s="186">
        <f>+GETPIVOTDATA("Undergrad Student Credit Hour  FTE - Old",'FTE Pivot for regular counts'!$A$2,"State","OK","Category",2,"Category2","Four-Year")</f>
        <v>0</v>
      </c>
      <c r="E23" s="167">
        <f>+GETPIVOTDATA("Sum of Old-HS % of Total",'Pivot-HS Student % of Undergrad'!$A$3,"State","OK","Category",2,"Category2","Four-Year")</f>
        <v>0</v>
      </c>
      <c r="F23" s="186">
        <f>+GETPIVOTDATA("Undergrad Student Credit Hour  FTE - Old",'FTE Pivot for regular counts'!$A$2,"State","OK","Category",3,"Category2","Four-Year")</f>
        <v>18878.166666666668</v>
      </c>
      <c r="G23" s="167">
        <f>+GETPIVOTDATA("Sum of Old-HS % of Total",'Pivot-HS Student % of Undergrad'!$A$3,"State","OK","Category",3,"Category2","Four-Year")</f>
        <v>6.7432395448004312E-3</v>
      </c>
      <c r="H23" s="186">
        <f>+GETPIVOTDATA("Undergrad Student Credit Hour  FTE - Old",'FTE Pivot for regular counts'!$A$2,"State","OK","Category",4,"Category2","Four-Year")</f>
        <v>3174.2</v>
      </c>
      <c r="I23" s="167">
        <f>+GETPIVOTDATA("Sum of Old-HS % of Total",'Pivot-HS Student % of Undergrad'!$A$3,"State","OK","Category",4,"Category2","Four-Year")</f>
        <v>1.5205931153256464E-2</v>
      </c>
      <c r="J23" s="186">
        <f>+GETPIVOTDATA("Undergrad Student Credit Hour  FTE - Old",'FTE Pivot for regular counts'!$A$2,"State","OK","Category",5,"Category2","Four-Year")</f>
        <v>15558.766666666666</v>
      </c>
      <c r="K23" s="167">
        <f>+GETPIVOTDATA("Sum of Old-HS % of Total",'Pivot-HS Student % of Undergrad'!$A$3,"State","OK","Category",5,"Category2","Four-Year")</f>
        <v>1.1785424294556339E-2</v>
      </c>
      <c r="L23" s="186">
        <f>+GETPIVOTDATA("Undergrad Student Credit Hour  FTE - Old",'FTE Pivot for regular counts'!$A$2,"State","OK","Category",6,"Category2","Four-Year")</f>
        <v>5902.5999999999995</v>
      </c>
      <c r="M23" s="167">
        <f>+GETPIVOTDATA("Sum of Old-HS % of Total",'Pivot-HS Student % of Undergrad'!$A$3,"State","OK","Category",6,"Category2","Four-Year")</f>
        <v>2.7869074645071663E-2</v>
      </c>
      <c r="N23" s="186">
        <f>+GETPIVOTDATA("Undergrad Student Credit Hour  FTE - Old",'FTE Pivot for regular counts'!$A$2,"State","OK","Category2","Four-Year")</f>
        <v>86571.733333333337</v>
      </c>
      <c r="O23" s="167">
        <f>+GETPIVOTDATA("Sum of Old-HS % of Total",'Pivot-HS Student % of Undergrad'!$A$3,"State","OK","Category2","Group1")</f>
        <v>6.6676882985670458E-3</v>
      </c>
    </row>
    <row r="24" spans="1:15" ht="15" customHeight="1">
      <c r="A24" s="1" t="s">
        <v>75</v>
      </c>
      <c r="B24" s="5">
        <f>+GETPIVOTDATA("Undergrad Student Credit Hour  FTE - Old",'FTE Pivot for regular counts'!$A$2,"State","SC","Category",1,"Category2","Four-Year")</f>
        <v>39419.300000000003</v>
      </c>
      <c r="C24" s="211">
        <f>+GETPIVOTDATA("Sum of Old-HS % of Total",'Pivot-HS Student % of Undergrad'!$A$3,"State","SC","Category",1,"Category2","Four-Year")</f>
        <v>1.957804242779328E-4</v>
      </c>
      <c r="D24" s="186">
        <f>+GETPIVOTDATA("Undergrad Student Credit Hour  FTE - Old",'FTE Pivot for regular counts'!$A$2,"State","SC","Category",2,"Category2","Four-Year")</f>
        <v>0</v>
      </c>
      <c r="E24" s="167">
        <f>+GETPIVOTDATA("Sum of Old-HS % of Total",'Pivot-HS Student % of Undergrad'!$A$3,"State","SC","Category",2,"Category2","Four-Year")</f>
        <v>0</v>
      </c>
      <c r="F24" s="186">
        <f>+GETPIVOTDATA("Undergrad Student Credit Hour  FTE - Old",'FTE Pivot for regular counts'!$A$2,"State","SC","Category",3,"Category2","Four-Year")</f>
        <v>18050.516666666666</v>
      </c>
      <c r="G24" s="167">
        <f>+GETPIVOTDATA("Sum of Old-HS % of Total",'Pivot-HS Student % of Undergrad'!$A$3,"State","SC","Category",3,"Category2","Four-Year")</f>
        <v>2.7847771670432334E-3</v>
      </c>
      <c r="H24" s="186">
        <f>+GETPIVOTDATA("Undergrad Student Credit Hour  FTE - Old",'FTE Pivot for regular counts'!$A$2,"State","SC","Category",4,"Category2","Four-Year")</f>
        <v>0</v>
      </c>
      <c r="I24" s="167">
        <f>+GETPIVOTDATA("Sum of Old-HS % of Total",'Pivot-HS Student % of Undergrad'!$A$3,"State","SC","Category",4,"Category2","Four-Year")</f>
        <v>0</v>
      </c>
      <c r="J24" s="186">
        <f>+GETPIVOTDATA("Undergrad Student Credit Hour  FTE - Old",'FTE Pivot for regular counts'!$A$2,"State","SC","Category",5,"Category2","Four-Year")</f>
        <v>15258.5</v>
      </c>
      <c r="K24" s="167">
        <f>+GETPIVOTDATA("Sum of Old-HS % of Total",'Pivot-HS Student % of Undergrad'!$A$3,"State","SC","Category",5,"Category2","Four-Year")</f>
        <v>6.8085189756852604E-3</v>
      </c>
      <c r="L24" s="186">
        <f>+GETPIVOTDATA("Undergrad Student Credit Hour  FTE - Old",'FTE Pivot for regular counts'!$A$2,"State","SC","Category",6,"Category2","Four-Year")</f>
        <v>12117.800333333333</v>
      </c>
      <c r="M24" s="167">
        <f>+GETPIVOTDATA("Sum of Old-HS % of Total",'Pivot-HS Student % of Undergrad'!$A$3,"State","SC","Category",6,"Category2","Four-Year")</f>
        <v>8.2523228019298657E-3</v>
      </c>
      <c r="N24" s="186">
        <f>+GETPIVOTDATA("Undergrad Student Credit Hour  FTE - Old",'FTE Pivot for regular counts'!$A$2,"State","SC","Category2","Four-Year")</f>
        <v>84846.116999999998</v>
      </c>
      <c r="O24" s="167">
        <f>+GETPIVOTDATA("Sum of Old-HS % of Total",'Pivot-HS Student % of Undergrad'!$A$3,"State","SC","Category2","Group1")</f>
        <v>3.1461525604268314E-3</v>
      </c>
    </row>
    <row r="25" spans="1:15" ht="15" customHeight="1">
      <c r="B25" s="5"/>
      <c r="C25" s="211"/>
      <c r="D25" s="186"/>
      <c r="E25" s="167"/>
      <c r="F25" s="186"/>
      <c r="G25" s="167"/>
      <c r="H25" s="186"/>
      <c r="I25" s="167"/>
      <c r="J25" s="186"/>
      <c r="K25" s="167"/>
      <c r="L25" s="186"/>
      <c r="M25" s="167"/>
      <c r="N25" s="186"/>
      <c r="O25" s="167"/>
    </row>
    <row r="26" spans="1:15" ht="15" customHeight="1">
      <c r="A26" s="1" t="s">
        <v>76</v>
      </c>
      <c r="B26" s="5">
        <f>+GETPIVOTDATA("Undergrad Student Credit Hour  FTE - Old",'FTE Pivot for regular counts'!$A$2,"State","TN","Category",1,"Category2","Four-Year")</f>
        <v>34465.566666666666</v>
      </c>
      <c r="C26" s="167">
        <f>+GETPIVOTDATA("Sum of Old-HS % of Total",'Pivot-HS Student % of Undergrad'!$A$3,"State","TN","Category",1,"Category2","Four-Year")</f>
        <v>0</v>
      </c>
      <c r="D26" s="186">
        <f>+GETPIVOTDATA("Undergrad Student Credit Hour  FTE - Old",'FTE Pivot for regular counts'!$A$2,"State","TN","Category",2,"Category2","Four-Year")</f>
        <v>6034.166666666667</v>
      </c>
      <c r="E26" s="167">
        <f>+GETPIVOTDATA("Sum of Old-HS % of Total",'Pivot-HS Student % of Undergrad'!$A$3,"State","TN","Category",2,"Category2","Four-Year")</f>
        <v>0</v>
      </c>
      <c r="F26" s="186">
        <f>+GETPIVOTDATA("Undergrad Student Credit Hour  FTE - Old",'FTE Pivot for regular counts'!$A$2,"State","TN","Category",3,"Category2","Four-Year")</f>
        <v>57887.23333333333</v>
      </c>
      <c r="G26" s="167">
        <f>+GETPIVOTDATA("Sum of Old-HS % of Total",'Pivot-HS Student % of Undergrad'!$A$3,"State","TN","Category",3,"Category2","Four-Year")</f>
        <v>3.2413594937743899E-3</v>
      </c>
      <c r="H26" s="186">
        <f>+GETPIVOTDATA("Undergrad Student Credit Hour  FTE - Old",'FTE Pivot for regular counts'!$A$2,"State","TN","Category",4,"Category2","Four-Year")</f>
        <v>0</v>
      </c>
      <c r="I26" s="167">
        <f>+GETPIVOTDATA("Sum of Old-HS % of Total",'Pivot-HS Student % of Undergrad'!$A$3,"State","TN","Category",4,"Category2","Four-Year")</f>
        <v>0</v>
      </c>
      <c r="J26" s="186">
        <f>+GETPIVOTDATA("Undergrad Student Credit Hour  FTE - Old",'FTE Pivot for regular counts'!$A$2,"State","TN","Category",5,"Category2","Four-Year")</f>
        <v>6755.8</v>
      </c>
      <c r="K26" s="167">
        <f>+GETPIVOTDATA("Sum of Old-HS % of Total",'Pivot-HS Student % of Undergrad'!$A$3,"State","TN","Category",5,"Category2","Four-Year")</f>
        <v>2.1719608829943653E-2</v>
      </c>
      <c r="L26" s="186">
        <f>+GETPIVOTDATA("Undergrad Student Credit Hour  FTE - Old",'FTE Pivot for regular counts'!$A$2,"State","TN","Category",6,"Category2","Four-Year")</f>
        <v>0</v>
      </c>
      <c r="M26" s="167">
        <f>+GETPIVOTDATA("Sum of Old-HS % of Total",'Pivot-HS Student % of Undergrad'!$A$3,"State","TN","Category",6,"Category2","Four-Year")</f>
        <v>0</v>
      </c>
      <c r="N26" s="186">
        <f>+GETPIVOTDATA("Undergrad Student Credit Hour  FTE - Old",'FTE Pivot for regular counts'!$A$2,"State","TN","Category2","Four-Year")</f>
        <v>105142.76666666666</v>
      </c>
      <c r="O26" s="167">
        <f>+GETPIVOTDATA("Sum of Old-HS % of Total",'Pivot-HS Student % of Undergrad'!$A$3,"State","TN","Category2","Group1")</f>
        <v>5.1725089220751299E-3</v>
      </c>
    </row>
    <row r="27" spans="1:15" ht="15" customHeight="1">
      <c r="A27" s="1" t="s">
        <v>77</v>
      </c>
      <c r="B27" s="5">
        <f>+GETPIVOTDATA("Undergrad Student Credit Hour  FTE - Old",'FTE Pivot for regular counts'!$A$2,"State","TX","Category",1,"Category2","Four-Year")</f>
        <v>178739.6</v>
      </c>
      <c r="C27" s="211">
        <f>+GETPIVOTDATA("Sum of Old-HS % of Total",'Pivot-HS Student % of Undergrad'!$A$3,"State","TX","Category",1,"Category2","Four-Year")</f>
        <v>3.3531088428827933E-4</v>
      </c>
      <c r="D27" s="186">
        <f>+GETPIVOTDATA("Undergrad Student Credit Hour  FTE - Old",'FTE Pivot for regular counts'!$A$2,"State","TX","Category",2,"Category2","Four-Year")</f>
        <v>44336.4</v>
      </c>
      <c r="E27" s="167">
        <f>+GETPIVOTDATA("Sum of Old-HS % of Total",'Pivot-HS Student % of Undergrad'!$A$3,"State","TX","Category",2,"Category2","Four-Year")</f>
        <v>1.6577800633339648E-3</v>
      </c>
      <c r="F27" s="186">
        <f>+GETPIVOTDATA("Undergrad Student Credit Hour  FTE - Old",'FTE Pivot for regular counts'!$A$2,"State","TX","Category",3,"Category2","Four-Year")</f>
        <v>144902.46666666667</v>
      </c>
      <c r="G27" s="167">
        <f>+GETPIVOTDATA("Sum of Old-HS % of Total",'Pivot-HS Student % of Undergrad'!$A$3,"State","TX","Category",3,"Category2","Four-Year")</f>
        <v>7.7983489584028242E-3</v>
      </c>
      <c r="H27" s="186">
        <f>+GETPIVOTDATA("Undergrad Student Credit Hour  FTE - Old",'FTE Pivot for regular counts'!$A$2,"State","TX","Category",4,"Category2","Four-Year")</f>
        <v>4268.6333333333332</v>
      </c>
      <c r="I27" s="211">
        <f>+GETPIVOTDATA("Sum of Old-HS % of Total",'Pivot-HS Student % of Undergrad'!$A$3,"State","TX","Category",4,"Category2","Four-Year")</f>
        <v>0</v>
      </c>
      <c r="J27" s="186">
        <f>+GETPIVOTDATA("Undergrad Student Credit Hour  FTE - Old",'FTE Pivot for regular counts'!$A$2,"State","TX","Category",5,"Category2","Four-Year")</f>
        <v>11772.633333333333</v>
      </c>
      <c r="K27" s="167">
        <f>+GETPIVOTDATA("Sum of Old-HS % of Total",'Pivot-HS Student % of Undergrad'!$A$3,"State","TX","Category",5,"Category2","Four-Year")</f>
        <v>1.9168750123874862E-3</v>
      </c>
      <c r="L27" s="186">
        <f>+GETPIVOTDATA("Undergrad Student Credit Hour  FTE - Old",'FTE Pivot for regular counts'!$A$2,"State","TX","Category",6,"Category2","Four-Year")</f>
        <v>1800.5</v>
      </c>
      <c r="M27" s="167">
        <f>+GETPIVOTDATA("Sum of Old-HS % of Total",'Pivot-HS Student % of Undergrad'!$A$3,"State","TX","Category",6,"Category2","Four-Year")</f>
        <v>0</v>
      </c>
      <c r="N27" s="186">
        <f>+GETPIVOTDATA("Undergrad Student Credit Hour  FTE - Old",'FTE Pivot for regular counts'!$A$2,"State","TX","Category2","Four-Year")</f>
        <v>385820.2333333334</v>
      </c>
      <c r="O27" s="167">
        <f>+GETPIVOTDATA("Sum of Old-HS % of Total",'Pivot-HS Student % of Undergrad'!$A$3,"State","TX","Category2","Group1")</f>
        <v>3.3331585253823307E-3</v>
      </c>
    </row>
    <row r="28" spans="1:15" ht="15" customHeight="1">
      <c r="A28" s="1" t="s">
        <v>78</v>
      </c>
      <c r="B28" s="5">
        <f>+GETPIVOTDATA("Undergrad Student Credit Hour  FTE - Old",'FTE Pivot for regular counts'!$A$2,"State","VA","Category",1,"Category2","Four-Year")</f>
        <v>77227.7</v>
      </c>
      <c r="C28" s="167">
        <f>+GETPIVOTDATA("Sum of Old-HS % of Total",'Pivot-HS Student % of Undergrad'!$A$3,"State","VA","Category",1,"Category2","Four-Year")</f>
        <v>1.1931383860108917E-2</v>
      </c>
      <c r="D28" s="186">
        <f>+GETPIVOTDATA("Undergrad Student Credit Hour  FTE - Old",'FTE Pivot for regular counts'!$A$2,"State","VA","Category",2,"Category2","Four-Year")</f>
        <v>28005.95</v>
      </c>
      <c r="E28" s="167">
        <f>+GETPIVOTDATA("Sum of Old-HS % of Total",'Pivot-HS Student % of Undergrad'!$A$3,"State","VA","Category",2,"Category2","Four-Year")</f>
        <v>9.2837414906475225E-3</v>
      </c>
      <c r="F28" s="186">
        <f>+GETPIVOTDATA("Undergrad Student Credit Hour  FTE - Old",'FTE Pivot for regular counts'!$A$2,"State","VA","Category",3,"Category2","Four-Year")</f>
        <v>45944.566666666666</v>
      </c>
      <c r="G28" s="167">
        <f>+GETPIVOTDATA("Sum of Old-HS % of Total",'Pivot-HS Student % of Undergrad'!$A$3,"State","VA","Category",3,"Category2","Four-Year")</f>
        <v>4.6686695633941485E-3</v>
      </c>
      <c r="H28" s="186">
        <f>+GETPIVOTDATA("Undergrad Student Credit Hour  FTE - Old",'FTE Pivot for regular counts'!$A$2,"State","VA","Category",4,"Category2","Four-Year")</f>
        <v>0</v>
      </c>
      <c r="I28" s="211">
        <f>+GETPIVOTDATA("Sum of Old-HS % of Total",'Pivot-HS Student % of Undergrad'!$A$3,"State","VA","Category",4,"Category2","Four-Year")</f>
        <v>0</v>
      </c>
      <c r="J28" s="186">
        <f>+GETPIVOTDATA("Undergrad Student Credit Hour  FTE - Old",'FTE Pivot for regular counts'!$A$2,"State","VA","Category",5,"Category2","Four-Year")</f>
        <v>4810.7</v>
      </c>
      <c r="K28" s="211">
        <f>+GETPIVOTDATA("Sum of Old-HS % of Total",'Pivot-HS Student % of Undergrad'!$A$3,"State","VA","Category",5,"Category2","Four-Year")</f>
        <v>1.1086397682942884E-4</v>
      </c>
      <c r="L28" s="186">
        <f>+GETPIVOTDATA("Undergrad Student Credit Hour  FTE - Old",'FTE Pivot for regular counts'!$A$2,"State","VA","Category",6,"Category2","Four-Year")</f>
        <v>1794.5666666666666</v>
      </c>
      <c r="M28" s="211">
        <f>+GETPIVOTDATA("Sum of Old-HS % of Total",'Pivot-HS Student % of Undergrad'!$A$3,"State","VA","Category",6,"Category2","Four-Year")</f>
        <v>4.829392425283727E-4</v>
      </c>
      <c r="N28" s="186">
        <f>+GETPIVOTDATA("Undergrad Student Credit Hour  FTE - Old",'FTE Pivot for regular counts'!$A$2,"State","VA","Category2","Four-Year")</f>
        <v>157783.48333333337</v>
      </c>
      <c r="O28" s="167">
        <f>+GETPIVOTDATA("Sum of Old-HS % of Total",'Pivot-HS Student % of Undergrad'!$A$3,"State","VA","Category2","Group1")</f>
        <v>8.8560177771036235E-3</v>
      </c>
    </row>
    <row r="29" spans="1:15" s="25" customFormat="1" ht="15" customHeight="1">
      <c r="A29" s="3" t="s">
        <v>79</v>
      </c>
      <c r="B29" s="6">
        <f>+GETPIVOTDATA("Undergrad Student Credit Hour  FTE - Old",'FTE Pivot for regular counts'!$A$2,"State","WV","Category",1,"Category2","Four-Year")</f>
        <v>22047.233333333334</v>
      </c>
      <c r="C29" s="168">
        <f>+GETPIVOTDATA("Sum of Old-HS % of Total",'Pivot-HS Student % of Undergrad'!$A$3,"State","WV","Category",1,"Category2","Four-Year")</f>
        <v>5.0543000860274233E-3</v>
      </c>
      <c r="D29" s="187">
        <f>+GETPIVOTDATA("Undergrad Student Credit Hour  FTE - Old",'FTE Pivot for regular counts'!$A$2,"State","WV","Category",2,"Category2","Four-Year")</f>
        <v>0</v>
      </c>
      <c r="E29" s="168">
        <f>+GETPIVOTDATA("Sum of Old-HS % of Total",'Pivot-HS Student % of Undergrad'!$A$3,"State","WV","Category",2,"Category2","Four-Year")</f>
        <v>0</v>
      </c>
      <c r="F29" s="187">
        <f>+GETPIVOTDATA("Undergrad Student Credit Hour  FTE - Old",'FTE Pivot for regular counts'!$A$2,"State","WV","Category",3,"Category2","Four-Year")</f>
        <v>8802</v>
      </c>
      <c r="G29" s="168">
        <f>+GETPIVOTDATA("Sum of Old-HS % of Total",'Pivot-HS Student % of Undergrad'!$A$3,"State","WV","Category",3,"Category2","Four-Year")</f>
        <v>1.5962281299704614E-2</v>
      </c>
      <c r="H29" s="187">
        <f>+GETPIVOTDATA("Undergrad Student Credit Hour  FTE - Old",'FTE Pivot for regular counts'!$A$2,"State","WV","Category",4,"Category2","Four-Year")</f>
        <v>0</v>
      </c>
      <c r="I29" s="168">
        <f>+GETPIVOTDATA("Sum of Old-HS % of Total",'Pivot-HS Student % of Undergrad'!$A$3,"State","WV","Category",4,"Category2","Four-Year")</f>
        <v>0</v>
      </c>
      <c r="J29" s="187">
        <f>+GETPIVOTDATA("Undergrad Student Credit Hour  FTE - Old",'FTE Pivot for regular counts'!$A$2,"State","WV","Category",5,"Category2","Four-Year")</f>
        <v>7587.6333333333332</v>
      </c>
      <c r="K29" s="238">
        <f>+GETPIVOTDATA("Sum of Old-HS % of Total",'Pivot-HS Student % of Undergrad'!$A$3,"State","WV","Category",5,"Category2","Four-Year")</f>
        <v>6.238220964815555E-4</v>
      </c>
      <c r="L29" s="187">
        <f>+GETPIVOTDATA("Undergrad Student Credit Hour  FTE - Old",'FTE Pivot for regular counts'!$A$2,"State","WV","Category",6,"Category2","Four-Year")</f>
        <v>11475.570000000002</v>
      </c>
      <c r="M29" s="168">
        <f>+GETPIVOTDATA("Sum of Old-HS % of Total",'Pivot-HS Student % of Undergrad'!$A$3,"State","WV","Category",6,"Category2","Four-Year")</f>
        <v>2.2979250703886605E-2</v>
      </c>
      <c r="N29" s="187">
        <f>+GETPIVOTDATA("Undergrad Student Credit Hour  FTE - Old",'FTE Pivot for regular counts'!$A$2,"State","WV","Category2","Four-Year")</f>
        <v>49912.436666666668</v>
      </c>
      <c r="O29" s="168">
        <f>+GETPIVOTDATA("Sum of Old-HS % of Total",'Pivot-HS Student % of Undergrad'!$A$3,"State","WV","Category2","Group1")</f>
        <v>1.0425591323899166E-2</v>
      </c>
    </row>
    <row r="30" spans="1:15" ht="23.25" customHeight="1">
      <c r="A30" s="835" t="s">
        <v>979</v>
      </c>
      <c r="B30" s="836"/>
      <c r="C30" s="836"/>
      <c r="D30" s="836"/>
      <c r="E30" s="836"/>
      <c r="F30" s="836"/>
      <c r="G30" s="836"/>
      <c r="H30" s="836"/>
      <c r="I30" s="837"/>
      <c r="J30" s="837"/>
      <c r="K30" s="837"/>
      <c r="L30" s="837"/>
      <c r="M30" s="837"/>
      <c r="N30" s="837"/>
      <c r="O30" s="837"/>
    </row>
    <row r="31" spans="1:15">
      <c r="A31" s="49"/>
      <c r="B31" s="50"/>
      <c r="C31" s="50"/>
      <c r="D31" s="50"/>
      <c r="E31" s="50"/>
      <c r="F31" s="50"/>
      <c r="G31" s="50"/>
      <c r="H31" s="1"/>
      <c r="J31" s="124"/>
      <c r="K31" s="124"/>
      <c r="L31" s="124"/>
      <c r="M31" s="193"/>
      <c r="N31" s="48"/>
      <c r="O31" s="169" t="s">
        <v>982</v>
      </c>
    </row>
    <row r="32" spans="1:15" ht="18">
      <c r="A32" s="41" t="s">
        <v>164</v>
      </c>
      <c r="B32" s="43"/>
      <c r="C32" s="43"/>
      <c r="D32" s="43"/>
      <c r="E32" s="43"/>
      <c r="F32" s="51"/>
      <c r="G32" s="43"/>
      <c r="H32" s="110"/>
      <c r="I32" s="50"/>
      <c r="J32" s="124"/>
      <c r="K32" s="124"/>
      <c r="L32" s="124"/>
      <c r="M32" s="193"/>
      <c r="N32" s="48"/>
    </row>
    <row r="33" spans="1:14" ht="15.75">
      <c r="A33" s="43"/>
      <c r="B33" s="43"/>
      <c r="C33" s="43"/>
      <c r="D33" s="43"/>
      <c r="E33" s="43"/>
      <c r="F33" s="43"/>
      <c r="G33" s="43"/>
      <c r="H33" s="110"/>
      <c r="I33" s="50"/>
      <c r="J33" s="124"/>
      <c r="K33" s="124"/>
      <c r="L33" s="124"/>
      <c r="M33" s="193"/>
      <c r="N33" s="48"/>
    </row>
    <row r="34" spans="1:14" ht="15.75">
      <c r="A34" s="43" t="s">
        <v>33</v>
      </c>
      <c r="B34" s="43"/>
      <c r="C34" s="43"/>
      <c r="D34" s="43"/>
      <c r="E34" s="43"/>
      <c r="F34" s="43"/>
      <c r="G34" s="43"/>
      <c r="H34" s="110"/>
      <c r="I34" s="50"/>
      <c r="J34" s="124"/>
      <c r="K34" s="124"/>
      <c r="L34" s="124"/>
      <c r="M34" s="193"/>
      <c r="N34" s="48"/>
    </row>
    <row r="35" spans="1:14" ht="15.75">
      <c r="A35" s="43" t="s">
        <v>974</v>
      </c>
      <c r="B35" s="43"/>
      <c r="C35" s="43"/>
      <c r="D35" s="43"/>
      <c r="E35" s="43"/>
      <c r="F35" s="43"/>
      <c r="G35" s="43"/>
      <c r="H35" s="110"/>
    </row>
    <row r="37" spans="1:14" ht="15" customHeight="1">
      <c r="A37" s="52"/>
      <c r="B37" s="52" t="s">
        <v>62</v>
      </c>
      <c r="C37" s="52"/>
      <c r="D37" s="52"/>
      <c r="E37" s="52"/>
      <c r="F37" s="52"/>
      <c r="G37" s="52"/>
      <c r="H37" s="111"/>
    </row>
    <row r="38" spans="1:14" ht="15" customHeight="1">
      <c r="A38" s="53"/>
      <c r="B38" s="46">
        <v>1</v>
      </c>
      <c r="C38" s="46">
        <v>2</v>
      </c>
      <c r="D38" s="46">
        <v>3</v>
      </c>
      <c r="E38" s="46">
        <v>4</v>
      </c>
      <c r="F38" s="46">
        <v>5</v>
      </c>
      <c r="G38" s="54">
        <v>6</v>
      </c>
      <c r="H38" s="93" t="s">
        <v>30</v>
      </c>
    </row>
    <row r="39" spans="1:14" ht="15" customHeight="1">
      <c r="A39" s="1" t="s">
        <v>64</v>
      </c>
      <c r="B39" s="11">
        <f>+GETPIVOTDATA("Graduate FTE - Old",'FTE Pivot for regular counts'!$A$2,"Category",1,"Category2","Four-Year")</f>
        <v>215681.97916666666</v>
      </c>
      <c r="C39" s="11">
        <f>+GETPIVOTDATA("Graduate FTE - Old",'FTE Pivot for regular counts'!$A$2,"Category",2,"Category2","Four-Year")</f>
        <v>52125.833333333336</v>
      </c>
      <c r="D39" s="11">
        <f>+GETPIVOTDATA("Graduate FTE - Old",'FTE Pivot for regular counts'!$A$2,"Category",3,"Category2","Four-Year")</f>
        <v>86143.5</v>
      </c>
      <c r="E39" s="11">
        <f>+GETPIVOTDATA("Graduate FTE - Old",'FTE Pivot for regular counts'!$A$2,"Category",4,"Category2","Four-Year")</f>
        <v>20623.208333333332</v>
      </c>
      <c r="F39" s="11">
        <f>+GETPIVOTDATA("Graduate FTE - Old",'FTE Pivot for regular counts'!$A$2,"Category",5,"Category2","Four-Year")</f>
        <v>9316.4166666666661</v>
      </c>
      <c r="G39" s="12">
        <f>+GETPIVOTDATA("Graduate FTE - Old",'FTE Pivot for regular counts'!$A$2,"Category",6,"Category2","Four-Year")</f>
        <v>841.20833333333337</v>
      </c>
      <c r="H39" s="112">
        <f>+GETPIVOTDATA("Graduate FTE - Old",'FTE Pivot for regular counts'!$A$2,"Category2","Four-Year")</f>
        <v>384732.14583333331</v>
      </c>
    </row>
    <row r="40" spans="1:14" ht="15" customHeight="1">
      <c r="B40" s="11"/>
      <c r="C40" s="11"/>
      <c r="D40" s="11"/>
      <c r="E40" s="11"/>
      <c r="F40" s="11"/>
      <c r="G40" s="12"/>
      <c r="H40" s="112"/>
    </row>
    <row r="41" spans="1:14" ht="15" customHeight="1">
      <c r="A41" s="1" t="s">
        <v>65</v>
      </c>
      <c r="B41" s="33">
        <f>+GETPIVOTDATA("Graduate FTE - Old",'FTE Pivot for regular counts'!$A$2,"State","AL","Category",1,"Category2","Four-Year")</f>
        <v>8067.4166666666661</v>
      </c>
      <c r="C41" s="33">
        <f>+GETPIVOTDATA("Graduate FTE - Old",'FTE Pivot for regular counts'!$A$2,"State","AL","Category",2,"Category2","Four-Year")</f>
        <v>2932.5</v>
      </c>
      <c r="D41" s="33">
        <f>+GETPIVOTDATA("Graduate FTE - Old",'FTE Pivot for regular counts'!$A$2,"State","AL","Category",3,"Category2","Four-Year")</f>
        <v>3607.875</v>
      </c>
      <c r="E41" s="33">
        <f>+GETPIVOTDATA("Graduate FTE - Old",'FTE Pivot for regular counts'!$A$2,"State","AL","Category",4,"Category2","Four-Year")</f>
        <v>1764.375</v>
      </c>
      <c r="F41" s="33">
        <f>+GETPIVOTDATA("Graduate FTE - Old",'FTE Pivot for regular counts'!$A$2,"State","AL","Category",5,"Category2","Four-Year")</f>
        <v>2235.4166666666665</v>
      </c>
      <c r="G41" s="12">
        <f>+GETPIVOTDATA("Graduate FTE - Old",'FTE Pivot for regular counts'!$A$2,"State","AL","Category",6,"Category2","Four-Year")</f>
        <v>0</v>
      </c>
      <c r="H41" s="113">
        <f>+GETPIVOTDATA("Graduate FTE - Old",'FTE Pivot for regular counts'!$A$2,"State","AL","Category2","Four-Year")</f>
        <v>18607.583333333332</v>
      </c>
    </row>
    <row r="42" spans="1:14" ht="15" customHeight="1">
      <c r="A42" s="4" t="s">
        <v>66</v>
      </c>
      <c r="B42" s="33">
        <f>+GETPIVOTDATA("Graduate FTE - Old",'FTE Pivot for regular counts'!$A$2,"State","AR","Category",1,"Category2","Four-Year")</f>
        <v>3217.0416666666665</v>
      </c>
      <c r="C42" s="33">
        <f>+GETPIVOTDATA("Graduate FTE - Old",'FTE Pivot for regular counts'!$A$2,"State","AR","Category",2,"Category2","Four-Year")</f>
        <v>0</v>
      </c>
      <c r="D42" s="33">
        <f>+GETPIVOTDATA("Graduate FTE - Old",'FTE Pivot for regular counts'!$A$2,"State","AR","Category",3,"Category2","Four-Year")</f>
        <v>7172.666666666667</v>
      </c>
      <c r="E42" s="33">
        <f>+GETPIVOTDATA("Graduate FTE - Old",'FTE Pivot for regular counts'!$A$2,"State","AR","Category",4,"Category2","Four-Year")</f>
        <v>668.125</v>
      </c>
      <c r="F42" s="33">
        <f>+GETPIVOTDATA("Graduate FTE - Old",'FTE Pivot for regular counts'!$A$2,"State","AR","Category",5,"Category2","Four-Year")</f>
        <v>89.25</v>
      </c>
      <c r="G42" s="12">
        <f>+GETPIVOTDATA("Graduate FTE - Old",'FTE Pivot for regular counts'!$A$2,"State","AR","Category",6,"Category2","Four-Year")</f>
        <v>68</v>
      </c>
      <c r="H42" s="113">
        <f>+GETPIVOTDATA("Graduate FTE - Old",'FTE Pivot for regular counts'!$A$2,"State","AR","Category2","Four-Year")</f>
        <v>11215.083333333334</v>
      </c>
    </row>
    <row r="43" spans="1:14" ht="15" customHeight="1">
      <c r="A43" s="1" t="s">
        <v>102</v>
      </c>
      <c r="B43" s="33">
        <f>+GETPIVOTDATA("Graduate FTE - Old",'FTE Pivot for regular counts'!$A$2,"State","DE","Category",1,"Category2","Four-Year")</f>
        <v>2123.1666666666665</v>
      </c>
      <c r="C43" s="33">
        <f>+GETPIVOTDATA("Graduate FTE - Old",'FTE Pivot for regular counts'!$A$2,"State","DE","Category",2,"Category2","Four-Year")</f>
        <v>0</v>
      </c>
      <c r="D43" s="33">
        <f>+GETPIVOTDATA("Graduate FTE - Old",'FTE Pivot for regular counts'!$A$2,"State","DE","Category",3,"Category2","Four-Year")</f>
        <v>189.04166666666666</v>
      </c>
      <c r="E43" s="33">
        <f>+GETPIVOTDATA("Graduate FTE - Old",'FTE Pivot for regular counts'!$A$2,"State","DE","Category",4,"Category2","Four-Year")</f>
        <v>0</v>
      </c>
      <c r="F43" s="33">
        <f>+GETPIVOTDATA("Graduate FTE - Old",'FTE Pivot for regular counts'!$A$2,"State","DE","Category",5,"Category2","Four-Year")</f>
        <v>0</v>
      </c>
      <c r="G43" s="12">
        <f>+GETPIVOTDATA("Graduate FTE - Old",'FTE Pivot for regular counts'!$A$2,"State","DE","Category",6,"Category2","Four-Year")</f>
        <v>0</v>
      </c>
      <c r="H43" s="113">
        <f>+GETPIVOTDATA("Graduate FTE - Old",'FTE Pivot for regular counts'!$A$2,"State","DE","Category2","Four-Year")</f>
        <v>2312.208333333333</v>
      </c>
      <c r="N43" s="95"/>
    </row>
    <row r="44" spans="1:14" ht="15" customHeight="1">
      <c r="A44" s="1" t="s">
        <v>67</v>
      </c>
      <c r="B44" s="33">
        <f>+GETPIVOTDATA("Graduate FTE - Old",'FTE Pivot for regular counts'!$A$2,"State","FL","Category",1,"Category2","Four-Year")</f>
        <v>43967.291666666664</v>
      </c>
      <c r="C44" s="33">
        <f>+GETPIVOTDATA("Graduate FTE - Old",'FTE Pivot for regular counts'!$A$2,"State","FL","Category",2,"Category2","Four-Year")</f>
        <v>3312.4166666666665</v>
      </c>
      <c r="D44" s="33">
        <f>+GETPIVOTDATA("Graduate FTE - Old",'FTE Pivot for regular counts'!$A$2,"State","FL","Category",3,"Category2","Four-Year")</f>
        <v>4806.4375</v>
      </c>
      <c r="E44" s="33">
        <f>+GETPIVOTDATA("Graduate FTE - Old",'FTE Pivot for regular counts'!$A$2,"State","FL","Category",4,"Category2","Four-Year")</f>
        <v>938.375</v>
      </c>
      <c r="F44" s="33">
        <f>+GETPIVOTDATA("Graduate FTE - Old",'FTE Pivot for regular counts'!$A$2,"State","FL","Category",5,"Category2","Four-Year")</f>
        <v>0</v>
      </c>
      <c r="G44" s="12">
        <f>+GETPIVOTDATA("Graduate FTE - Old",'FTE Pivot for regular counts'!$A$2,"State","FL","Category",6,"Category2","Four-Year")</f>
        <v>0</v>
      </c>
      <c r="H44" s="113">
        <f>+GETPIVOTDATA("Graduate FTE - Old",'FTE Pivot for regular counts'!$A$2,"State","FL","Category2","Four-Year")</f>
        <v>53024.520833333328</v>
      </c>
    </row>
    <row r="45" spans="1:14" ht="15" customHeight="1">
      <c r="B45" s="33"/>
      <c r="C45" s="33"/>
      <c r="D45" s="33"/>
      <c r="E45" s="33"/>
      <c r="F45" s="33"/>
      <c r="G45" s="12"/>
      <c r="H45" s="113"/>
    </row>
    <row r="46" spans="1:14" ht="15" customHeight="1">
      <c r="A46" s="1" t="s">
        <v>68</v>
      </c>
      <c r="B46" s="33">
        <f>+GETPIVOTDATA("Graduate FTE - Old",'FTE Pivot for regular counts'!$A$2,"State","GA","Category",1,"Category2","Four-Year")</f>
        <v>19525.5</v>
      </c>
      <c r="C46" s="33">
        <f>+GETPIVOTDATA("Graduate FTE - Old",'FTE Pivot for regular counts'!$A$2,"State","GA","Category",2,"Category2","Four-Year")</f>
        <v>9755.6458333333339</v>
      </c>
      <c r="D46" s="33">
        <f>+GETPIVOTDATA("Graduate FTE - Old",'FTE Pivot for regular counts'!$A$2,"State","GA","Category",3,"Category2","Four-Year")</f>
        <v>6297.916666666667</v>
      </c>
      <c r="E46" s="33">
        <f>+GETPIVOTDATA("Graduate FTE - Old",'FTE Pivot for regular counts'!$A$2,"State","GA","Category",4,"Category2","Four-Year")</f>
        <v>3577.8333333333335</v>
      </c>
      <c r="F46" s="33">
        <f>+GETPIVOTDATA("Graduate FTE - Old",'FTE Pivot for regular counts'!$A$2,"State","GA","Category",5,"Category2","Four-Year")</f>
        <v>825.50000000000011</v>
      </c>
      <c r="G46" s="12">
        <f>+GETPIVOTDATA("Graduate FTE - Old",'FTE Pivot for regular counts'!$A$2,"State","GA","Category",6,"Category2","Four-Year")</f>
        <v>0</v>
      </c>
      <c r="H46" s="113">
        <f>+GETPIVOTDATA("Graduate FTE - Old",'FTE Pivot for regular counts'!$A$2,"State","GA","Category2","Four-Year")</f>
        <v>39982.395833333336</v>
      </c>
    </row>
    <row r="47" spans="1:14" ht="15" customHeight="1">
      <c r="A47" s="1" t="s">
        <v>69</v>
      </c>
      <c r="B47" s="33">
        <f>+GETPIVOTDATA("Graduate FTE - Old",'FTE Pivot for regular counts'!$A$2,"State","KY","Category",1,"Category2","Four-Year")</f>
        <v>6743.958333333333</v>
      </c>
      <c r="C47" s="33">
        <f>+GETPIVOTDATA("Graduate FTE - Old",'FTE Pivot for regular counts'!$A$2,"State","KY","Category",2,"Category2","Four-Year")</f>
        <v>0</v>
      </c>
      <c r="D47" s="33">
        <f>+GETPIVOTDATA("Graduate FTE - Old",'FTE Pivot for regular counts'!$A$2,"State","KY","Category",3,"Category2","Four-Year")</f>
        <v>5717.25</v>
      </c>
      <c r="E47" s="33">
        <f>+GETPIVOTDATA("Graduate FTE - Old",'FTE Pivot for regular counts'!$A$2,"State","KY","Category",4,"Category2","Four-Year")</f>
        <v>1811.0416666666667</v>
      </c>
      <c r="F47" s="33">
        <f>+GETPIVOTDATA("Graduate FTE - Old",'FTE Pivot for regular counts'!$A$2,"State","KY","Category",5,"Category2","Four-Year")</f>
        <v>0</v>
      </c>
      <c r="G47" s="12">
        <f>+GETPIVOTDATA("Graduate FTE - Old",'FTE Pivot for regular counts'!$A$2,"State","KY","Category",6,"Category2","Four-Year")</f>
        <v>0</v>
      </c>
      <c r="H47" s="113">
        <f>+GETPIVOTDATA("Graduate FTE - Old",'FTE Pivot for regular counts'!$A$2,"State","KY","Category2","Four-Year")</f>
        <v>14272.249999999998</v>
      </c>
    </row>
    <row r="48" spans="1:14" ht="15" customHeight="1">
      <c r="A48" s="1" t="s">
        <v>70</v>
      </c>
      <c r="B48" s="33">
        <f>+GETPIVOTDATA("Graduate FTE - Old",'FTE Pivot for regular counts'!$A$2,"State","LA","Category",1,"Category2","Four-Year")</f>
        <v>5620.166666666667</v>
      </c>
      <c r="C48" s="33">
        <f>+GETPIVOTDATA("Graduate FTE - Old",'FTE Pivot for regular counts'!$A$2,"State","LA","Category",2,"Category2","Four-Year")</f>
        <v>4100.083333333333</v>
      </c>
      <c r="D48" s="33">
        <f>+GETPIVOTDATA("Graduate FTE - Old",'FTE Pivot for regular counts'!$A$2,"State","LA","Category",3,"Category2","Four-Year")</f>
        <v>4149.541666666667</v>
      </c>
      <c r="E48" s="33">
        <f>+GETPIVOTDATA("Graduate FTE - Old",'FTE Pivot for regular counts'!$A$2,"State","LA","Category",4,"Category2","Four-Year")</f>
        <v>2713.708333333333</v>
      </c>
      <c r="F48" s="33">
        <f>+GETPIVOTDATA("Graduate FTE - Old",'FTE Pivot for regular counts'!$A$2,"State","LA","Category",5,"Category2","Four-Year")</f>
        <v>0</v>
      </c>
      <c r="G48" s="12">
        <f>+GETPIVOTDATA("Graduate FTE - Old",'FTE Pivot for regular counts'!$A$2,"State","LA","Category",6,"Category2","Four-Year")</f>
        <v>0</v>
      </c>
      <c r="H48" s="113">
        <f>+GETPIVOTDATA("Graduate FTE - Old",'FTE Pivot for regular counts'!$A$2,"State","LA","Category2","Four-Year")</f>
        <v>16583.5</v>
      </c>
    </row>
    <row r="49" spans="1:10" ht="15" customHeight="1">
      <c r="A49" s="1" t="s">
        <v>71</v>
      </c>
      <c r="B49" s="33">
        <f>+GETPIVOTDATA("Graduate FTE - Old",'FTE Pivot for regular counts'!$A$2,"State","MD","Category",1,"Category2","Four-Year")</f>
        <v>6631.75</v>
      </c>
      <c r="C49" s="33">
        <f>+GETPIVOTDATA("Graduate FTE - Old",'FTE Pivot for regular counts'!$A$2,"State","MD","Category",2,"Category2","Four-Year")</f>
        <v>2358.8333333333335</v>
      </c>
      <c r="D49" s="33">
        <f>+GETPIVOTDATA("Graduate FTE - Old",'FTE Pivot for regular counts'!$A$2,"State","MD","Category",3,"Category2","Four-Year")</f>
        <v>2368.6666666666665</v>
      </c>
      <c r="E49" s="33">
        <f>+GETPIVOTDATA("Graduate FTE - Old",'FTE Pivot for regular counts'!$A$2,"State","MD","Category",4,"Category2","Four-Year")</f>
        <v>4655.916666666667</v>
      </c>
      <c r="F49" s="33">
        <f>+GETPIVOTDATA("Graduate FTE - Old",'FTE Pivot for regular counts'!$A$2,"State","MD","Category",5,"Category2","Four-Year")</f>
        <v>261.04166666666669</v>
      </c>
      <c r="G49" s="12">
        <f>+GETPIVOTDATA("Graduate FTE - Old",'FTE Pivot for regular counts'!$A$2,"State","MD","Category",6,"Category2","Four-Year")</f>
        <v>47.208333333333336</v>
      </c>
      <c r="H49" s="113">
        <f>+GETPIVOTDATA("Graduate FTE - Old",'FTE Pivot for regular counts'!$A$2,"State","MD","Category2","Four-Year")</f>
        <v>16323.416666666668</v>
      </c>
    </row>
    <row r="50" spans="1:10" ht="15" customHeight="1">
      <c r="B50" s="33"/>
      <c r="C50" s="33"/>
      <c r="D50" s="33"/>
      <c r="E50" s="33"/>
      <c r="F50" s="33"/>
      <c r="G50" s="12"/>
      <c r="H50" s="113"/>
    </row>
    <row r="51" spans="1:10" ht="15" customHeight="1">
      <c r="A51" s="1" t="s">
        <v>72</v>
      </c>
      <c r="B51" s="33">
        <f>+GETPIVOTDATA("Graduate FTE - Old",'FTE Pivot for regular counts'!$A$2,"State","MS","Category",1,"Category2","Four-Year")</f>
        <v>4886.8333333333339</v>
      </c>
      <c r="C51" s="33">
        <f>+GETPIVOTDATA("Graduate FTE - Old",'FTE Pivot for regular counts'!$A$2,"State","MS","Category",2,"Category2","Four-Year")</f>
        <v>3819.083333333333</v>
      </c>
      <c r="D51" s="33">
        <f>+GETPIVOTDATA("Graduate FTE - Old",'FTE Pivot for regular counts'!$A$2,"State","MS","Category",3,"Category2","Four-Year")</f>
        <v>0</v>
      </c>
      <c r="E51" s="33">
        <f>+GETPIVOTDATA("Graduate FTE - Old",'FTE Pivot for regular counts'!$A$2,"State","MS","Category",4,"Category2","Four-Year")</f>
        <v>1893.5416666666665</v>
      </c>
      <c r="F51" s="33">
        <f>+GETPIVOTDATA("Graduate FTE - Old",'FTE Pivot for regular counts'!$A$2,"State","MS","Category",5,"Category2","Four-Year")</f>
        <v>162.25</v>
      </c>
      <c r="G51" s="12">
        <f>+GETPIVOTDATA("Graduate FTE - Old",'FTE Pivot for regular counts'!$A$2,"State","MS","Category",6,"Category2","Four-Year")</f>
        <v>0</v>
      </c>
      <c r="H51" s="113">
        <f>+GETPIVOTDATA("Graduate FTE - Old",'FTE Pivot for regular counts'!$A$2,"State","MS","Category2","Four-Year")</f>
        <v>10761.708333333334</v>
      </c>
    </row>
    <row r="52" spans="1:10" ht="15" customHeight="1">
      <c r="A52" s="1" t="s">
        <v>73</v>
      </c>
      <c r="B52" s="33">
        <f>+GETPIVOTDATA("Graduate FTE - Old",'FTE Pivot for regular counts'!$A$2,"State","NC","Category",1,"Category2","Four-Year")</f>
        <v>16793.041666666668</v>
      </c>
      <c r="C52" s="33">
        <f>+GETPIVOTDATA("Graduate FTE - Old",'FTE Pivot for regular counts'!$A$2,"State","NC","Category",2,"Category2","Four-Year")</f>
        <v>6800.916666666667</v>
      </c>
      <c r="D52" s="33">
        <f>+GETPIVOTDATA("Graduate FTE - Old",'FTE Pivot for regular counts'!$A$2,"State","NC","Category",3,"Category2","Four-Year")</f>
        <v>6605.666666666667</v>
      </c>
      <c r="E52" s="33">
        <f>+GETPIVOTDATA("Graduate FTE - Old",'FTE Pivot for regular counts'!$A$2,"State","NC","Category",4,"Category2","Four-Year")</f>
        <v>473.83333333333331</v>
      </c>
      <c r="F52" s="33">
        <f>+GETPIVOTDATA("Graduate FTE - Old",'FTE Pivot for regular counts'!$A$2,"State","NC","Category",5,"Category2","Four-Year")</f>
        <v>952.91666666666674</v>
      </c>
      <c r="G52" s="12">
        <f>+GETPIVOTDATA("Graduate FTE - Old",'FTE Pivot for regular counts'!$A$2,"State","NC","Category",6,"Category2","Four-Year")</f>
        <v>107.54166666666666</v>
      </c>
      <c r="H52" s="113">
        <f>+GETPIVOTDATA("Graduate FTE - Old",'FTE Pivot for regular counts'!$A$2,"State","NC","Category2","Four-Year")</f>
        <v>31733.916666666672</v>
      </c>
    </row>
    <row r="53" spans="1:10" ht="15" customHeight="1">
      <c r="A53" s="1" t="s">
        <v>74</v>
      </c>
      <c r="B53" s="33">
        <f>+GETPIVOTDATA("Graduate FTE - Old",'FTE Pivot for regular counts'!$A$2,"State","OK","Category",1,"Category2","Four-Year")</f>
        <v>6118.75</v>
      </c>
      <c r="C53" s="33">
        <f>+GETPIVOTDATA("Graduate FTE - Old",'FTE Pivot for regular counts'!$A$2,"State","OK","Category",2,"Category2","Four-Year")</f>
        <v>0</v>
      </c>
      <c r="D53" s="33">
        <f>+GETPIVOTDATA("Graduate FTE - Old",'FTE Pivot for regular counts'!$A$2,"State","OK","Category",3,"Category2","Four-Year")</f>
        <v>1907.1666666666667</v>
      </c>
      <c r="E53" s="33">
        <f>+GETPIVOTDATA("Graduate FTE - Old",'FTE Pivot for regular counts'!$A$2,"State","OK","Category",4,"Category2","Four-Year")</f>
        <v>254.75</v>
      </c>
      <c r="F53" s="33">
        <f>+GETPIVOTDATA("Graduate FTE - Old",'FTE Pivot for regular counts'!$A$2,"State","OK","Category",5,"Category2","Four-Year")</f>
        <v>2035.0833333333333</v>
      </c>
      <c r="G53" s="12">
        <f>+GETPIVOTDATA("Graduate FTE - Old",'FTE Pivot for regular counts'!$A$2,"State","OK","Category",6,"Category2","Four-Year")</f>
        <v>0</v>
      </c>
      <c r="H53" s="113">
        <f>+GETPIVOTDATA("Graduate FTE - Old",'FTE Pivot for regular counts'!$A$2,"State","OK","Category2","Four-Year")</f>
        <v>10315.750000000002</v>
      </c>
    </row>
    <row r="54" spans="1:10" ht="15" customHeight="1">
      <c r="A54" s="1" t="s">
        <v>75</v>
      </c>
      <c r="B54" s="33">
        <f>+GETPIVOTDATA("Graduate FTE - Old",'FTE Pivot for regular counts'!$A$2,"State","SC","Category",1,"Category2","Four-Year")</f>
        <v>8018.458333333333</v>
      </c>
      <c r="C54" s="33">
        <f>+GETPIVOTDATA("Graduate FTE - Old",'FTE Pivot for regular counts'!$A$2,"State","SC","Category",2,"Category2","Four-Year")</f>
        <v>0</v>
      </c>
      <c r="D54" s="33">
        <f>+GETPIVOTDATA("Graduate FTE - Old",'FTE Pivot for regular counts'!$A$2,"State","SC","Category",3,"Category2","Four-Year")</f>
        <v>2111.1458333333335</v>
      </c>
      <c r="E54" s="33">
        <f>+GETPIVOTDATA("Graduate FTE - Old",'FTE Pivot for regular counts'!$A$2,"State","SC","Category",4,"Category2","Four-Year")</f>
        <v>0</v>
      </c>
      <c r="F54" s="33">
        <f>+GETPIVOTDATA("Graduate FTE - Old",'FTE Pivot for regular counts'!$A$2,"State","SC","Category",5,"Category2","Four-Year")</f>
        <v>1016.8333333333333</v>
      </c>
      <c r="G54" s="12">
        <f>+GETPIVOTDATA("Graduate FTE - Old",'FTE Pivot for regular counts'!$A$2,"State","SC","Category",6,"Category2","Four-Year")</f>
        <v>203.04166666666669</v>
      </c>
      <c r="H54" s="113">
        <f>+GETPIVOTDATA("Graduate FTE - Old",'FTE Pivot for regular counts'!$A$2,"State","SC","Category2","Four-Year")</f>
        <v>11349.479166666666</v>
      </c>
    </row>
    <row r="55" spans="1:10" ht="15" customHeight="1">
      <c r="B55" s="33"/>
      <c r="C55" s="33"/>
      <c r="D55" s="33"/>
      <c r="E55" s="33"/>
      <c r="F55" s="33"/>
      <c r="G55" s="12"/>
      <c r="H55" s="113"/>
    </row>
    <row r="56" spans="1:10" ht="15" customHeight="1">
      <c r="A56" s="1" t="s">
        <v>76</v>
      </c>
      <c r="B56" s="33">
        <f>+GETPIVOTDATA("Graduate FTE - Old",'FTE Pivot for regular counts'!$A$2,"State","TN","Category",1,"Category2","Four-Year")</f>
        <v>8463.375</v>
      </c>
      <c r="C56" s="33">
        <f>+GETPIVOTDATA("Graduate FTE - Old",'FTE Pivot for regular counts'!$A$2,"State","TN","Category",2,"Category2","Four-Year")</f>
        <v>1462.0833333333333</v>
      </c>
      <c r="D56" s="33">
        <f>+GETPIVOTDATA("Graduate FTE - Old",'FTE Pivot for regular counts'!$A$2,"State","TN","Category",3,"Category2","Four-Year")</f>
        <v>6419.1250000000009</v>
      </c>
      <c r="E56" s="33">
        <f>+GETPIVOTDATA("Graduate FTE - Old",'FTE Pivot for regular counts'!$A$2,"State","TN","Category",4,"Category2","Four-Year")</f>
        <v>0</v>
      </c>
      <c r="F56" s="33">
        <f>+GETPIVOTDATA("Graduate FTE - Old",'FTE Pivot for regular counts'!$A$2,"State","TN","Category",5,"Category2","Four-Year")</f>
        <v>283.04166666666669</v>
      </c>
      <c r="G56" s="12">
        <f>+GETPIVOTDATA("Graduate FTE - Old",'FTE Pivot for regular counts'!$A$2,"State","TN","Category",6,"Category2","Four-Year")</f>
        <v>0</v>
      </c>
      <c r="H56" s="113">
        <f>+GETPIVOTDATA("Graduate FTE - Old",'FTE Pivot for regular counts'!$A$2,"State","TN","Category2","Four-Year")</f>
        <v>16627.625000000004</v>
      </c>
    </row>
    <row r="57" spans="1:10" ht="15" customHeight="1">
      <c r="A57" s="1" t="s">
        <v>77</v>
      </c>
      <c r="B57" s="33">
        <f>+GETPIVOTDATA("Graduate FTE - Old",'FTE Pivot for regular counts'!$A$2,"State","TX","Category",1,"Category2","Four-Year")</f>
        <v>46131.041666666664</v>
      </c>
      <c r="C57" s="33">
        <f>+GETPIVOTDATA("Graduate FTE - Old",'FTE Pivot for regular counts'!$A$2,"State","TX","Category",2,"Category2","Four-Year")</f>
        <v>9504.1666666666679</v>
      </c>
      <c r="D57" s="33">
        <f>+GETPIVOTDATA("Graduate FTE - Old",'FTE Pivot for regular counts'!$A$2,"State","TX","Category",3,"Category2","Four-Year")</f>
        <v>28472.75</v>
      </c>
      <c r="E57" s="33">
        <f>+GETPIVOTDATA("Graduate FTE - Old",'FTE Pivot for regular counts'!$A$2,"State","TX","Category",4,"Category2","Four-Year")</f>
        <v>1871.7083333333333</v>
      </c>
      <c r="F57" s="33">
        <f>+GETPIVOTDATA("Graduate FTE - Old",'FTE Pivot for regular counts'!$A$2,"State","TX","Category",5,"Category2","Four-Year")</f>
        <v>933.58333333333337</v>
      </c>
      <c r="G57" s="12">
        <f>+GETPIVOTDATA("Graduate FTE - Old",'FTE Pivot for regular counts'!$A$2,"State","TX","Category",6,"Category2","Four-Year")</f>
        <v>62</v>
      </c>
      <c r="H57" s="113">
        <f>+GETPIVOTDATA("Graduate FTE - Old",'FTE Pivot for regular counts'!$A$2,"State","TX","Category2","Four-Year")</f>
        <v>86975.249999999985</v>
      </c>
    </row>
    <row r="58" spans="1:10" ht="15" customHeight="1">
      <c r="A58" s="1" t="s">
        <v>78</v>
      </c>
      <c r="B58" s="33">
        <f>+GETPIVOTDATA("Graduate FTE - Old",'FTE Pivot for regular counts'!$A$2,"State","VA","Category",1,"Category2","Four-Year")</f>
        <v>24512.729166666668</v>
      </c>
      <c r="C58" s="33">
        <f>+GETPIVOTDATA("Graduate FTE - Old",'FTE Pivot for regular counts'!$A$2,"State","VA","Category",2,"Category2","Four-Year")</f>
        <v>8080.1041666666661</v>
      </c>
      <c r="D58" s="33">
        <f>+GETPIVOTDATA("Graduate FTE - Old",'FTE Pivot for regular counts'!$A$2,"State","VA","Category",3,"Category2","Four-Year")</f>
        <v>4006.416666666667</v>
      </c>
      <c r="E58" s="33">
        <f>+GETPIVOTDATA("Graduate FTE - Old",'FTE Pivot for regular counts'!$A$2,"State","VA","Category",4,"Category2","Four-Year")</f>
        <v>0</v>
      </c>
      <c r="F58" s="33">
        <f>+GETPIVOTDATA("Graduate FTE - Old",'FTE Pivot for regular counts'!$A$2,"State","VA","Category",5,"Category2","Four-Year")</f>
        <v>172.54166666666666</v>
      </c>
      <c r="G58" s="12">
        <f>+GETPIVOTDATA("Graduate FTE - Old",'FTE Pivot for regular counts'!$A$2,"State","VA","Category",6,"Category2","Four-Year")</f>
        <v>0</v>
      </c>
      <c r="H58" s="113">
        <f>+GETPIVOTDATA("Graduate FTE - Old",'FTE Pivot for regular counts'!$A$2,"State","VA","Category2","Four-Year")</f>
        <v>36771.791666666664</v>
      </c>
    </row>
    <row r="59" spans="1:10" ht="15" customHeight="1">
      <c r="A59" s="3" t="s">
        <v>79</v>
      </c>
      <c r="B59" s="13">
        <f>+GETPIVOTDATA("Graduate FTE - Old",'FTE Pivot for regular counts'!$A$2,"State","WV","Category",1,"Category2","Four-Year")</f>
        <v>4861.458333333333</v>
      </c>
      <c r="C59" s="13">
        <f>+GETPIVOTDATA("Graduate FTE - Old",'FTE Pivot for regular counts'!$A$2,"State","WV","Category",2,"Category2","Four-Year")</f>
        <v>0</v>
      </c>
      <c r="D59" s="13">
        <f>+GETPIVOTDATA("Graduate FTE - Old",'FTE Pivot for regular counts'!$A$2,"State","WV","Category",3,"Category2","Four-Year")</f>
        <v>2311.8333333333335</v>
      </c>
      <c r="E59" s="13">
        <f>+GETPIVOTDATA("Graduate FTE - Old",'FTE Pivot for regular counts'!$A$2,"State","WV","Category",4,"Category2","Four-Year")</f>
        <v>0</v>
      </c>
      <c r="F59" s="13">
        <f>+GETPIVOTDATA("Graduate FTE - Old",'FTE Pivot for regular counts'!$A$2,"State","WV","Category",5,"Category2","Four-Year")</f>
        <v>348.95833333333331</v>
      </c>
      <c r="G59" s="14">
        <f>+GETPIVOTDATA("Graduate FTE - Old",'FTE Pivot for regular counts'!$A$2,"State","WV","Category",6,"Category2","Four-Year")</f>
        <v>353.41666666666669</v>
      </c>
      <c r="H59" s="114">
        <f>+GETPIVOTDATA("Graduate FTE - Old",'FTE Pivot for regular counts'!$A$2,"State","WV","Category2","Four-Year")</f>
        <v>7875.6666666666661</v>
      </c>
    </row>
    <row r="60" spans="1:10" ht="46.5" customHeight="1">
      <c r="A60" s="835" t="s">
        <v>980</v>
      </c>
      <c r="B60" s="842"/>
      <c r="C60" s="842"/>
      <c r="D60" s="842"/>
      <c r="E60" s="842"/>
      <c r="F60" s="842"/>
      <c r="G60" s="842"/>
      <c r="H60" s="842"/>
    </row>
    <row r="61" spans="1:10">
      <c r="A61" s="49"/>
      <c r="B61" s="50"/>
      <c r="C61" s="50"/>
      <c r="D61" s="50"/>
      <c r="E61" s="50"/>
      <c r="F61" s="50"/>
      <c r="G61" s="50"/>
      <c r="H61" s="169" t="s">
        <v>982</v>
      </c>
    </row>
    <row r="62" spans="1:10">
      <c r="A62" s="49"/>
      <c r="B62" s="50"/>
      <c r="C62" s="50"/>
      <c r="D62" s="50"/>
      <c r="E62" s="50"/>
      <c r="F62" s="50"/>
      <c r="G62" s="50"/>
      <c r="H62" s="169"/>
    </row>
    <row r="63" spans="1:10" ht="18">
      <c r="A63" s="41" t="s">
        <v>165</v>
      </c>
      <c r="B63" s="41"/>
      <c r="C63" s="41"/>
      <c r="D63" s="41"/>
      <c r="E63" s="41"/>
      <c r="F63" s="41"/>
      <c r="G63" s="41"/>
      <c r="H63" s="115"/>
      <c r="J63" s="228"/>
    </row>
    <row r="64" spans="1:10" ht="15.75">
      <c r="A64" s="55"/>
      <c r="B64" s="43"/>
      <c r="C64" s="43"/>
      <c r="D64" s="43"/>
      <c r="E64" s="43"/>
      <c r="F64" s="43"/>
      <c r="G64" s="43"/>
      <c r="H64" s="110"/>
    </row>
    <row r="65" spans="1:8" ht="15.75">
      <c r="A65" s="43" t="s">
        <v>36</v>
      </c>
      <c r="B65" s="43"/>
      <c r="C65" s="43"/>
      <c r="D65" s="43"/>
      <c r="E65" s="43"/>
      <c r="F65" s="43"/>
      <c r="G65" s="43"/>
      <c r="H65" s="110"/>
    </row>
    <row r="66" spans="1:8" ht="15.75">
      <c r="A66" s="43" t="s">
        <v>974</v>
      </c>
      <c r="B66" s="43"/>
      <c r="C66" s="43"/>
      <c r="D66" s="43"/>
      <c r="E66" s="43"/>
      <c r="F66" s="43"/>
      <c r="G66" s="43"/>
      <c r="H66" s="110"/>
    </row>
    <row r="67" spans="1:8" ht="15.75">
      <c r="A67" s="43"/>
      <c r="B67" s="43"/>
      <c r="C67" s="43"/>
      <c r="D67" s="43"/>
      <c r="E67" s="43"/>
      <c r="F67" s="43"/>
      <c r="G67" s="43"/>
      <c r="H67" s="110"/>
    </row>
    <row r="68" spans="1:8" ht="15" customHeight="1">
      <c r="A68" s="52"/>
      <c r="B68" s="52" t="s">
        <v>62</v>
      </c>
      <c r="C68" s="52"/>
      <c r="D68" s="52"/>
      <c r="E68" s="52"/>
      <c r="F68" s="52"/>
      <c r="G68" s="52"/>
      <c r="H68" s="111"/>
    </row>
    <row r="69" spans="1:8" ht="15" customHeight="1">
      <c r="A69" s="53"/>
      <c r="B69" s="46">
        <v>1</v>
      </c>
      <c r="C69" s="46">
        <v>2</v>
      </c>
      <c r="D69" s="46">
        <v>3</v>
      </c>
      <c r="E69" s="46">
        <v>4</v>
      </c>
      <c r="F69" s="46">
        <v>5</v>
      </c>
      <c r="G69" s="54">
        <v>6</v>
      </c>
      <c r="H69" s="93" t="s">
        <v>30</v>
      </c>
    </row>
    <row r="70" spans="1:8" ht="15" customHeight="1">
      <c r="A70" s="1" t="s">
        <v>64</v>
      </c>
      <c r="B70" s="11">
        <f>+'OLD Tables'!B9+'OLD Tables'!B39</f>
        <v>1083610.1924999999</v>
      </c>
      <c r="C70" s="11">
        <f>+'OLD Tables'!D9+'OLD Tables'!C39</f>
        <v>283191.03333333333</v>
      </c>
      <c r="D70" s="11">
        <f>+'OLD Tables'!F9+'OLD Tables'!D39</f>
        <v>666247.21666666667</v>
      </c>
      <c r="E70" s="11">
        <f>+'OLD Tables'!H9+'OLD Tables'!E39</f>
        <v>173425.55833333338</v>
      </c>
      <c r="F70" s="11">
        <f>+'OLD Tables'!J9+'OLD Tables'!F39</f>
        <v>108208.98333333334</v>
      </c>
      <c r="G70" s="12">
        <f>+'OLD Tables'!L9+'OLD Tables'!G39</f>
        <v>74969.545333333328</v>
      </c>
      <c r="H70" s="112">
        <f>+'OLD Tables'!N9+'OLD Tables'!H39</f>
        <v>2389652.5295000002</v>
      </c>
    </row>
    <row r="71" spans="1:8" ht="15" customHeight="1">
      <c r="B71" s="11"/>
      <c r="C71" s="11"/>
      <c r="D71" s="11"/>
      <c r="E71" s="11"/>
      <c r="F71" s="11"/>
      <c r="G71" s="12"/>
      <c r="H71" s="112"/>
    </row>
    <row r="72" spans="1:8" ht="15" customHeight="1">
      <c r="A72" s="1" t="s">
        <v>65</v>
      </c>
      <c r="B72" s="33">
        <f>+'OLD Tables'!B11+'OLD Tables'!B41</f>
        <v>53859.35</v>
      </c>
      <c r="C72" s="33">
        <f>+'OLD Tables'!D11+'OLD Tables'!C41</f>
        <v>17000.633333333335</v>
      </c>
      <c r="D72" s="33">
        <f>+'OLD Tables'!F11+'OLD Tables'!D41</f>
        <v>33249.074999999997</v>
      </c>
      <c r="E72" s="33">
        <f>+'OLD Tables'!H11+'OLD Tables'!E41</f>
        <v>15831.808333333332</v>
      </c>
      <c r="F72" s="33">
        <f>+'OLD Tables'!J11+'OLD Tables'!F41</f>
        <v>6426.8166666666657</v>
      </c>
      <c r="G72" s="12">
        <f>+'OLD Tables'!L11+'OLD Tables'!G41</f>
        <v>2786.2</v>
      </c>
      <c r="H72" s="113">
        <f>+'OLD Tables'!N11+'OLD Tables'!H41</f>
        <v>129153.88333333332</v>
      </c>
    </row>
    <row r="73" spans="1:8" ht="15" customHeight="1">
      <c r="A73" s="4" t="s">
        <v>66</v>
      </c>
      <c r="B73" s="33">
        <f>+'OLD Tables'!B12+'OLD Tables'!B42</f>
        <v>22204.841666666667</v>
      </c>
      <c r="C73" s="33">
        <f>+'OLD Tables'!D12+'OLD Tables'!C42</f>
        <v>0</v>
      </c>
      <c r="D73" s="33">
        <f>+'OLD Tables'!F12+'OLD Tables'!D42</f>
        <v>40469.633333333331</v>
      </c>
      <c r="E73" s="33">
        <f>+'OLD Tables'!H12+'OLD Tables'!E42</f>
        <v>6580.458333333333</v>
      </c>
      <c r="F73" s="33">
        <f>+'OLD Tables'!J12+'OLD Tables'!F42</f>
        <v>2442.7166666666667</v>
      </c>
      <c r="G73" s="12">
        <f>+'OLD Tables'!L12+'OLD Tables'!G42</f>
        <v>8688.7999999999993</v>
      </c>
      <c r="H73" s="113">
        <f>+'OLD Tables'!N12+'OLD Tables'!H42</f>
        <v>80386.45</v>
      </c>
    </row>
    <row r="74" spans="1:8" ht="15" customHeight="1">
      <c r="A74" s="1" t="s">
        <v>102</v>
      </c>
      <c r="B74" s="33">
        <f>+'OLD Tables'!B13+'OLD Tables'!B43</f>
        <v>20083.466666666667</v>
      </c>
      <c r="C74" s="33">
        <f>+'OLD Tables'!D13+'OLD Tables'!C43</f>
        <v>0</v>
      </c>
      <c r="D74" s="33">
        <f>+'OLD Tables'!F13+'OLD Tables'!D43</f>
        <v>3856.8083333333334</v>
      </c>
      <c r="E74" s="1">
        <f>+'OLD Tables'!H13+'OLD Tables'!E43</f>
        <v>0</v>
      </c>
      <c r="F74" s="33">
        <f>+'OLD Tables'!J13+'OLD Tables'!F43</f>
        <v>0</v>
      </c>
      <c r="G74" s="12">
        <f>+'OLD Tables'!L13+'OLD Tables'!G43</f>
        <v>0</v>
      </c>
      <c r="H74" s="1">
        <f>+'OLD Tables'!N13+'OLD Tables'!H43</f>
        <v>23940.274999999998</v>
      </c>
    </row>
    <row r="75" spans="1:8" ht="15" customHeight="1">
      <c r="A75" s="1" t="s">
        <v>67</v>
      </c>
      <c r="B75" s="33">
        <f>+'OLD Tables'!B14+'OLD Tables'!B44</f>
        <v>223426.89166666666</v>
      </c>
      <c r="C75" s="33">
        <f>+'OLD Tables'!D14+'OLD Tables'!C44</f>
        <v>23872.583333333336</v>
      </c>
      <c r="D75" s="33">
        <f>+'OLD Tables'!F14+'OLD Tables'!D44</f>
        <v>36164.337499999994</v>
      </c>
      <c r="E75" s="33">
        <f>+'OLD Tables'!H14+'OLD Tables'!E44</f>
        <v>11085.408333333333</v>
      </c>
      <c r="F75" s="33">
        <f>+'OLD Tables'!J14+'OLD Tables'!F44</f>
        <v>0</v>
      </c>
      <c r="G75" s="12">
        <f>+'OLD Tables'!L14+'OLD Tables'!G44</f>
        <v>950.66666666666663</v>
      </c>
      <c r="H75" s="113">
        <f>+'OLD Tables'!N14+'OLD Tables'!H44</f>
        <v>295499.88749999995</v>
      </c>
    </row>
    <row r="76" spans="1:8" ht="15" customHeight="1">
      <c r="B76" s="33"/>
      <c r="C76" s="33"/>
      <c r="D76" s="33"/>
      <c r="E76" s="33"/>
      <c r="F76" s="33"/>
      <c r="G76" s="12"/>
      <c r="H76" s="113"/>
    </row>
    <row r="77" spans="1:8" ht="15" customHeight="1">
      <c r="A77" s="1" t="s">
        <v>68</v>
      </c>
      <c r="B77" s="33">
        <f>+'OLD Tables'!B16+'OLD Tables'!B46</f>
        <v>66344.78</v>
      </c>
      <c r="C77" s="33">
        <f>+'OLD Tables'!D16+'OLD Tables'!C46</f>
        <v>23886.579166666666</v>
      </c>
      <c r="D77" s="33">
        <f>+'OLD Tables'!F16+'OLD Tables'!D46</f>
        <v>62039.049999999996</v>
      </c>
      <c r="E77" s="33">
        <f>+'OLD Tables'!H16+'OLD Tables'!E46</f>
        <v>41471.250000000007</v>
      </c>
      <c r="F77" s="33">
        <f>+'OLD Tables'!J16+'OLD Tables'!F46</f>
        <v>16035.800000000001</v>
      </c>
      <c r="G77" s="12">
        <f>+'OLD Tables'!L16+'OLD Tables'!G46</f>
        <v>18748.966666666667</v>
      </c>
      <c r="H77" s="113">
        <f>+'OLD Tables'!N16+'OLD Tables'!H46</f>
        <v>228526.42583333334</v>
      </c>
    </row>
    <row r="78" spans="1:8" ht="15" customHeight="1">
      <c r="A78" s="1" t="s">
        <v>69</v>
      </c>
      <c r="B78" s="33">
        <f>+'OLD Tables'!B17+'OLD Tables'!B47</f>
        <v>39001.558333333334</v>
      </c>
      <c r="C78" s="33">
        <f>+'OLD Tables'!D17+'OLD Tables'!C47</f>
        <v>0</v>
      </c>
      <c r="D78" s="33">
        <f>+'OLD Tables'!F17+'OLD Tables'!D47</f>
        <v>47130.55</v>
      </c>
      <c r="E78" s="33">
        <f>+'OLD Tables'!H17+'OLD Tables'!E47</f>
        <v>14897.941666666666</v>
      </c>
      <c r="F78" s="33">
        <f>+'OLD Tables'!J17+'OLD Tables'!F47</f>
        <v>0</v>
      </c>
      <c r="G78" s="12">
        <f>+'OLD Tables'!L17+'OLD Tables'!G47</f>
        <v>0</v>
      </c>
      <c r="H78" s="113">
        <f>+'OLD Tables'!N17+'OLD Tables'!H47</f>
        <v>101030.04999999999</v>
      </c>
    </row>
    <row r="79" spans="1:8" ht="15" customHeight="1">
      <c r="A79" s="1" t="s">
        <v>70</v>
      </c>
      <c r="B79" s="33">
        <f>+'OLD Tables'!B18+'OLD Tables'!B48</f>
        <v>29787.066666666669</v>
      </c>
      <c r="C79" s="33">
        <f>+'OLD Tables'!D18+'OLD Tables'!C48</f>
        <v>32201.183333333331</v>
      </c>
      <c r="D79" s="33">
        <f>+'OLD Tables'!F18+'OLD Tables'!D48</f>
        <v>27385.174999999999</v>
      </c>
      <c r="E79" s="33">
        <f>+'OLD Tables'!H18+'OLD Tables'!E48</f>
        <v>32330.074999999997</v>
      </c>
      <c r="F79" s="33">
        <f>+'OLD Tables'!J18+'OLD Tables'!F48</f>
        <v>0</v>
      </c>
      <c r="G79" s="12">
        <f>+'OLD Tables'!L18+'OLD Tables'!G48</f>
        <v>1724.3</v>
      </c>
      <c r="H79" s="113">
        <f>+'OLD Tables'!N18+'OLD Tables'!H48</f>
        <v>123427.8</v>
      </c>
    </row>
    <row r="80" spans="1:8" ht="15" customHeight="1">
      <c r="A80" s="1" t="s">
        <v>71</v>
      </c>
      <c r="B80" s="33">
        <f>+'OLD Tables'!B19+'OLD Tables'!B49</f>
        <v>32984.25</v>
      </c>
      <c r="C80" s="33">
        <f>+'OLD Tables'!D19+'OLD Tables'!C49</f>
        <v>18814.833333333332</v>
      </c>
      <c r="D80" s="33">
        <f>+'OLD Tables'!F19+'OLD Tables'!D49</f>
        <v>19576.7</v>
      </c>
      <c r="E80" s="33">
        <f>+'OLD Tables'!H19+'OLD Tables'!E49</f>
        <v>27107.75</v>
      </c>
      <c r="F80" s="33">
        <f>+'OLD Tables'!J19+'OLD Tables'!F49</f>
        <v>3117.4749999999999</v>
      </c>
      <c r="G80" s="12">
        <f>+'OLD Tables'!L19+'OLD Tables'!G49</f>
        <v>2169.4416666666666</v>
      </c>
      <c r="H80" s="113">
        <f>+'OLD Tables'!N19+'OLD Tables'!H49</f>
        <v>103770.45000000001</v>
      </c>
    </row>
    <row r="81" spans="1:13" ht="15" customHeight="1">
      <c r="B81" s="33"/>
      <c r="C81" s="33"/>
      <c r="D81" s="33"/>
      <c r="E81" s="33"/>
      <c r="F81" s="33"/>
      <c r="G81" s="12"/>
      <c r="H81" s="113"/>
    </row>
    <row r="82" spans="1:13" ht="15" customHeight="1">
      <c r="A82" s="1" t="s">
        <v>72</v>
      </c>
      <c r="B82" s="33">
        <f>+'OLD Tables'!B21+'OLD Tables'!B51</f>
        <v>31555.833333333336</v>
      </c>
      <c r="C82" s="33">
        <f>+'OLD Tables'!D21+'OLD Tables'!C51</f>
        <v>24769.533333333333</v>
      </c>
      <c r="D82" s="33">
        <f>+'OLD Tables'!F21+'OLD Tables'!D51</f>
        <v>0</v>
      </c>
      <c r="E82" s="33">
        <f>+'OLD Tables'!H21+'OLD Tables'!E51</f>
        <v>9117.0083333333332</v>
      </c>
      <c r="F82" s="33">
        <f>+'OLD Tables'!J21+'OLD Tables'!F51</f>
        <v>2439.5500000000002</v>
      </c>
      <c r="G82" s="12">
        <f>+'OLD Tables'!L21+'OLD Tables'!G51</f>
        <v>0</v>
      </c>
      <c r="H82" s="113">
        <f>+'OLD Tables'!N21+'OLD Tables'!H51</f>
        <v>67881.925000000003</v>
      </c>
    </row>
    <row r="83" spans="1:13" ht="15" customHeight="1">
      <c r="A83" s="1" t="s">
        <v>73</v>
      </c>
      <c r="B83" s="33">
        <f>+'OLD Tables'!B22+'OLD Tables'!B52</f>
        <v>71298.941666666666</v>
      </c>
      <c r="C83" s="33">
        <f>+'OLD Tables'!D22+'OLD Tables'!C52</f>
        <v>45222.816666666666</v>
      </c>
      <c r="D83" s="33">
        <f>+'OLD Tables'!F22+'OLD Tables'!D52</f>
        <v>56682.5</v>
      </c>
      <c r="E83" s="33">
        <f>+'OLD Tables'!H22+'OLD Tables'!E52</f>
        <v>5434.5666666666666</v>
      </c>
      <c r="F83" s="33">
        <f>+'OLD Tables'!J22+'OLD Tables'!F52</f>
        <v>11212.55</v>
      </c>
      <c r="G83" s="12">
        <f>+'OLD Tables'!L22+'OLD Tables'!G52</f>
        <v>6191.6750000000002</v>
      </c>
      <c r="H83" s="113">
        <f>+'OLD Tables'!N22+'OLD Tables'!H52</f>
        <v>196043.05</v>
      </c>
    </row>
    <row r="84" spans="1:13" ht="15" customHeight="1">
      <c r="A84" s="1" t="s">
        <v>74</v>
      </c>
      <c r="B84" s="33">
        <f>+'OLD Tables'!B23+'OLD Tables'!B53</f>
        <v>49176.75</v>
      </c>
      <c r="C84" s="33">
        <f>+'OLD Tables'!D23+'OLD Tables'!C53</f>
        <v>0</v>
      </c>
      <c r="D84" s="33">
        <f>+'OLD Tables'!F23+'OLD Tables'!D53</f>
        <v>20785.333333333336</v>
      </c>
      <c r="E84" s="33">
        <f>+'OLD Tables'!H23+'OLD Tables'!E53</f>
        <v>3428.95</v>
      </c>
      <c r="F84" s="33">
        <f>+'OLD Tables'!J23+'OLD Tables'!F53</f>
        <v>17593.849999999999</v>
      </c>
      <c r="G84" s="12">
        <f>+'OLD Tables'!L23+'OLD Tables'!G53</f>
        <v>5902.5999999999995</v>
      </c>
      <c r="H84" s="113">
        <f>+'OLD Tables'!N23+'OLD Tables'!H53</f>
        <v>96887.483333333337</v>
      </c>
    </row>
    <row r="85" spans="1:13" ht="15" customHeight="1">
      <c r="A85" s="1" t="s">
        <v>75</v>
      </c>
      <c r="B85" s="33">
        <f>+'OLD Tables'!B24+'OLD Tables'!B54</f>
        <v>47437.758333333339</v>
      </c>
      <c r="C85" s="33">
        <f>+'OLD Tables'!D24+'OLD Tables'!C54</f>
        <v>0</v>
      </c>
      <c r="D85" s="33">
        <f>+'OLD Tables'!F24+'OLD Tables'!D54</f>
        <v>20161.662499999999</v>
      </c>
      <c r="E85" s="33">
        <f>+'OLD Tables'!H24+'OLD Tables'!E54</f>
        <v>0</v>
      </c>
      <c r="F85" s="33">
        <f>+'OLD Tables'!J24+'OLD Tables'!F54</f>
        <v>16275.333333333334</v>
      </c>
      <c r="G85" s="12">
        <f>+'OLD Tables'!L24+'OLD Tables'!G54</f>
        <v>12320.841999999999</v>
      </c>
      <c r="H85" s="113">
        <f>+'OLD Tables'!N24+'OLD Tables'!H54</f>
        <v>96195.59616666667</v>
      </c>
    </row>
    <row r="86" spans="1:13" ht="15" customHeight="1">
      <c r="B86" s="33"/>
      <c r="C86" s="33"/>
      <c r="D86" s="33"/>
      <c r="E86" s="33"/>
      <c r="F86" s="33"/>
      <c r="G86" s="12"/>
      <c r="H86" s="113"/>
    </row>
    <row r="87" spans="1:13" ht="15" customHeight="1">
      <c r="A87" s="1" t="s">
        <v>76</v>
      </c>
      <c r="B87" s="33">
        <f>+'OLD Tables'!B26+'OLD Tables'!B56</f>
        <v>42928.941666666666</v>
      </c>
      <c r="C87" s="33">
        <f>+'OLD Tables'!D26+'OLD Tables'!C56</f>
        <v>7496.25</v>
      </c>
      <c r="D87" s="33">
        <f>+'OLD Tables'!F26+'OLD Tables'!D56</f>
        <v>64306.35833333333</v>
      </c>
      <c r="E87" s="33">
        <f>+'OLD Tables'!H26+'OLD Tables'!E56</f>
        <v>0</v>
      </c>
      <c r="F87" s="33">
        <f>+'OLD Tables'!J26+'OLD Tables'!F56</f>
        <v>7038.8416666666672</v>
      </c>
      <c r="G87" s="12">
        <f>+'OLD Tables'!L26+'OLD Tables'!G56</f>
        <v>0</v>
      </c>
      <c r="H87" s="113">
        <f>+'OLD Tables'!N26+'OLD Tables'!H56</f>
        <v>121770.39166666666</v>
      </c>
    </row>
    <row r="88" spans="1:13" ht="15" customHeight="1">
      <c r="A88" s="1" t="s">
        <v>77</v>
      </c>
      <c r="B88" s="33">
        <f>+'OLD Tables'!B27+'OLD Tables'!B57</f>
        <v>224870.64166666666</v>
      </c>
      <c r="C88" s="33">
        <f>+'OLD Tables'!D27+'OLD Tables'!C57</f>
        <v>53840.566666666666</v>
      </c>
      <c r="D88" s="33">
        <f>+'OLD Tables'!F27+'OLD Tables'!D57</f>
        <v>173375.21666666667</v>
      </c>
      <c r="E88" s="33">
        <f>+'OLD Tables'!H27+'OLD Tables'!E57</f>
        <v>6140.3416666666662</v>
      </c>
      <c r="F88" s="33">
        <f>+'OLD Tables'!J27+'OLD Tables'!F57</f>
        <v>12706.216666666667</v>
      </c>
      <c r="G88" s="12">
        <f>+'OLD Tables'!L27+'OLD Tables'!G57</f>
        <v>1862.5</v>
      </c>
      <c r="H88" s="113">
        <f>+'OLD Tables'!N27+'OLD Tables'!H57</f>
        <v>472795.4833333334</v>
      </c>
    </row>
    <row r="89" spans="1:13" ht="15" customHeight="1">
      <c r="A89" s="1" t="s">
        <v>78</v>
      </c>
      <c r="B89" s="33">
        <f>+'OLD Tables'!B28+'OLD Tables'!B58</f>
        <v>101740.42916666667</v>
      </c>
      <c r="C89" s="33">
        <f>+'OLD Tables'!D28+'OLD Tables'!C58</f>
        <v>36086.054166666669</v>
      </c>
      <c r="D89" s="33">
        <f>+'OLD Tables'!F28+'OLD Tables'!D58</f>
        <v>49950.98333333333</v>
      </c>
      <c r="E89" s="33">
        <f>+'OLD Tables'!H28+'OLD Tables'!E58</f>
        <v>0</v>
      </c>
      <c r="F89" s="33">
        <f>+'OLD Tables'!J28+'OLD Tables'!F58</f>
        <v>4983.2416666666668</v>
      </c>
      <c r="G89" s="12">
        <f>+'OLD Tables'!L28+'OLD Tables'!G58</f>
        <v>1794.5666666666666</v>
      </c>
      <c r="H89" s="113">
        <f>+'OLD Tables'!N28+'OLD Tables'!H58</f>
        <v>194555.27500000002</v>
      </c>
    </row>
    <row r="90" spans="1:13" ht="15" customHeight="1">
      <c r="A90" s="3" t="s">
        <v>79</v>
      </c>
      <c r="B90" s="13">
        <f>+'OLD Tables'!B29+'OLD Tables'!B59</f>
        <v>26908.691666666666</v>
      </c>
      <c r="C90" s="13">
        <f>+'OLD Tables'!D29+'OLD Tables'!C59</f>
        <v>0</v>
      </c>
      <c r="D90" s="13">
        <f>+'OLD Tables'!F29+'OLD Tables'!D59</f>
        <v>11113.833333333334</v>
      </c>
      <c r="E90" s="13">
        <f>+'OLD Tables'!H29+'OLD Tables'!E59</f>
        <v>0</v>
      </c>
      <c r="F90" s="13">
        <f>+'OLD Tables'!J29+'OLD Tables'!F59</f>
        <v>7936.5916666666662</v>
      </c>
      <c r="G90" s="14">
        <f>+'OLD Tables'!L29+'OLD Tables'!G59</f>
        <v>11828.986666666668</v>
      </c>
      <c r="H90" s="114">
        <f>+'OLD Tables'!N29+'OLD Tables'!H59</f>
        <v>57788.103333333333</v>
      </c>
    </row>
    <row r="91" spans="1:13" ht="51.75" customHeight="1">
      <c r="A91" s="835" t="s">
        <v>981</v>
      </c>
      <c r="B91" s="842"/>
      <c r="C91" s="842"/>
      <c r="D91" s="842"/>
      <c r="E91" s="842"/>
      <c r="F91" s="842"/>
      <c r="G91" s="842"/>
      <c r="H91" s="842"/>
    </row>
    <row r="92" spans="1:13">
      <c r="A92" s="49"/>
      <c r="B92" s="50"/>
      <c r="C92" s="50"/>
      <c r="D92" s="50"/>
      <c r="E92" s="50"/>
      <c r="F92" s="50"/>
      <c r="G92" s="50"/>
      <c r="H92" s="169" t="s">
        <v>982</v>
      </c>
    </row>
    <row r="93" spans="1:13" ht="18">
      <c r="A93" s="838" t="s">
        <v>166</v>
      </c>
      <c r="B93" s="838"/>
      <c r="C93" s="838"/>
      <c r="D93" s="838"/>
      <c r="E93" s="838"/>
      <c r="F93" s="838"/>
      <c r="G93" s="838"/>
      <c r="H93" s="838"/>
      <c r="I93" s="838"/>
      <c r="J93" s="838"/>
      <c r="K93" s="268"/>
      <c r="L93" s="268"/>
      <c r="M93" s="178"/>
    </row>
    <row r="94" spans="1:13" ht="15.75">
      <c r="A94" s="21"/>
      <c r="B94" s="21"/>
      <c r="C94" s="21"/>
      <c r="D94" s="21"/>
      <c r="E94" s="21"/>
      <c r="F94" s="21"/>
      <c r="G94" s="21"/>
      <c r="H94" s="105"/>
      <c r="I94" s="21"/>
      <c r="J94" s="105"/>
      <c r="K94" s="105"/>
      <c r="L94" s="105"/>
      <c r="M94" s="198"/>
    </row>
    <row r="95" spans="1:13" ht="15.75">
      <c r="A95" s="839" t="s">
        <v>34</v>
      </c>
      <c r="B95" s="839"/>
      <c r="C95" s="839"/>
      <c r="D95" s="839"/>
      <c r="E95" s="839"/>
      <c r="F95" s="839"/>
      <c r="G95" s="839"/>
      <c r="H95" s="839"/>
      <c r="I95" s="839"/>
      <c r="J95" s="839"/>
      <c r="K95" s="269"/>
      <c r="L95" s="269"/>
      <c r="M95" s="199"/>
    </row>
    <row r="96" spans="1:13" ht="15.75">
      <c r="A96" s="839" t="s">
        <v>975</v>
      </c>
      <c r="B96" s="839"/>
      <c r="C96" s="839"/>
      <c r="D96" s="839"/>
      <c r="E96" s="839"/>
      <c r="F96" s="839"/>
      <c r="G96" s="839"/>
      <c r="H96" s="839"/>
      <c r="I96" s="839"/>
      <c r="J96" s="839"/>
      <c r="K96" s="269"/>
      <c r="L96" s="269"/>
      <c r="M96" s="199"/>
    </row>
    <row r="97" spans="1:13">
      <c r="B97" s="2"/>
      <c r="C97" s="2"/>
      <c r="D97" s="2"/>
      <c r="E97" s="2"/>
      <c r="F97" s="2"/>
      <c r="G97" s="2"/>
      <c r="H97" s="107"/>
      <c r="I97" s="2"/>
      <c r="J97" s="107"/>
      <c r="K97" s="107"/>
      <c r="L97" s="107"/>
      <c r="M97" s="191"/>
    </row>
    <row r="98" spans="1:13" ht="15" customHeight="1">
      <c r="A98" s="44"/>
      <c r="B98" s="56" t="s">
        <v>63</v>
      </c>
      <c r="C98" s="56"/>
      <c r="D98" s="27"/>
      <c r="E98" s="27"/>
      <c r="F98" s="28"/>
      <c r="G98" s="57" t="s">
        <v>45</v>
      </c>
      <c r="H98" s="91"/>
      <c r="I98" s="92"/>
      <c r="J98" s="170" t="s">
        <v>28</v>
      </c>
      <c r="K98" s="170" t="s">
        <v>28</v>
      </c>
      <c r="L98" s="228"/>
      <c r="M98" s="170"/>
    </row>
    <row r="99" spans="1:13" ht="24">
      <c r="A99" s="45"/>
      <c r="B99" s="58" t="s">
        <v>140</v>
      </c>
      <c r="C99" s="46">
        <v>1</v>
      </c>
      <c r="D99" s="46">
        <v>2</v>
      </c>
      <c r="E99" s="46">
        <v>3</v>
      </c>
      <c r="F99" s="59" t="s">
        <v>30</v>
      </c>
      <c r="G99" s="60">
        <v>1</v>
      </c>
      <c r="H99" s="94">
        <v>2</v>
      </c>
      <c r="I99" s="93" t="s">
        <v>30</v>
      </c>
      <c r="J99" s="123"/>
      <c r="K99" s="123"/>
      <c r="L99" s="123"/>
      <c r="M99" s="123"/>
    </row>
    <row r="100" spans="1:13" ht="15" customHeight="1">
      <c r="A100" s="1" t="s">
        <v>64</v>
      </c>
      <c r="B100" s="5">
        <f>+GETPIVOTDATA("Undergrad Student Credit Hour  FTE - Old",'FTE Pivot for regular counts'!$A$2,"Category","7","Category2","Two-Year")</f>
        <v>252019.83333333331</v>
      </c>
      <c r="C100" s="15">
        <f>+GETPIVOTDATA("Undergrad Student Credit Hour  FTE - Old",'FTE Pivot for regular counts'!$A$2,"Category","8","Category2","Two-Year")</f>
        <v>973652.60600000003</v>
      </c>
      <c r="D100" s="5">
        <f>+GETPIVOTDATA("Undergrad Student Credit Hour  FTE - Old",'FTE Pivot for regular counts'!$A$2,"Category","9","Category2","Two-Year")</f>
        <v>416846.61100000003</v>
      </c>
      <c r="E100" s="5">
        <f>+GETPIVOTDATA("Undergrad Student Credit Hour  FTE - Old",'FTE Pivot for regular counts'!$A$2,"Category","10","Category2","Two-Year")</f>
        <v>119348.05600000001</v>
      </c>
      <c r="F100" s="23">
        <f>+GETPIVOTDATA("Undergrad Student Credit Hour  FTE - Old",'FTE Pivot for regular counts'!$A$2,"Category2","Two-Year")</f>
        <v>1761867.1063333333</v>
      </c>
      <c r="G100" s="18">
        <f>+GETPIVOTDATA("Undergrad Student Credit Hour  FTE - Old",'FTE Pivot for regular counts'!$A$2,"Category","12","Category2","Technical")</f>
        <v>98090.19</v>
      </c>
      <c r="H100" s="103">
        <f>+GETPIVOTDATA("Undergrad Student Credit Hour  FTE - Old",'FTE Pivot for regular counts'!$A$2,"Category","13","Category2","Technical")</f>
        <v>2102.1333333333332</v>
      </c>
      <c r="I100" s="4">
        <f>+GETPIVOTDATA("Undergrad Student Credit Hour  FTE - Old",'FTE Pivot for regular counts'!$A$2,"Category2","Technical")</f>
        <v>100192.32333333333</v>
      </c>
      <c r="J100" s="73"/>
    </row>
    <row r="101" spans="1:13" ht="15" customHeight="1">
      <c r="B101" s="5"/>
      <c r="C101" s="15"/>
      <c r="D101" s="5"/>
      <c r="E101" s="5"/>
      <c r="F101" s="23"/>
      <c r="G101" s="18"/>
      <c r="H101" s="103"/>
      <c r="I101" s="4"/>
      <c r="J101" s="73"/>
    </row>
    <row r="102" spans="1:13" ht="15" customHeight="1">
      <c r="A102" s="1" t="s">
        <v>65</v>
      </c>
      <c r="B102" s="5">
        <f>+GETPIVOTDATA("Undergrad Student Credit Hour  FTE - Old",'FTE Pivot for regular counts'!$A$2,"State","AL","Category","7","Category2","Two-Year")</f>
        <v>0</v>
      </c>
      <c r="C102" s="15">
        <f>+GETPIVOTDATA("Undergrad Student Credit Hour  FTE - Old",'FTE Pivot for regular counts'!$A$2,"State","AL","Category","8","Category2","Two-Year")</f>
        <v>24454.633333333335</v>
      </c>
      <c r="D102" s="5">
        <f>+GETPIVOTDATA("Undergrad Student Credit Hour  FTE - Old",'FTE Pivot for regular counts'!$A$2,"State","AL","Category","9","Category2","Two-Year")</f>
        <v>34235.100000000006</v>
      </c>
      <c r="E102" s="5">
        <f>+GETPIVOTDATA("Undergrad Student Credit Hour  FTE - Old",'FTE Pivot for regular counts'!$A$2,"State","AL","Category","10","Category2","Two-Year")</f>
        <v>8541.4333333333343</v>
      </c>
      <c r="F102" s="23">
        <f>+GETPIVOTDATA("Undergrad Student Credit Hour  FTE - Old",'FTE Pivot for regular counts'!$A$2,"State","AL","Category2","Two-Year")</f>
        <v>67231.166666666672</v>
      </c>
      <c r="G102" s="18">
        <f>+GETPIVOTDATA("Undergrad Student Credit Hour  FTE - Old",'FTE Pivot for regular counts'!$A$2,"State","AL","Category","12","Category2","Technical")</f>
        <v>1349.2666666666667</v>
      </c>
      <c r="H102" s="103">
        <f>+GETPIVOTDATA("Undergrad Student Credit Hour  FTE - Old",'FTE Pivot for regular counts'!$A$2,"State","AL","Category","13","Category2","Technical")</f>
        <v>2102.1333333333332</v>
      </c>
      <c r="I102" s="4">
        <f>+GETPIVOTDATA("Undergrad Student Credit Hour  FTE - Old",'FTE Pivot for regular counts'!$A$2,"State","AL","Category2","Technical")</f>
        <v>3451.3999999999996</v>
      </c>
      <c r="J102" s="73"/>
    </row>
    <row r="103" spans="1:13" ht="15" customHeight="1">
      <c r="A103" s="4" t="s">
        <v>66</v>
      </c>
      <c r="B103" s="15">
        <f>+GETPIVOTDATA("Undergrad Student Credit Hour  FTE - Old",'FTE Pivot for regular counts'!$A$2,"State","AR","Category","7","Category2","Two-Year")</f>
        <v>0</v>
      </c>
      <c r="C103" s="15">
        <f>+GETPIVOTDATA("Undergrad Student Credit Hour  FTE - Old",'FTE Pivot for regular counts'!$A$2,"State","AR","Category","8","Category2","Two-Year")</f>
        <v>14203.233333333334</v>
      </c>
      <c r="D103" s="15">
        <f>+GETPIVOTDATA("Undergrad Student Credit Hour  FTE - Old",'FTE Pivot for regular counts'!$A$2,"State","AR","Category","9","Category2","Two-Year")</f>
        <v>5943.9</v>
      </c>
      <c r="E103" s="15">
        <f>+GETPIVOTDATA("Undergrad Student Credit Hour  FTE - Old",'FTE Pivot for regular counts'!$A$2,"State","AR","Category","10","Category2","Two-Year")</f>
        <v>22052.833333333336</v>
      </c>
      <c r="F103" s="23">
        <f>+GETPIVOTDATA("Undergrad Student Credit Hour  FTE - Old",'FTE Pivot for regular counts'!$A$2,"State","AR","Category2","Two-Year")</f>
        <v>42199.966666666667</v>
      </c>
      <c r="G103" s="18">
        <f>+GETPIVOTDATA("Undergrad Student Credit Hour  FTE - Old",'FTE Pivot for regular counts'!$A$2,"State","AR","Category","12","Category2","Technical")</f>
        <v>0</v>
      </c>
      <c r="H103" s="103">
        <f>+GETPIVOTDATA("Undergrad Student Credit Hour  FTE - Old",'FTE Pivot for regular counts'!$A$2,"State","AR","Category","13","Category2","Technical")</f>
        <v>0</v>
      </c>
      <c r="I103" s="73">
        <f>+GETPIVOTDATA("Undergrad Student Credit Hour  FTE - Old",'FTE Pivot for regular counts'!$A$2,"State","AR","Category2","Technical")</f>
        <v>0</v>
      </c>
      <c r="J103" s="73"/>
      <c r="K103" s="73"/>
      <c r="L103" s="73"/>
    </row>
    <row r="104" spans="1:13" ht="15" customHeight="1">
      <c r="A104" s="1" t="s">
        <v>102</v>
      </c>
      <c r="B104" s="15">
        <f>+GETPIVOTDATA("Undergrad Student Credit Hour  FTE - Old",'FTE Pivot for regular counts'!$A$2,"State","DE","Category","7","Category2","Two-Year")</f>
        <v>0</v>
      </c>
      <c r="C104" s="15">
        <f>+GETPIVOTDATA("Undergrad Student Credit Hour  FTE - Old",'FTE Pivot for regular counts'!$A$2,"State","DE","Category","8","Category2","Two-Year")</f>
        <v>5113.5333333333338</v>
      </c>
      <c r="D104" s="15">
        <f>+GETPIVOTDATA("Undergrad Student Credit Hour  FTE - Old",'FTE Pivot for regular counts'!$A$2,"State","DE","Category","9","Category2","Two-Year")</f>
        <v>5661.4333333333334</v>
      </c>
      <c r="E104" s="15">
        <f>+GETPIVOTDATA("Undergrad Student Credit Hour  FTE - Old",'FTE Pivot for regular counts'!$A$2,"State","DE","Category","10","Category2","Two-Year")</f>
        <v>0</v>
      </c>
      <c r="F104" s="23">
        <f>+GETPIVOTDATA("Undergrad Student Credit Hour  FTE - Old",'FTE Pivot for regular counts'!$A$2,"State","DE","Category2","Two-Year")</f>
        <v>10774.966666666667</v>
      </c>
      <c r="G104" s="18">
        <f>+GETPIVOTDATA("Undergrad Student Credit Hour  FTE - Old",'FTE Pivot for regular counts'!$A$2,"State","DE","Category","12","Category2","Technical")</f>
        <v>0</v>
      </c>
      <c r="H104" s="103">
        <f>+GETPIVOTDATA("Undergrad Student Credit Hour  FTE - Old",'FTE Pivot for regular counts'!$A$2,"State","DE","Category","13","Category2","Technical")</f>
        <v>0</v>
      </c>
      <c r="I104" s="73">
        <f>+GETPIVOTDATA("Undergrad Student Credit Hour  FTE - Old",'FTE Pivot for regular counts'!$A$2,"State","DE","Category2","Technical")</f>
        <v>0</v>
      </c>
      <c r="J104" s="73"/>
      <c r="K104" s="73"/>
      <c r="L104" s="73"/>
    </row>
    <row r="105" spans="1:13" ht="15" customHeight="1">
      <c r="A105" s="1" t="s">
        <v>67</v>
      </c>
      <c r="B105" s="15">
        <f>+GETPIVOTDATA("Undergrad Student Credit Hour  FTE - Old",'FTE Pivot for regular counts'!$A$2,"State","FL","Category","7","Category2","Two-Year")</f>
        <v>205398.06666666665</v>
      </c>
      <c r="C105" s="15">
        <f>+GETPIVOTDATA("Undergrad Student Credit Hour  FTE - Old",'FTE Pivot for regular counts'!$A$2,"State","FL","Category","8","Category2","Two-Year")</f>
        <v>119157.9</v>
      </c>
      <c r="D105" s="15">
        <f>+GETPIVOTDATA("Undergrad Student Credit Hour  FTE - Old",'FTE Pivot for regular counts'!$A$2,"State","FL","Category","9","Category2","Two-Year")</f>
        <v>11001</v>
      </c>
      <c r="E105" s="15">
        <f>+GETPIVOTDATA("Undergrad Student Credit Hour  FTE - Old",'FTE Pivot for regular counts'!$A$2,"State","FL","Category","10","Category2","Two-Year")</f>
        <v>1642.3333333333335</v>
      </c>
      <c r="F105" s="23">
        <f>+GETPIVOTDATA("Undergrad Student Credit Hour  FTE - Old",'FTE Pivot for regular counts'!$A$2,"State","FL","Category2","Two-Year")</f>
        <v>337199.3</v>
      </c>
      <c r="G105" s="18">
        <f>+GETPIVOTDATA("Undergrad Student Credit Hour  FTE - Old",'FTE Pivot for regular counts'!$A$2,"State","FL","Category","12","Category2","Technical")</f>
        <v>0</v>
      </c>
      <c r="H105" s="103">
        <f>+GETPIVOTDATA("Undergrad Student Credit Hour  FTE - Old",'FTE Pivot for regular counts'!$A$2,"State","FL","Category","13","Category2","Technical")</f>
        <v>0</v>
      </c>
      <c r="I105" s="73">
        <f>+GETPIVOTDATA("Undergrad Student Credit Hour  FTE - Old",'FTE Pivot for regular counts'!$A$2,"State","FL","Category2","Technical")</f>
        <v>0</v>
      </c>
      <c r="J105" s="73"/>
      <c r="K105" s="73"/>
      <c r="L105" s="73"/>
    </row>
    <row r="106" spans="1:13" ht="15" customHeight="1">
      <c r="B106" s="15"/>
      <c r="C106" s="15"/>
      <c r="D106" s="15"/>
      <c r="E106" s="15"/>
      <c r="F106" s="23"/>
      <c r="G106" s="18"/>
      <c r="H106" s="103"/>
      <c r="I106" s="73"/>
      <c r="J106" s="73"/>
      <c r="K106" s="73"/>
      <c r="L106" s="73"/>
    </row>
    <row r="107" spans="1:13" ht="15" customHeight="1">
      <c r="A107" s="1" t="s">
        <v>68</v>
      </c>
      <c r="B107" s="15">
        <f>+GETPIVOTDATA("Undergrad Student Credit Hour  FTE - Old",'FTE Pivot for regular counts'!$A$2,"State","GA","Category","7","Category2","Two-Year")</f>
        <v>8559.2000000000007</v>
      </c>
      <c r="C107" s="15">
        <f>+GETPIVOTDATA("Undergrad Student Credit Hour  FTE - Old",'FTE Pivot for regular counts'!$A$2,"State","GA","Category","8","Category2","Two-Year")</f>
        <v>18381.833333333332</v>
      </c>
      <c r="D107" s="15">
        <f>+GETPIVOTDATA("Undergrad Student Credit Hour  FTE - Old",'FTE Pivot for regular counts'!$A$2,"State","GA","Category","9","Category2","Two-Year")</f>
        <v>19535.983333333334</v>
      </c>
      <c r="E107" s="15">
        <f>+GETPIVOTDATA("Undergrad Student Credit Hour  FTE - Old",'FTE Pivot for regular counts'!$A$2,"State","GA","Category","10","Category2","Two-Year")</f>
        <v>0</v>
      </c>
      <c r="F107" s="23">
        <f>+GETPIVOTDATA("Undergrad Student Credit Hour  FTE - Old",'FTE Pivot for regular counts'!$A$2,"State","GA","Category2","Two-Year")</f>
        <v>46477.016666666663</v>
      </c>
      <c r="G107" s="18">
        <f>+GETPIVOTDATA("Undergrad Student Credit Hour  FTE - Old",'FTE Pivot for regular counts'!$A$2,"State","GA","Category","12","Category2","Technical")</f>
        <v>77975.723333333342</v>
      </c>
      <c r="H107" s="103">
        <f>+GETPIVOTDATA("Undergrad Student Credit Hour  FTE - Old",'FTE Pivot for regular counts'!$A$2,"State","GA","Category","13","Category2","Technical")</f>
        <v>0</v>
      </c>
      <c r="I107" s="73">
        <f>+GETPIVOTDATA("Undergrad Student Credit Hour  FTE - Old",'FTE Pivot for regular counts'!$A$2,"State","GA","Category2","Technical")</f>
        <v>77975.723333333342</v>
      </c>
      <c r="J107" s="73"/>
      <c r="K107" s="73"/>
      <c r="L107" s="73"/>
    </row>
    <row r="108" spans="1:13" ht="15" customHeight="1">
      <c r="A108" s="1" t="s">
        <v>69</v>
      </c>
      <c r="B108" s="15">
        <f>+GETPIVOTDATA("Undergrad Student Credit Hour  FTE - Old",'FTE Pivot for regular counts'!$A$2,"State","KY","Category","7","Category2","Two-Year")</f>
        <v>0</v>
      </c>
      <c r="C108" s="15">
        <f>+GETPIVOTDATA("Undergrad Student Credit Hour  FTE - Old",'FTE Pivot for regular counts'!$A$2,"State","KY","Category","8","Category2","Two-Year")</f>
        <v>17112</v>
      </c>
      <c r="D108" s="15">
        <f>+GETPIVOTDATA("Undergrad Student Credit Hour  FTE - Old",'FTE Pivot for regular counts'!$A$2,"State","KY","Category","9","Category2","Two-Year")</f>
        <v>32833.599999999999</v>
      </c>
      <c r="E108" s="15">
        <f>+GETPIVOTDATA("Undergrad Student Credit Hour  FTE - Old",'FTE Pivot for regular counts'!$A$2,"State","KY","Category","10","Category2","Two-Year")</f>
        <v>1273.7666666666667</v>
      </c>
      <c r="F108" s="23">
        <f>+GETPIVOTDATA("Undergrad Student Credit Hour  FTE - Old",'FTE Pivot for regular counts'!$A$2,"State","KY","Category2","Two-Year")</f>
        <v>51219.366666666669</v>
      </c>
      <c r="G108" s="18">
        <f>+GETPIVOTDATA("Undergrad Student Credit Hour  FTE - Old",'FTE Pivot for regular counts'!$A$2,"State","KY","Category","12","Category2","Technical")</f>
        <v>5047.0666666666666</v>
      </c>
      <c r="H108" s="103">
        <f>+GETPIVOTDATA("Undergrad Student Credit Hour  FTE - Old",'FTE Pivot for regular counts'!$A$2,"State","KY","Category","13","Category2","Technical")</f>
        <v>0</v>
      </c>
      <c r="I108" s="73">
        <f>+GETPIVOTDATA("Undergrad Student Credit Hour  FTE - Old",'FTE Pivot for regular counts'!$A$2,"State","KY","Category2","Technical")</f>
        <v>5047.0666666666666</v>
      </c>
      <c r="J108" s="73"/>
      <c r="K108" s="73"/>
      <c r="L108" s="73"/>
    </row>
    <row r="109" spans="1:13" ht="15" customHeight="1">
      <c r="A109" s="1" t="s">
        <v>70</v>
      </c>
      <c r="B109" s="15">
        <f>+GETPIVOTDATA("Undergrad Student Credit Hour  FTE - Old",'FTE Pivot for regular counts'!$A$2,"State","LA","Category","7","Category2","Two-Year")</f>
        <v>0</v>
      </c>
      <c r="C109" s="15">
        <f>+GETPIVOTDATA("Undergrad Student Credit Hour  FTE - Old",'FTE Pivot for regular counts'!$A$2,"State","LA","Category","8","Category2","Two-Year")</f>
        <v>25183.533333333333</v>
      </c>
      <c r="D109" s="15">
        <f>+GETPIVOTDATA("Undergrad Student Credit Hour  FTE - Old",'FTE Pivot for regular counts'!$A$2,"State","LA","Category","9","Category2","Two-Year")</f>
        <v>12686.916666666666</v>
      </c>
      <c r="E109" s="15">
        <f>+GETPIVOTDATA("Undergrad Student Credit Hour  FTE - Old",'FTE Pivot for regular counts'!$A$2,"State","LA","Category","10","Category2","Two-Year")</f>
        <v>3201.7</v>
      </c>
      <c r="F109" s="23">
        <f>+GETPIVOTDATA("Undergrad Student Credit Hour  FTE - Old",'FTE Pivot for regular counts'!$A$2,"State","LA","Category2","Two-Year")</f>
        <v>41072.149999999994</v>
      </c>
      <c r="G109" s="18">
        <f>+GETPIVOTDATA("Undergrad Student Credit Hour  FTE - Old",'FTE Pivot for regular counts'!$A$2,"State","LA","Category","12","Category2","Technical")</f>
        <v>13718.133333333333</v>
      </c>
      <c r="H109" s="103">
        <f>+GETPIVOTDATA("Undergrad Student Credit Hour  FTE - Old",'FTE Pivot for regular counts'!$A$2,"State","LA","Category","13","Category2","Technical")</f>
        <v>0</v>
      </c>
      <c r="I109" s="73">
        <f>+GETPIVOTDATA("Undergrad Student Credit Hour  FTE - Old",'FTE Pivot for regular counts'!$A$2,"State","LA","Category2","Technical")</f>
        <v>13718.133333333333</v>
      </c>
      <c r="J109" s="73"/>
      <c r="K109" s="73"/>
      <c r="L109" s="73"/>
    </row>
    <row r="110" spans="1:13" ht="15" customHeight="1">
      <c r="A110" s="1" t="s">
        <v>71</v>
      </c>
      <c r="B110" s="15">
        <f>+GETPIVOTDATA("Undergrad Student Credit Hour  FTE - Old",'FTE Pivot for regular counts'!$A$2,"State","MD","Category","7","Category2","Two-Year")</f>
        <v>0</v>
      </c>
      <c r="C110" s="15">
        <f>+GETPIVOTDATA("Undergrad Student Credit Hour  FTE - Old",'FTE Pivot for regular counts'!$A$2,"State","MD","Category","8","Category2","Two-Year")</f>
        <v>77461.149999999994</v>
      </c>
      <c r="D110" s="15">
        <f>+GETPIVOTDATA("Undergrad Student Credit Hour  FTE - Old",'FTE Pivot for regular counts'!$A$2,"State","MD","Category","9","Category2","Two-Year")</f>
        <v>22938.799999999999</v>
      </c>
      <c r="E110" s="15">
        <f>+GETPIVOTDATA("Undergrad Student Credit Hour  FTE - Old",'FTE Pivot for regular counts'!$A$2,"State","MD","Category","10","Category2","Two-Year")</f>
        <v>4085.5666666666666</v>
      </c>
      <c r="F110" s="23">
        <f>+GETPIVOTDATA("Undergrad Student Credit Hour  FTE - Old",'FTE Pivot for regular counts'!$A$2,"State","MD","Category2","Two-Year")</f>
        <v>104485.51666666666</v>
      </c>
      <c r="G110" s="18">
        <f>+GETPIVOTDATA("Undergrad Student Credit Hour  FTE - Old",'FTE Pivot for regular counts'!$A$2,"State","MD","Category","12","Category2","Technical")</f>
        <v>0</v>
      </c>
      <c r="H110" s="103">
        <f>+GETPIVOTDATA("Undergrad Student Credit Hour  FTE - Old",'FTE Pivot for regular counts'!$A$2,"State","MD","Category","13","Category2","Technical")</f>
        <v>0</v>
      </c>
      <c r="I110" s="73">
        <f>+GETPIVOTDATA("Undergrad Student Credit Hour  FTE - Old",'FTE Pivot for regular counts'!$A$2,"State","MD","Category2","Technical")</f>
        <v>0</v>
      </c>
      <c r="J110" s="73"/>
      <c r="K110" s="73"/>
      <c r="L110" s="73"/>
    </row>
    <row r="111" spans="1:13" ht="15" customHeight="1">
      <c r="B111" s="15"/>
      <c r="C111" s="15"/>
      <c r="D111" s="15"/>
      <c r="E111" s="15"/>
      <c r="F111" s="23"/>
      <c r="G111" s="18"/>
      <c r="H111" s="103"/>
      <c r="I111" s="73"/>
      <c r="J111" s="73"/>
      <c r="K111" s="73"/>
      <c r="L111" s="73"/>
    </row>
    <row r="112" spans="1:13" ht="15" customHeight="1">
      <c r="A112" s="1" t="s">
        <v>72</v>
      </c>
      <c r="B112" s="15">
        <f>+GETPIVOTDATA("Undergrad Student Credit Hour  FTE - Old",'FTE Pivot for regular counts'!$A$2,"State","MS","Category","7","Category2","Two-Year")</f>
        <v>0</v>
      </c>
      <c r="C112" s="15">
        <f>+GETPIVOTDATA("Undergrad Student Credit Hour  FTE - Old",'FTE Pivot for regular counts'!$A$2,"State","MS","Category","8","Category2","Two-Year")</f>
        <v>30718.933333333334</v>
      </c>
      <c r="D112" s="15">
        <f>+GETPIVOTDATA("Undergrad Student Credit Hour  FTE - Old",'FTE Pivot for regular counts'!$A$2,"State","MS","Category","9","Category2","Two-Year")</f>
        <v>31317.4</v>
      </c>
      <c r="E112" s="15">
        <f>+GETPIVOTDATA("Undergrad Student Credit Hour  FTE - Old",'FTE Pivot for regular counts'!$A$2,"State","MS","Category","10","Category2","Two-Year")</f>
        <v>3813.9333333333334</v>
      </c>
      <c r="F112" s="23">
        <f>+GETPIVOTDATA("Undergrad Student Credit Hour  FTE - Old",'FTE Pivot for regular counts'!$A$2,"State","MS","Category2","Two-Year")</f>
        <v>65850.266666666663</v>
      </c>
      <c r="G112" s="18">
        <f>+GETPIVOTDATA("Undergrad Student Credit Hour  FTE - Old",'FTE Pivot for regular counts'!$A$2,"State","MS","Category","12","Category2","Technical")</f>
        <v>0</v>
      </c>
      <c r="H112" s="103">
        <f>+GETPIVOTDATA("Undergrad Student Credit Hour  FTE - Old",'FTE Pivot for regular counts'!$A$2,"State","MS","Category","13","Category2","Technical")</f>
        <v>0</v>
      </c>
      <c r="I112" s="73">
        <f>+GETPIVOTDATA("Undergrad Student Credit Hour  FTE - Old",'FTE Pivot for regular counts'!$A$2,"State","MS","Category2","Technical")</f>
        <v>0</v>
      </c>
      <c r="J112" s="73"/>
      <c r="K112" s="73"/>
      <c r="L112" s="73"/>
    </row>
    <row r="113" spans="1:13" ht="15" customHeight="1">
      <c r="A113" s="1" t="s">
        <v>73</v>
      </c>
      <c r="B113" s="15">
        <f>+GETPIVOTDATA("Undergrad Student Credit Hour  FTE - Old",'FTE Pivot for regular counts'!$A$2,"State","NC","Category","7","Category2","Two-Year")</f>
        <v>0</v>
      </c>
      <c r="C113" s="15">
        <f>+GETPIVOTDATA("Undergrad Student Credit Hour  FTE - Old",'FTE Pivot for regular counts'!$A$2,"State","NC","Category","8","Category2","Two-Year")</f>
        <v>77490.566666666666</v>
      </c>
      <c r="D113" s="15">
        <f>+GETPIVOTDATA("Undergrad Student Credit Hour  FTE - Old",'FTE Pivot for regular counts'!$A$2,"State","NC","Category","9","Category2","Two-Year")</f>
        <v>64981.600000000006</v>
      </c>
      <c r="E113" s="15">
        <f>+GETPIVOTDATA("Undergrad Student Credit Hour  FTE - Old",'FTE Pivot for regular counts'!$A$2,"State","NC","Category","10","Category2","Two-Year")</f>
        <v>26829.033333333333</v>
      </c>
      <c r="F113" s="23">
        <f>+GETPIVOTDATA("Undergrad Student Credit Hour  FTE - Old",'FTE Pivot for regular counts'!$A$2,"State","NC","Category2","Two-Year")</f>
        <v>169301.2</v>
      </c>
      <c r="G113" s="18">
        <f>+GETPIVOTDATA("Undergrad Student Credit Hour  FTE - Old",'FTE Pivot for regular counts'!$A$2,"State","NC","Category","12","Category2","Technical")</f>
        <v>0</v>
      </c>
      <c r="H113" s="103">
        <f>+GETPIVOTDATA("Undergrad Student Credit Hour  FTE - Old",'FTE Pivot for regular counts'!$A$2,"State","NC","Category","13","Category2","Technical")</f>
        <v>0</v>
      </c>
      <c r="I113" s="73">
        <f>+GETPIVOTDATA("Undergrad Student Credit Hour  FTE - Old",'FTE Pivot for regular counts'!$A$2,"State","NC","Category2","Technical")</f>
        <v>0</v>
      </c>
      <c r="J113" s="73"/>
      <c r="K113" s="73"/>
      <c r="L113" s="73"/>
    </row>
    <row r="114" spans="1:13" ht="15" customHeight="1">
      <c r="A114" s="1" t="s">
        <v>74</v>
      </c>
      <c r="B114" s="15">
        <f>+GETPIVOTDATA("Undergrad Student Credit Hour  FTE - Old",'FTE Pivot for regular counts'!$A$2,"State","OK","Category","7","Category2","Two-Year")</f>
        <v>8803.1333333333332</v>
      </c>
      <c r="C114" s="15">
        <f>+GETPIVOTDATA("Undergrad Student Credit Hour  FTE - Old",'FTE Pivot for regular counts'!$A$2,"State","OK","Category","8","Category2","Two-Year")</f>
        <v>26973.266666666663</v>
      </c>
      <c r="D114" s="15">
        <f>+GETPIVOTDATA("Undergrad Student Credit Hour  FTE - Old",'FTE Pivot for regular counts'!$A$2,"State","OK","Category","9","Category2","Two-Year")</f>
        <v>5663.7333333333336</v>
      </c>
      <c r="E114" s="15">
        <f>+GETPIVOTDATA("Undergrad Student Credit Hour  FTE - Old",'FTE Pivot for regular counts'!$A$2,"State","OK","Category","10","Category2","Two-Year")</f>
        <v>12528.933333333331</v>
      </c>
      <c r="F114" s="23">
        <f>+GETPIVOTDATA("Undergrad Student Credit Hour  FTE - Old",'FTE Pivot for regular counts'!$A$2,"State","OK","Category2","Two-Year")</f>
        <v>53969.066666666666</v>
      </c>
      <c r="G114" s="18">
        <f>+GETPIVOTDATA("Undergrad Student Credit Hour  FTE - Old",'FTE Pivot for regular counts'!$A$2,"State","OK","Category","12","Category2","Technical")</f>
        <v>0</v>
      </c>
      <c r="H114" s="103">
        <f>+GETPIVOTDATA("Undergrad Student Credit Hour  FTE - Old",'FTE Pivot for regular counts'!$A$2,"State","OK","Category","13","Category2","Technical")</f>
        <v>0</v>
      </c>
      <c r="I114" s="73">
        <f>+GETPIVOTDATA("Undergrad Student Credit Hour  FTE - Old",'FTE Pivot for regular counts'!$A$2,"State","OK","Category2","Technical")</f>
        <v>0</v>
      </c>
      <c r="J114" s="73"/>
      <c r="K114" s="73"/>
      <c r="L114" s="73"/>
    </row>
    <row r="115" spans="1:13" ht="15" customHeight="1">
      <c r="A115" s="1" t="s">
        <v>75</v>
      </c>
      <c r="B115" s="15">
        <f>+GETPIVOTDATA("Undergrad Student Credit Hour  FTE - Old",'FTE Pivot for regular counts'!$A$2,"State","SC","Category","7","Category2","Two-Year")</f>
        <v>0</v>
      </c>
      <c r="C115" s="15">
        <f>+GETPIVOTDATA("Undergrad Student Credit Hour  FTE - Old",'FTE Pivot for regular counts'!$A$2,"State","SC","Category","8","Category2","Two-Year")</f>
        <v>57001.922666666665</v>
      </c>
      <c r="D115" s="15">
        <f>+GETPIVOTDATA("Undergrad Student Credit Hour  FTE - Old",'FTE Pivot for regular counts'!$A$2,"State","SC","Category","9","Category2","Two-Year")</f>
        <v>16852.201000000001</v>
      </c>
      <c r="E115" s="15">
        <f>+GETPIVOTDATA("Undergrad Student Credit Hour  FTE - Old",'FTE Pivot for regular counts'!$A$2,"State","SC","Category","10","Category2","Two-Year")</f>
        <v>8725.2860000000001</v>
      </c>
      <c r="F115" s="23">
        <f>+GETPIVOTDATA("Undergrad Student Credit Hour  FTE - Old",'FTE Pivot for regular counts'!$A$2,"State","SC","Category2","Two-Year")</f>
        <v>82579.409666666674</v>
      </c>
      <c r="G115" s="18">
        <f>+GETPIVOTDATA("Undergrad Student Credit Hour  FTE - Old",'FTE Pivot for regular counts'!$A$2,"State","SC","Category","12","Category2","Technical")</f>
        <v>0</v>
      </c>
      <c r="H115" s="103">
        <f>+GETPIVOTDATA("Undergrad Student Credit Hour  FTE - Old",'FTE Pivot for regular counts'!$A$2,"State","SC","Category","13","Category2","Technical")</f>
        <v>0</v>
      </c>
      <c r="I115" s="73">
        <f>+GETPIVOTDATA("Undergrad Student Credit Hour  FTE - Old",'FTE Pivot for regular counts'!$A$2,"State","SC","Category2","Technical")</f>
        <v>0</v>
      </c>
      <c r="J115" s="73"/>
      <c r="K115" s="73"/>
      <c r="L115" s="73"/>
    </row>
    <row r="116" spans="1:13" ht="15" customHeight="1">
      <c r="B116" s="15"/>
      <c r="C116" s="15"/>
      <c r="D116" s="15"/>
      <c r="E116" s="15"/>
      <c r="F116" s="23"/>
      <c r="G116" s="18"/>
      <c r="H116" s="103"/>
      <c r="I116" s="73"/>
      <c r="J116" s="73"/>
      <c r="K116" s="73"/>
      <c r="L116" s="73"/>
    </row>
    <row r="117" spans="1:13" ht="15" customHeight="1">
      <c r="A117" s="1" t="s">
        <v>76</v>
      </c>
      <c r="B117" s="15">
        <f>+GETPIVOTDATA("Undergrad Student Credit Hour  FTE - Old",'FTE Pivot for regular counts'!$A$2,"State","TN","Category","7","Category2","Two-Year")</f>
        <v>0</v>
      </c>
      <c r="C117" s="15">
        <f>+GETPIVOTDATA("Undergrad Student Credit Hour  FTE - Old",'FTE Pivot for regular counts'!$A$2,"State","TN","Category","8","Category2","Two-Year")</f>
        <v>34985.633333333331</v>
      </c>
      <c r="D117" s="15">
        <f>+GETPIVOTDATA("Undergrad Student Credit Hour  FTE - Old",'FTE Pivot for regular counts'!$A$2,"State","TN","Category","9","Category2","Two-Year")</f>
        <v>28006.433333333327</v>
      </c>
      <c r="E117" s="15">
        <f>+GETPIVOTDATA("Undergrad Student Credit Hour  FTE - Old",'FTE Pivot for regular counts'!$A$2,"State","TN","Category","10","Category2","Two-Year")</f>
        <v>0</v>
      </c>
      <c r="F117" s="23">
        <f>+GETPIVOTDATA("Undergrad Student Credit Hour  FTE - Old",'FTE Pivot for regular counts'!$A$2,"State","TN","Category2","Two-Year")</f>
        <v>62992.066666666658</v>
      </c>
      <c r="G117" s="18">
        <f>+GETPIVOTDATA("Undergrad Student Credit Hour  FTE - Old",'FTE Pivot for regular counts'!$A$2,"State","TN","Category","12","Category2","Technical")</f>
        <v>0</v>
      </c>
      <c r="H117" s="103">
        <f>+GETPIVOTDATA("Undergrad Student Credit Hour  FTE - Old",'FTE Pivot for regular counts'!$A$2,"State","TN","Category","13","Category2","Technical")</f>
        <v>0</v>
      </c>
      <c r="I117" s="73">
        <f>+GETPIVOTDATA("Undergrad Student Credit Hour  FTE - Old",'FTE Pivot for regular counts'!$A$2,"State","TN","Category2","Technical")</f>
        <v>0</v>
      </c>
      <c r="J117" s="73"/>
      <c r="K117" s="73"/>
      <c r="L117" s="73"/>
    </row>
    <row r="118" spans="1:13" ht="15" customHeight="1">
      <c r="A118" s="1" t="s">
        <v>77</v>
      </c>
      <c r="B118" s="15">
        <f>+GETPIVOTDATA("Undergrad Student Credit Hour  FTE - Old",'FTE Pivot for regular counts'!$A$2,"State","TX","Category","7","Category2","Two-Year")</f>
        <v>24786.933333333334</v>
      </c>
      <c r="C118" s="15">
        <f>+GETPIVOTDATA("Undergrad Student Credit Hour  FTE - Old",'FTE Pivot for regular counts'!$A$2,"State","TX","Category","8","Category2","Two-Year")</f>
        <v>365243.16666666663</v>
      </c>
      <c r="D118" s="15">
        <f>+GETPIVOTDATA("Undergrad Student Credit Hour  FTE - Old",'FTE Pivot for regular counts'!$A$2,"State","TX","Category","9","Category2","Two-Year")</f>
        <v>77561.766666666677</v>
      </c>
      <c r="E118" s="15">
        <f>+GETPIVOTDATA("Undergrad Student Credit Hour  FTE - Old",'FTE Pivot for regular counts'!$A$2,"State","TX","Category","10","Category2","Two-Year")</f>
        <v>11588.999999999998</v>
      </c>
      <c r="F118" s="23">
        <f>+GETPIVOTDATA("Undergrad Student Credit Hour  FTE - Old",'FTE Pivot for regular counts'!$A$2,"State","TX","Category2","Two-Year")</f>
        <v>479180.86666666664</v>
      </c>
      <c r="G118" s="18">
        <f>+GETPIVOTDATA("Undergrad Student Credit Hour  FTE - Old",'FTE Pivot for regular counts'!$A$2,"State","TX","Category","12","Category2","Technical")</f>
        <v>0</v>
      </c>
      <c r="H118" s="103">
        <f>+GETPIVOTDATA("Undergrad Student Credit Hour  FTE - Old",'FTE Pivot for regular counts'!$A$2,"State","TX","Category","13","Category2","Technical")</f>
        <v>0</v>
      </c>
      <c r="I118" s="73">
        <f>+GETPIVOTDATA("Undergrad Student Credit Hour  FTE - Old",'FTE Pivot for regular counts'!$A$2,"State","TX","Category2","Technical")</f>
        <v>0</v>
      </c>
      <c r="J118" s="73"/>
      <c r="K118" s="73"/>
      <c r="L118" s="73"/>
    </row>
    <row r="119" spans="1:13" ht="15" customHeight="1">
      <c r="A119" s="1" t="s">
        <v>78</v>
      </c>
      <c r="B119" s="15">
        <f>+GETPIVOTDATA("Undergrad Student Credit Hour  FTE - Old",'FTE Pivot for regular counts'!$A$2,"State","VA","Category","7","Category2","Two-Year")</f>
        <v>0</v>
      </c>
      <c r="C119" s="15">
        <f>+GETPIVOTDATA("Undergrad Student Credit Hour  FTE - Old",'FTE Pivot for regular counts'!$A$2,"State","VA","Category","8","Category2","Two-Year")</f>
        <v>80171.3</v>
      </c>
      <c r="D119" s="15">
        <f>+GETPIVOTDATA("Undergrad Student Credit Hour  FTE - Old",'FTE Pivot for regular counts'!$A$2,"State","VA","Category","9","Category2","Two-Year")</f>
        <v>41313.200000000004</v>
      </c>
      <c r="E119" s="15">
        <f>+GETPIVOTDATA("Undergrad Student Credit Hour  FTE - Old",'FTE Pivot for regular counts'!$A$2,"State","VA","Category","10","Category2","Two-Year")</f>
        <v>7484.2</v>
      </c>
      <c r="F119" s="23">
        <f>+GETPIVOTDATA("Undergrad Student Credit Hour  FTE - Old",'FTE Pivot for regular counts'!$A$2,"State","VA","Category2","Two-Year")</f>
        <v>128968.7</v>
      </c>
      <c r="G119" s="18">
        <f>+GETPIVOTDATA("Undergrad Student Credit Hour  FTE - Old",'FTE Pivot for regular counts'!$A$2,"State","VA","Category","12","Category2","Technical")</f>
        <v>0</v>
      </c>
      <c r="H119" s="103">
        <f>+GETPIVOTDATA("Undergrad Student Credit Hour  FTE - Old",'FTE Pivot for regular counts'!$A$2,"State","VA","Category","13","Category2","Technical")</f>
        <v>0</v>
      </c>
      <c r="I119" s="73">
        <f>+GETPIVOTDATA("Undergrad Student Credit Hour  FTE - Old",'FTE Pivot for regular counts'!$A$2,"State","VA","Category2","Technical")</f>
        <v>0</v>
      </c>
      <c r="J119" s="73"/>
      <c r="K119" s="73"/>
      <c r="L119" s="73"/>
    </row>
    <row r="120" spans="1:13" ht="15" customHeight="1">
      <c r="A120" s="3" t="s">
        <v>79</v>
      </c>
      <c r="B120" s="6">
        <f>+GETPIVOTDATA("Undergrad Student Credit Hour  FTE - Old",'FTE Pivot for regular counts'!$A$2,"State","WV","Category","7","Category2","Two-Year")</f>
        <v>4472.5</v>
      </c>
      <c r="C120" s="6">
        <f>+GETPIVOTDATA("Undergrad Student Credit Hour  FTE - Old",'FTE Pivot for regular counts'!$A$2,"State","WV","Category","8","Category2","Two-Year")</f>
        <v>0</v>
      </c>
      <c r="D120" s="6">
        <f>+GETPIVOTDATA("Undergrad Student Credit Hour  FTE - Old",'FTE Pivot for regular counts'!$A$2,"State","WV","Category","9","Category2","Two-Year")</f>
        <v>6313.5433333333331</v>
      </c>
      <c r="E120" s="6">
        <f>+GETPIVOTDATA("Undergrad Student Credit Hour  FTE - Old",'FTE Pivot for regular counts'!$A$2,"State","WV","Category","10","Category2","Two-Year")</f>
        <v>7580.0366666666669</v>
      </c>
      <c r="F120" s="24">
        <f>+GETPIVOTDATA("Undergrad Student Credit Hour  FTE - Old",'FTE Pivot for regular counts'!$A$2,"State","WV","Category2","Two-Year")</f>
        <v>18366.080000000002</v>
      </c>
      <c r="G120" s="19">
        <f>+GETPIVOTDATA("Undergrad Student Credit Hour  FTE - Old",'FTE Pivot for regular counts'!$A$2,"State","WV","Category","12","Category2","Technical")</f>
        <v>0</v>
      </c>
      <c r="H120" s="116">
        <f>+GETPIVOTDATA("Undergrad Student Credit Hour  FTE - Old",'FTE Pivot for regular counts'!$A$2,"State","WV","Category","13","Category2","Technical")</f>
        <v>0</v>
      </c>
      <c r="I120" s="83">
        <f>+GETPIVOTDATA("Undergrad Student Credit Hour  FTE - Old",'FTE Pivot for regular counts'!$A$2,"State","WV","Category2","Technical")</f>
        <v>0</v>
      </c>
      <c r="J120" s="73"/>
      <c r="K120" s="73"/>
      <c r="L120" s="73"/>
    </row>
    <row r="121" spans="1:13" ht="38.25" customHeight="1">
      <c r="A121" s="834" t="s">
        <v>979</v>
      </c>
      <c r="B121" s="834"/>
      <c r="C121" s="834"/>
      <c r="D121" s="834"/>
      <c r="E121" s="834"/>
      <c r="F121" s="834"/>
      <c r="G121" s="834"/>
      <c r="H121" s="834"/>
      <c r="I121" s="834"/>
      <c r="J121" s="442"/>
      <c r="K121" s="267"/>
      <c r="L121" s="267"/>
      <c r="M121" s="200"/>
    </row>
    <row r="122" spans="1:13">
      <c r="J122" s="169" t="s">
        <v>982</v>
      </c>
      <c r="K122" s="169"/>
      <c r="L122" s="169"/>
      <c r="M122" s="201"/>
    </row>
    <row r="123" spans="1:13" ht="18">
      <c r="A123" s="838" t="s">
        <v>167</v>
      </c>
      <c r="B123" s="838"/>
      <c r="C123" s="838"/>
      <c r="D123" s="838"/>
      <c r="E123" s="838"/>
      <c r="F123" s="838"/>
      <c r="G123" s="838"/>
      <c r="H123" s="838"/>
      <c r="I123" s="838"/>
      <c r="J123" s="838"/>
      <c r="K123" s="268"/>
      <c r="L123" s="268"/>
      <c r="M123" s="178"/>
    </row>
    <row r="124" spans="1:13" ht="15.75">
      <c r="A124" s="77"/>
      <c r="B124" s="17"/>
      <c r="C124" s="43"/>
      <c r="D124" s="55"/>
      <c r="E124" s="17"/>
      <c r="F124" s="17"/>
      <c r="G124" s="17"/>
      <c r="H124" s="117"/>
      <c r="I124" s="17"/>
      <c r="J124" s="117"/>
      <c r="K124" s="117"/>
      <c r="L124" s="117"/>
    </row>
    <row r="125" spans="1:13" ht="15.75">
      <c r="A125" s="839" t="s">
        <v>35</v>
      </c>
      <c r="B125" s="839"/>
      <c r="C125" s="839"/>
      <c r="D125" s="839"/>
      <c r="E125" s="839"/>
      <c r="F125" s="839"/>
      <c r="G125" s="839"/>
      <c r="H125" s="839"/>
      <c r="I125" s="839"/>
      <c r="J125" s="839"/>
      <c r="K125" s="269"/>
      <c r="L125" s="269"/>
    </row>
    <row r="126" spans="1:13" ht="15.75">
      <c r="A126" s="839" t="s">
        <v>975</v>
      </c>
      <c r="B126" s="839"/>
      <c r="C126" s="839"/>
      <c r="D126" s="839"/>
      <c r="E126" s="839"/>
      <c r="F126" s="839"/>
      <c r="G126" s="839"/>
      <c r="H126" s="839"/>
      <c r="I126" s="839"/>
      <c r="J126" s="839"/>
      <c r="K126" s="269"/>
      <c r="L126" s="269"/>
    </row>
    <row r="127" spans="1:13">
      <c r="A127" s="22"/>
      <c r="B127" s="22"/>
      <c r="C127" s="22"/>
      <c r="D127" s="22"/>
      <c r="E127" s="22"/>
      <c r="F127" s="22"/>
      <c r="G127" s="22"/>
      <c r="H127" s="106"/>
      <c r="I127" s="22"/>
      <c r="J127" s="106"/>
      <c r="K127" s="106"/>
      <c r="L127" s="106"/>
    </row>
    <row r="128" spans="1:13">
      <c r="A128" s="61"/>
      <c r="B128" s="56" t="s">
        <v>63</v>
      </c>
      <c r="C128" s="56"/>
      <c r="D128" s="27"/>
      <c r="E128" s="27"/>
      <c r="F128" s="27"/>
      <c r="G128" s="57" t="s">
        <v>45</v>
      </c>
      <c r="H128" s="91"/>
      <c r="I128" s="92"/>
      <c r="J128" s="170" t="s">
        <v>28</v>
      </c>
      <c r="K128" s="170" t="s">
        <v>28</v>
      </c>
      <c r="L128" s="170"/>
    </row>
    <row r="129" spans="1:12" ht="24">
      <c r="A129" s="45"/>
      <c r="B129" s="58" t="s">
        <v>140</v>
      </c>
      <c r="C129" s="46">
        <v>1</v>
      </c>
      <c r="D129" s="46">
        <v>2</v>
      </c>
      <c r="E129" s="46">
        <v>3</v>
      </c>
      <c r="F129" s="46" t="s">
        <v>30</v>
      </c>
      <c r="G129" s="60">
        <v>1</v>
      </c>
      <c r="H129" s="94">
        <v>2</v>
      </c>
      <c r="I129" s="93" t="s">
        <v>30</v>
      </c>
      <c r="J129" s="123"/>
      <c r="K129" s="123"/>
      <c r="L129" s="123"/>
    </row>
    <row r="130" spans="1:12" ht="15" customHeight="1">
      <c r="A130" s="1" t="s">
        <v>64</v>
      </c>
      <c r="B130" s="7">
        <f>+GETPIVOTDATA(" Undergrad Contact Hour FTE - Old",'FTE Pivot for regular counts'!$A$2,"Category","7","Category2","Two-Year")</f>
        <v>14085.411111111112</v>
      </c>
      <c r="C130" s="7">
        <f>+GETPIVOTDATA(" Undergrad Contact Hour FTE - Old",'FTE Pivot for regular counts'!$A$2,"Category","8","Category2","Two-Year")</f>
        <v>33938.606666666659</v>
      </c>
      <c r="D130" s="7">
        <f>+GETPIVOTDATA(" Undergrad Contact Hour FTE - Old",'FTE Pivot for regular counts'!$A$2,"Category","9","Category2","Two-Year")</f>
        <v>22837.375555555562</v>
      </c>
      <c r="E130" s="7">
        <f>+GETPIVOTDATA(" Undergrad Contact Hour FTE - Old",'FTE Pivot for regular counts'!$A$2,"Category","10","Category2","Two-Year")</f>
        <v>10384.823333333334</v>
      </c>
      <c r="F130" s="8">
        <f>+GETPIVOTDATA(" Undergrad Contact Hour FTE - Old",'FTE Pivot for regular counts'!$A$2,"Category2","Two-Year")</f>
        <v>81246.216666666674</v>
      </c>
      <c r="G130" s="7">
        <f>+GETPIVOTDATA(" Undergrad Contact Hour FTE - Old",'FTE Pivot for regular counts'!$A$2,"Category","12","Category2","Technical")</f>
        <v>5224.6822222222218</v>
      </c>
      <c r="H130" s="118">
        <f>+GETPIVOTDATA(" Undergrad Contact Hour FTE - Old",'FTE Pivot for regular counts'!$A$2,"Category","13","Category2","Technical")</f>
        <v>26223.767777777772</v>
      </c>
      <c r="I130" s="118">
        <f>+GETPIVOTDATA(" Undergrad Contact Hour FTE - Old",'FTE Pivot for regular counts'!$A$2,"Category2","Technical")</f>
        <v>31448.449999999997</v>
      </c>
      <c r="J130" s="119"/>
      <c r="K130" s="118"/>
      <c r="L130" s="118"/>
    </row>
    <row r="131" spans="1:12" ht="15" customHeight="1">
      <c r="B131" s="7"/>
      <c r="C131" s="32"/>
      <c r="D131" s="32"/>
      <c r="G131" s="31"/>
      <c r="I131" s="4"/>
      <c r="J131" s="73"/>
    </row>
    <row r="132" spans="1:12" ht="15" customHeight="1">
      <c r="A132" s="1" t="s">
        <v>65</v>
      </c>
      <c r="B132" s="7">
        <f>+GETPIVOTDATA(" Undergrad Contact Hour FTE - Old",'FTE Pivot for regular counts'!$A$2,"State","AL","Category","7","Category2","Two-Year")</f>
        <v>0</v>
      </c>
      <c r="C132" s="7">
        <f>+GETPIVOTDATA(" Undergrad Contact Hour FTE - Old",'FTE Pivot for regular counts'!$A$2,"State","AL","Category","8","Category2","Two-Year")</f>
        <v>0</v>
      </c>
      <c r="D132" s="7">
        <f>+GETPIVOTDATA(" Undergrad Contact Hour FTE - Old",'FTE Pivot for regular counts'!$A$2,"State","AL","Category","9","Category2","Two-Year")</f>
        <v>0</v>
      </c>
      <c r="E132" s="7">
        <f>+GETPIVOTDATA(" Undergrad Contact Hour FTE - Old",'FTE Pivot for regular counts'!$A$2,"State","AL","Category","10","Category2","Two-Year")</f>
        <v>0</v>
      </c>
      <c r="F132" s="8">
        <f>+GETPIVOTDATA(" Undergrad Contact Hour FTE - Old",'FTE Pivot for regular counts'!$A$2,"State","AL","Category2","Two-Year")</f>
        <v>0</v>
      </c>
      <c r="G132" s="7">
        <f>+GETPIVOTDATA(" Undergrad Contact Hour FTE - Old",'FTE Pivot for regular counts'!$A$2,"State","AL","Category","12","Category2","Technical")</f>
        <v>0</v>
      </c>
      <c r="H132" s="118">
        <f>+GETPIVOTDATA(" Undergrad Contact Hour FTE - Old",'FTE Pivot for regular counts'!$A$2,"State","AL","Category","13","Category2","Technical")</f>
        <v>0</v>
      </c>
      <c r="I132" s="118">
        <f>+GETPIVOTDATA(" Undergrad Contact Hour FTE - Old",'FTE Pivot for regular counts'!$A$2,"State","AL","Category2","Technical")</f>
        <v>0</v>
      </c>
      <c r="J132" s="119"/>
      <c r="K132" s="118"/>
      <c r="L132" s="118"/>
    </row>
    <row r="133" spans="1:12" ht="15" customHeight="1">
      <c r="A133" s="1" t="s">
        <v>66</v>
      </c>
      <c r="B133" s="32">
        <f>+GETPIVOTDATA(" Undergrad Contact Hour FTE - Old",'FTE Pivot for regular counts'!$A$2,"State","AR","Category","7","Category2","Two-Year")</f>
        <v>0</v>
      </c>
      <c r="C133" s="32">
        <f>+GETPIVOTDATA(" Undergrad Contact Hour FTE - Old",'FTE Pivot for regular counts'!$A$2,"State","AR","Category","8","Category2","Two-Year")</f>
        <v>0</v>
      </c>
      <c r="D133" s="32">
        <f>+GETPIVOTDATA(" Undergrad Contact Hour FTE - Old",'FTE Pivot for regular counts'!$A$2,"State","AR","Category","9","Category2","Two-Year")</f>
        <v>0</v>
      </c>
      <c r="E133" s="32">
        <f>+GETPIVOTDATA(" Undergrad Contact Hour FTE - Old",'FTE Pivot for regular counts'!$A$2,"State","AR","Category","10","Category2","Two-Year")</f>
        <v>0</v>
      </c>
      <c r="F133" s="8">
        <f>+GETPIVOTDATA(" Undergrad Contact Hour FTE - Old",'FTE Pivot for regular counts'!$A$2,"State","AR","Category2","Two-Year")</f>
        <v>0</v>
      </c>
      <c r="G133" s="32">
        <f>+GETPIVOTDATA(" Undergrad Contact Hour FTE - Old",'FTE Pivot for regular counts'!$A$2,"State","AR","Category","12","Category2","Technical")</f>
        <v>0</v>
      </c>
      <c r="H133" s="119">
        <f>+GETPIVOTDATA(" Undergrad Contact Hour FTE - Old",'FTE Pivot for regular counts'!$A$2,"State","AR","Category","13","Category2","Technical")</f>
        <v>0</v>
      </c>
      <c r="I133" s="119">
        <f>+GETPIVOTDATA(" Undergrad Contact Hour FTE - Old",'FTE Pivot for regular counts'!$A$2,"State","AR","Category2","Technical")</f>
        <v>0</v>
      </c>
      <c r="J133" s="119"/>
      <c r="K133" s="119"/>
      <c r="L133" s="119"/>
    </row>
    <row r="134" spans="1:12" ht="15" customHeight="1">
      <c r="A134" s="1" t="s">
        <v>102</v>
      </c>
      <c r="B134" s="32">
        <f>+GETPIVOTDATA(" Undergrad Contact Hour FTE - Old",'FTE Pivot for regular counts'!$A$2,"State","DE","Category","7","Category2","Two-Year")</f>
        <v>0</v>
      </c>
      <c r="C134" s="32">
        <f>+GETPIVOTDATA(" Undergrad Contact Hour FTE - Old",'FTE Pivot for regular counts'!$A$2,"State","DE","Category","8","Category2","Two-Year")</f>
        <v>0</v>
      </c>
      <c r="D134" s="32">
        <f>+GETPIVOTDATA(" Undergrad Contact Hour FTE - Old",'FTE Pivot for regular counts'!$A$2,"State","DE","Category","9","Category2","Two-Year")</f>
        <v>0</v>
      </c>
      <c r="E134" s="32">
        <f>+GETPIVOTDATA(" Undergrad Contact Hour FTE - Old",'FTE Pivot for regular counts'!$A$2,"State","DE","Category","10","Category2","Two-Year")</f>
        <v>0</v>
      </c>
      <c r="F134" s="8">
        <f>+GETPIVOTDATA(" Undergrad Contact Hour FTE - Old",'FTE Pivot for regular counts'!$A$2,"State","DE","Category2","Two-Year")</f>
        <v>0</v>
      </c>
      <c r="G134" s="32">
        <f>+GETPIVOTDATA(" Undergrad Contact Hour FTE - Old",'FTE Pivot for regular counts'!$A$2,"State","DE","Category","12","Category2","Technical")</f>
        <v>0</v>
      </c>
      <c r="H134" s="119">
        <f>+GETPIVOTDATA(" Undergrad Contact Hour FTE - Old",'FTE Pivot for regular counts'!$A$2,"State","DE","Category","13","Category2","Technical")</f>
        <v>0</v>
      </c>
      <c r="I134" s="119">
        <f>+GETPIVOTDATA(" Undergrad Contact Hour FTE - Old",'FTE Pivot for regular counts'!$A$2,"State","DE","Category2","Technical")</f>
        <v>0</v>
      </c>
      <c r="J134" s="119"/>
      <c r="K134" s="119"/>
      <c r="L134" s="119"/>
    </row>
    <row r="135" spans="1:12" ht="15" customHeight="1">
      <c r="A135" s="1" t="s">
        <v>67</v>
      </c>
      <c r="B135" s="32">
        <f>+GETPIVOTDATA(" Undergrad Contact Hour FTE - Old",'FTE Pivot for regular counts'!$A$2,"State","FL","Category","7","Category2","Two-Year")</f>
        <v>13384.667777777779</v>
      </c>
      <c r="C135" s="32">
        <f>+GETPIVOTDATA(" Undergrad Contact Hour FTE - Old",'FTE Pivot for regular counts'!$A$2,"State","FL","Category","8","Category2","Two-Year")</f>
        <v>6992.9955555555562</v>
      </c>
      <c r="D135" s="32">
        <f>+GETPIVOTDATA(" Undergrad Contact Hour FTE - Old",'FTE Pivot for regular counts'!$A$2,"State","FL","Category","9","Category2","Two-Year")</f>
        <v>1292.1322222222223</v>
      </c>
      <c r="E135" s="32">
        <f>+GETPIVOTDATA(" Undergrad Contact Hour FTE - Old",'FTE Pivot for regular counts'!$A$2,"State","FL","Category","10","Category2","Two-Year")</f>
        <v>135.48444444444445</v>
      </c>
      <c r="F135" s="8">
        <f>+GETPIVOTDATA(" Undergrad Contact Hour FTE - Old",'FTE Pivot for regular counts'!$A$2,"State","FL","Category2","Two-Year")</f>
        <v>21805.280000000002</v>
      </c>
      <c r="G135" s="32">
        <f>+GETPIVOTDATA(" Undergrad Contact Hour FTE - Old",'FTE Pivot for regular counts'!$A$2,"State","FL","Category","12","Category2","Technical")</f>
        <v>0</v>
      </c>
      <c r="H135" s="119">
        <f>+GETPIVOTDATA(" Undergrad Contact Hour FTE - Old",'FTE Pivot for regular counts'!$A$2,"State","FL","Category","13","Category2","Technical")</f>
        <v>0</v>
      </c>
      <c r="I135" s="119">
        <f>+GETPIVOTDATA(" Undergrad Contact Hour FTE - Old",'FTE Pivot for regular counts'!$A$2,"State","FL","Category2","Technical")</f>
        <v>0</v>
      </c>
      <c r="J135" s="119"/>
      <c r="K135" s="119"/>
      <c r="L135" s="119"/>
    </row>
    <row r="136" spans="1:12" ht="15" customHeight="1">
      <c r="B136" s="32"/>
      <c r="C136" s="32"/>
      <c r="D136" s="32"/>
      <c r="E136" s="32"/>
      <c r="F136" s="8"/>
      <c r="G136" s="32"/>
      <c r="H136" s="119"/>
      <c r="I136" s="119"/>
      <c r="J136" s="119"/>
      <c r="K136" s="119"/>
      <c r="L136" s="119"/>
    </row>
    <row r="137" spans="1:12" ht="15" customHeight="1">
      <c r="A137" s="1" t="s">
        <v>68</v>
      </c>
      <c r="B137" s="32">
        <f>+GETPIVOTDATA(" Undergrad Contact Hour FTE - Old",'FTE Pivot for regular counts'!$A$2,"State","GA","Category","7","Category2","Two-Year")</f>
        <v>0</v>
      </c>
      <c r="C137" s="32">
        <f>+GETPIVOTDATA(" Undergrad Contact Hour FTE - Old",'FTE Pivot for regular counts'!$A$2,"State","GA","Category","8","Category2","Two-Year")</f>
        <v>0</v>
      </c>
      <c r="D137" s="32">
        <f>+GETPIVOTDATA(" Undergrad Contact Hour FTE - Old",'FTE Pivot for regular counts'!$A$2,"State","GA","Category","9","Category2","Two-Year")</f>
        <v>0</v>
      </c>
      <c r="E137" s="32">
        <f>+GETPIVOTDATA(" Undergrad Contact Hour FTE - Old",'FTE Pivot for regular counts'!$A$2,"State","GA","Category","10","Category2","Two-Year")</f>
        <v>0</v>
      </c>
      <c r="F137" s="8">
        <f>+GETPIVOTDATA(" Undergrad Contact Hour FTE - Old",'FTE Pivot for regular counts'!$A$2,"State","GA","Category2","Two-Year")</f>
        <v>0</v>
      </c>
      <c r="G137" s="32">
        <f>+GETPIVOTDATA(" Undergrad Contact Hour FTE - Old",'FTE Pivot for regular counts'!$A$2,"State","GA","Category","12","Category2","Technical")</f>
        <v>0</v>
      </c>
      <c r="H137" s="119">
        <f>+GETPIVOTDATA(" Undergrad Contact Hour FTE - Old",'FTE Pivot for regular counts'!$A$2,"State","GA","Category","13","Category2","Technical")</f>
        <v>0</v>
      </c>
      <c r="I137" s="119">
        <f>+GETPIVOTDATA(" Undergrad Contact Hour FTE - Old",'FTE Pivot for regular counts'!$A$2,"State","GA","Category2","Technical")</f>
        <v>0</v>
      </c>
      <c r="J137" s="119"/>
      <c r="K137" s="119"/>
      <c r="L137" s="119"/>
    </row>
    <row r="138" spans="1:12" ht="15" customHeight="1">
      <c r="A138" s="1" t="s">
        <v>69</v>
      </c>
      <c r="B138" s="32">
        <f>+GETPIVOTDATA(" Undergrad Contact Hour FTE - Old",'FTE Pivot for regular counts'!$A$2,"State","KY","Category","7","Category2","Two-Year")</f>
        <v>0</v>
      </c>
      <c r="C138" s="32">
        <f>+GETPIVOTDATA(" Undergrad Contact Hour FTE - Old",'FTE Pivot for regular counts'!$A$2,"State","KY","Category","8","Category2","Two-Year")</f>
        <v>0</v>
      </c>
      <c r="D138" s="32">
        <f>+GETPIVOTDATA(" Undergrad Contact Hour FTE - Old",'FTE Pivot for regular counts'!$A$2,"State","KY","Category","9","Category2","Two-Year")</f>
        <v>0</v>
      </c>
      <c r="E138" s="32">
        <f>+GETPIVOTDATA(" Undergrad Contact Hour FTE - Old",'FTE Pivot for regular counts'!$A$2,"State","KY","Category","10","Category2","Two-Year")</f>
        <v>0</v>
      </c>
      <c r="F138" s="8">
        <f>+GETPIVOTDATA(" Undergrad Contact Hour FTE - Old",'FTE Pivot for regular counts'!$A$2,"State","KY","Category2","Two-Year")</f>
        <v>0</v>
      </c>
      <c r="G138" s="32">
        <f>+GETPIVOTDATA(" Undergrad Contact Hour FTE - Old",'FTE Pivot for regular counts'!$A$2,"State","KY","Category","12","Category2","Technical")</f>
        <v>0</v>
      </c>
      <c r="H138" s="119">
        <f>+GETPIVOTDATA(" Undergrad Contact Hour FTE - Old",'FTE Pivot for regular counts'!$A$2,"State","KY","Category","13","Category2","Technical")</f>
        <v>0</v>
      </c>
      <c r="I138" s="119">
        <f>+GETPIVOTDATA(" Undergrad Contact Hour FTE - Old",'FTE Pivot for regular counts'!$A$2,"State","KY","Category2","Technical")</f>
        <v>0</v>
      </c>
      <c r="J138" s="119"/>
      <c r="K138" s="119"/>
      <c r="L138" s="119"/>
    </row>
    <row r="139" spans="1:12" ht="15" customHeight="1">
      <c r="A139" s="1" t="s">
        <v>70</v>
      </c>
      <c r="B139" s="32">
        <f>+GETPIVOTDATA(" Undergrad Contact Hour FTE - Old",'FTE Pivot for regular counts'!$A$2,"State","LA","Category","7","Category2","Two-Year")</f>
        <v>0</v>
      </c>
      <c r="C139" s="32">
        <f>+GETPIVOTDATA(" Undergrad Contact Hour FTE - Old",'FTE Pivot for regular counts'!$A$2,"State","LA","Category","8","Category2","Two-Year")</f>
        <v>0</v>
      </c>
      <c r="D139" s="820">
        <f>+GETPIVOTDATA(" Undergrad Contact Hour FTE - Old",'FTE Pivot for regular counts'!$A$2,"State","LA","Category","9","Category2","Two-Year")</f>
        <v>1.2222222222222223E-2</v>
      </c>
      <c r="E139" s="32">
        <f>+GETPIVOTDATA(" Undergrad Contact Hour FTE - Old",'FTE Pivot for regular counts'!$A$2,"State","LA","Category","10","Category2","Two-Year")</f>
        <v>0</v>
      </c>
      <c r="F139" s="821">
        <f>+GETPIVOTDATA(" Undergrad Contact Hour FTE - Old",'FTE Pivot for regular counts'!$A$2,"State","LA","Category2","Two-Year")</f>
        <v>1.2222222222222223E-2</v>
      </c>
      <c r="G139" s="32">
        <f>+GETPIVOTDATA(" Undergrad Contact Hour FTE - Old",'FTE Pivot for regular counts'!$A$2,"State","LA","Category","12","Category2","Technical")</f>
        <v>136.60999999999999</v>
      </c>
      <c r="H139" s="119">
        <f>+GETPIVOTDATA(" Undergrad Contact Hour FTE - Old",'FTE Pivot for regular counts'!$A$2,"State","LA","Category","13","Category2","Technical")</f>
        <v>0</v>
      </c>
      <c r="I139" s="119">
        <f>+GETPIVOTDATA(" Undergrad Contact Hour FTE - Old",'FTE Pivot for regular counts'!$A$2,"State","LA","Category2","Technical")</f>
        <v>136.60999999999999</v>
      </c>
      <c r="J139" s="119"/>
      <c r="K139" s="119"/>
      <c r="L139" s="119"/>
    </row>
    <row r="140" spans="1:12" ht="15" customHeight="1">
      <c r="A140" s="1" t="s">
        <v>71</v>
      </c>
      <c r="B140" s="32">
        <f>+GETPIVOTDATA(" Undergrad Contact Hour FTE - Old",'FTE Pivot for regular counts'!$A$2,"State","MD","Category","7","Category2","Two-Year")</f>
        <v>0</v>
      </c>
      <c r="C140" s="32">
        <f>+GETPIVOTDATA(" Undergrad Contact Hour FTE - Old",'FTE Pivot for regular counts'!$A$2,"State","MD","Category","8","Category2","Two-Year")</f>
        <v>0</v>
      </c>
      <c r="D140" s="32">
        <f>+GETPIVOTDATA(" Undergrad Contact Hour FTE - Old",'FTE Pivot for regular counts'!$A$2,"State","MD","Category","9","Category2","Two-Year")</f>
        <v>0</v>
      </c>
      <c r="E140" s="32">
        <f>+GETPIVOTDATA(" Undergrad Contact Hour FTE - Old",'FTE Pivot for regular counts'!$A$2,"State","MD","Category","10","Category2","Two-Year")</f>
        <v>0</v>
      </c>
      <c r="F140" s="8">
        <f>+GETPIVOTDATA(" Undergrad Contact Hour FTE - Old",'FTE Pivot for regular counts'!$A$2,"State","MD","Category2","Two-Year")</f>
        <v>0</v>
      </c>
      <c r="G140" s="32">
        <f>+GETPIVOTDATA(" Undergrad Contact Hour FTE - Old",'FTE Pivot for regular counts'!$A$2,"State","MD","Category","12","Category2","Technical")</f>
        <v>0</v>
      </c>
      <c r="H140" s="119">
        <f>+GETPIVOTDATA(" Undergrad Contact Hour FTE - Old",'FTE Pivot for regular counts'!$A$2,"State","MD","Category","13","Category2","Technical")</f>
        <v>0</v>
      </c>
      <c r="I140" s="119">
        <f>+GETPIVOTDATA(" Undergrad Contact Hour FTE - Old",'FTE Pivot for regular counts'!$A$2,"State","MD","Category2","Technical")</f>
        <v>0</v>
      </c>
      <c r="J140" s="119"/>
      <c r="K140" s="119"/>
      <c r="L140" s="119"/>
    </row>
    <row r="141" spans="1:12" ht="15" customHeight="1">
      <c r="B141" s="32"/>
      <c r="C141" s="32"/>
      <c r="D141" s="32"/>
      <c r="E141" s="32"/>
      <c r="F141" s="8"/>
      <c r="G141" s="32"/>
      <c r="H141" s="119"/>
      <c r="I141" s="119"/>
      <c r="J141" s="119"/>
      <c r="K141" s="119"/>
      <c r="L141" s="119"/>
    </row>
    <row r="142" spans="1:12" ht="15" customHeight="1">
      <c r="A142" s="1" t="s">
        <v>72</v>
      </c>
      <c r="B142" s="32">
        <f>+GETPIVOTDATA(" Undergrad Contact Hour FTE - Old",'FTE Pivot for regular counts'!$A$2,"State","MS","Category","7","Category2","Two-Year")</f>
        <v>0</v>
      </c>
      <c r="C142" s="32">
        <f>+GETPIVOTDATA(" Undergrad Contact Hour FTE - Old",'FTE Pivot for regular counts'!$A$2,"State","MS","Category","8","Category2","Two-Year")</f>
        <v>0</v>
      </c>
      <c r="D142" s="32">
        <f>+GETPIVOTDATA(" Undergrad Contact Hour FTE - Old",'FTE Pivot for regular counts'!$A$2,"State","MS","Category","9","Category2","Two-Year")</f>
        <v>0</v>
      </c>
      <c r="E142" s="32">
        <f>+GETPIVOTDATA(" Undergrad Contact Hour FTE - Old",'FTE Pivot for regular counts'!$A$2,"State","MS","Category","10","Category2","Two-Year")</f>
        <v>0</v>
      </c>
      <c r="F142" s="8">
        <f>+GETPIVOTDATA(" Undergrad Contact Hour FTE - Old",'FTE Pivot for regular counts'!$A$2,"State","MS","Category2","Two-Year")</f>
        <v>0</v>
      </c>
      <c r="G142" s="32">
        <f>+GETPIVOTDATA(" Undergrad Contact Hour FTE - Old",'FTE Pivot for regular counts'!$A$2,"State","MS","Category","12","Category2","Technical")</f>
        <v>0</v>
      </c>
      <c r="H142" s="119">
        <f>+GETPIVOTDATA(" Undergrad Contact Hour FTE - Old",'FTE Pivot for regular counts'!$A$2,"State","MS","Category","13","Category2","Technical")</f>
        <v>0</v>
      </c>
      <c r="I142" s="119">
        <f>+GETPIVOTDATA(" Undergrad Contact Hour FTE - Old",'FTE Pivot for regular counts'!$A$2,"State","MS","Category2","Technical")</f>
        <v>0</v>
      </c>
      <c r="J142" s="119"/>
      <c r="K142" s="119"/>
      <c r="L142" s="119"/>
    </row>
    <row r="143" spans="1:12" ht="15" customHeight="1">
      <c r="A143" s="1" t="s">
        <v>73</v>
      </c>
      <c r="B143" s="32">
        <f>+GETPIVOTDATA(" Undergrad Contact Hour FTE - Old",'FTE Pivot for regular counts'!$A$2,"State","NC","Category","7","Category2","Two-Year")</f>
        <v>0</v>
      </c>
      <c r="C143" s="32">
        <f>+GETPIVOTDATA(" Undergrad Contact Hour FTE - Old",'FTE Pivot for regular counts'!$A$2,"State","NC","Category","8","Category2","Two-Year")</f>
        <v>13630.188888888888</v>
      </c>
      <c r="D143" s="32">
        <f>+GETPIVOTDATA(" Undergrad Contact Hour FTE - Old",'FTE Pivot for regular counts'!$A$2,"State","NC","Category","9","Category2","Two-Year")</f>
        <v>17005.330000000002</v>
      </c>
      <c r="E143" s="32">
        <f>+GETPIVOTDATA(" Undergrad Contact Hour FTE - Old",'FTE Pivot for regular counts'!$A$2,"State","NC","Category","10","Category2","Two-Year")</f>
        <v>9779.4077777777784</v>
      </c>
      <c r="F143" s="8">
        <f>+GETPIVOTDATA(" Undergrad Contact Hour FTE - Old",'FTE Pivot for regular counts'!$A$2,"State","NC","Category2","Two-Year")</f>
        <v>40414.926666666666</v>
      </c>
      <c r="G143" s="32">
        <f>+GETPIVOTDATA(" Undergrad Contact Hour FTE - Old",'FTE Pivot for regular counts'!$A$2,"State","NC","Category","12","Category2","Technical")</f>
        <v>0</v>
      </c>
      <c r="H143" s="119">
        <f>+GETPIVOTDATA(" Undergrad Contact Hour FTE - Old",'FTE Pivot for regular counts'!$A$2,"State","NC","Category","13","Category2","Technical")</f>
        <v>0</v>
      </c>
      <c r="I143" s="119">
        <f>+GETPIVOTDATA(" Undergrad Contact Hour FTE - Old",'FTE Pivot for regular counts'!$A$2,"State","NC","Category2","Technical")</f>
        <v>0</v>
      </c>
      <c r="J143" s="119"/>
      <c r="K143" s="119"/>
      <c r="L143" s="119"/>
    </row>
    <row r="144" spans="1:12" ht="15" customHeight="1">
      <c r="A144" s="1" t="s">
        <v>74</v>
      </c>
      <c r="B144" s="32">
        <f>+GETPIVOTDATA(" Undergrad Contact Hour FTE - Old",'FTE Pivot for regular counts'!$A$2,"State","OK","Category","7","Category2","Two-Year")</f>
        <v>0</v>
      </c>
      <c r="C144" s="32">
        <f>+GETPIVOTDATA(" Undergrad Contact Hour FTE - Old",'FTE Pivot for regular counts'!$A$2,"State","OK","Category","8","Category2","Two-Year")</f>
        <v>0</v>
      </c>
      <c r="D144" s="32">
        <f>+GETPIVOTDATA(" Undergrad Contact Hour FTE - Old",'FTE Pivot for regular counts'!$A$2,"State","OK","Category","9","Category2","Two-Year")</f>
        <v>0</v>
      </c>
      <c r="E144" s="32">
        <f>+GETPIVOTDATA(" Undergrad Contact Hour FTE - Old",'FTE Pivot for regular counts'!$A$2,"State","OK","Category","10","Category2","Two-Year")</f>
        <v>0</v>
      </c>
      <c r="F144" s="8">
        <f>+GETPIVOTDATA(" Undergrad Contact Hour FTE - Old",'FTE Pivot for regular counts'!$A$2,"State","OK","Category2","Two-Year")</f>
        <v>0</v>
      </c>
      <c r="G144" s="32">
        <f>+GETPIVOTDATA(" Undergrad Contact Hour FTE - Old",'FTE Pivot for regular counts'!$A$2,"State","OK","Category","12","Category2","Technical")</f>
        <v>4046.5422222222219</v>
      </c>
      <c r="H144" s="119">
        <f>+GETPIVOTDATA(" Undergrad Contact Hour FTE - Old",'FTE Pivot for regular counts'!$A$2,"State","OK","Category","13","Category2","Technical")</f>
        <v>15930.953333333329</v>
      </c>
      <c r="I144" s="119">
        <f>+GETPIVOTDATA(" Undergrad Contact Hour FTE - Old",'FTE Pivot for regular counts'!$A$2,"State","OK","Category2","Technical")</f>
        <v>19977.49555555555</v>
      </c>
      <c r="J144" s="119"/>
      <c r="K144" s="119"/>
      <c r="L144" s="119"/>
    </row>
    <row r="145" spans="1:19" ht="15" customHeight="1">
      <c r="A145" s="1" t="s">
        <v>75</v>
      </c>
      <c r="B145" s="32">
        <f>+GETPIVOTDATA(" Undergrad Contact Hour FTE - Old",'FTE Pivot for regular counts'!$A$2,"State","SC","Category","7","Category2","Two-Year")</f>
        <v>0</v>
      </c>
      <c r="C145" s="32">
        <f>+GETPIVOTDATA(" Undergrad Contact Hour FTE - Old",'FTE Pivot for regular counts'!$A$2,"State","SC","Category","8","Category2","Two-Year")</f>
        <v>0</v>
      </c>
      <c r="D145" s="32">
        <f>+GETPIVOTDATA(" Undergrad Contact Hour FTE - Old",'FTE Pivot for regular counts'!$A$2,"State","SC","Category","9","Category2","Two-Year")</f>
        <v>0</v>
      </c>
      <c r="E145" s="32">
        <f>+GETPIVOTDATA(" Undergrad Contact Hour FTE - Old",'FTE Pivot for regular counts'!$A$2,"State","SC","Category","10","Category2","Two-Year")</f>
        <v>0</v>
      </c>
      <c r="F145" s="8">
        <f>+GETPIVOTDATA(" Undergrad Contact Hour FTE - Old",'FTE Pivot for regular counts'!$A$2,"State","SC","Category2","Two-Year")</f>
        <v>0</v>
      </c>
      <c r="G145" s="32">
        <f>+GETPIVOTDATA(" Undergrad Contact Hour FTE - Old",'FTE Pivot for regular counts'!$A$2,"State","SC","Category","12","Category2","Technical")</f>
        <v>0</v>
      </c>
      <c r="H145" s="119">
        <f>+GETPIVOTDATA(" Undergrad Contact Hour FTE - Old",'FTE Pivot for regular counts'!$A$2,"State","SC","Category","13","Category2","Technical")</f>
        <v>0</v>
      </c>
      <c r="I145" s="119">
        <f>+GETPIVOTDATA(" Undergrad Contact Hour FTE - Old",'FTE Pivot for regular counts'!$A$2,"State","SC","Category2","Technical")</f>
        <v>0</v>
      </c>
      <c r="J145" s="119"/>
      <c r="K145" s="119"/>
      <c r="L145" s="119"/>
    </row>
    <row r="146" spans="1:19" ht="15" customHeight="1">
      <c r="B146" s="32"/>
      <c r="C146" s="32"/>
      <c r="D146" s="32"/>
      <c r="E146" s="32"/>
      <c r="F146" s="8"/>
      <c r="G146" s="32"/>
      <c r="H146" s="119"/>
      <c r="I146" s="119"/>
      <c r="J146" s="119"/>
      <c r="K146" s="119"/>
      <c r="L146" s="119"/>
    </row>
    <row r="147" spans="1:19" ht="15" customHeight="1">
      <c r="A147" s="1" t="s">
        <v>76</v>
      </c>
      <c r="B147" s="32">
        <f>+GETPIVOTDATA(" Undergrad Contact Hour FTE - Old",'FTE Pivot for regular counts'!$A$2,"State","TN","Category","7","Category2","Two-Year")</f>
        <v>0</v>
      </c>
      <c r="C147" s="32">
        <f>+GETPIVOTDATA(" Undergrad Contact Hour FTE - Old",'FTE Pivot for regular counts'!$A$2,"State","TN","Category","8","Category2","Two-Year")</f>
        <v>0</v>
      </c>
      <c r="D147" s="32">
        <f>+GETPIVOTDATA(" Undergrad Contact Hour FTE - Old",'FTE Pivot for regular counts'!$A$2,"State","TN","Category","9","Category2","Two-Year")</f>
        <v>0</v>
      </c>
      <c r="E147" s="32">
        <f>+GETPIVOTDATA(" Undergrad Contact Hour FTE - Old",'FTE Pivot for regular counts'!$A$2,"State","TN","Category","10","Category2","Two-Year")</f>
        <v>0</v>
      </c>
      <c r="F147" s="8">
        <f>+GETPIVOTDATA(" Undergrad Contact Hour FTE - Old",'FTE Pivot for regular counts'!$A$2,"State","TN","Category2","Two-Year")</f>
        <v>0</v>
      </c>
      <c r="G147" s="32">
        <f>+GETPIVOTDATA(" Undergrad Contact Hour FTE - Old",'FTE Pivot for regular counts'!$A$2,"State","TN","Category","12","Category2","Technical")</f>
        <v>1041.53</v>
      </c>
      <c r="H147" s="119">
        <f>+GETPIVOTDATA(" Undergrad Contact Hour FTE - Old",'FTE Pivot for regular counts'!$A$2,"State","TN","Category","13","Category2","Technical")</f>
        <v>10292.814444444444</v>
      </c>
      <c r="I147" s="119">
        <f>+GETPIVOTDATA(" Undergrad Contact Hour FTE - Old",'FTE Pivot for regular counts'!$A$2,"State","TN","Category2","Technical")</f>
        <v>11334.344444444445</v>
      </c>
      <c r="J147" s="119"/>
      <c r="K147" s="119"/>
      <c r="L147" s="119"/>
    </row>
    <row r="148" spans="1:19" ht="15" customHeight="1">
      <c r="A148" s="1" t="s">
        <v>77</v>
      </c>
      <c r="B148" s="32">
        <f>+GETPIVOTDATA(" Undergrad Contact Hour FTE - Old",'FTE Pivot for regular counts'!$A$2,"State","TX","Category","7","Category2","Two-Year")</f>
        <v>700.74333333333334</v>
      </c>
      <c r="C148" s="32">
        <f>+GETPIVOTDATA(" Undergrad Contact Hour FTE - Old",'FTE Pivot for regular counts'!$A$2,"State","TX","Category","8","Category2","Two-Year")</f>
        <v>13315.422222222216</v>
      </c>
      <c r="D148" s="32">
        <f>+GETPIVOTDATA(" Undergrad Contact Hour FTE - Old",'FTE Pivot for regular counts'!$A$2,"State","TX","Category","9","Category2","Two-Year")</f>
        <v>4539.9011111111122</v>
      </c>
      <c r="E148" s="32">
        <f>+GETPIVOTDATA(" Undergrad Contact Hour FTE - Old",'FTE Pivot for regular counts'!$A$2,"State","TX","Category","10","Category2","Two-Year")</f>
        <v>469.93111111111108</v>
      </c>
      <c r="F148" s="8">
        <f>+GETPIVOTDATA(" Undergrad Contact Hour FTE - Old",'FTE Pivot for regular counts'!$A$2,"State","TX","Category2","Two-Year")</f>
        <v>19025.997777777775</v>
      </c>
      <c r="G148" s="32">
        <f>+GETPIVOTDATA(" Undergrad Contact Hour FTE - Old",'FTE Pivot for regular counts'!$A$2,"State","TX","Category","12","Category2","Technical")</f>
        <v>0</v>
      </c>
      <c r="H148" s="119">
        <f>+GETPIVOTDATA(" Undergrad Contact Hour FTE - Old",'FTE Pivot for regular counts'!$A$2,"State","TX","Category","13","Category2","Technical")</f>
        <v>0</v>
      </c>
      <c r="I148" s="119">
        <f>+GETPIVOTDATA(" Undergrad Contact Hour FTE - Old",'FTE Pivot for regular counts'!$A$2,"State","TX","Category2","Technical")</f>
        <v>0</v>
      </c>
      <c r="J148" s="119"/>
      <c r="K148" s="119"/>
      <c r="L148" s="119"/>
    </row>
    <row r="149" spans="1:19" ht="15" customHeight="1">
      <c r="A149" s="1" t="s">
        <v>78</v>
      </c>
      <c r="B149" s="32">
        <f>+GETPIVOTDATA(" Undergrad Contact Hour FTE - Old",'FTE Pivot for regular counts'!$A$2,"State","VA","Category","7","Category2","Two-Year")</f>
        <v>0</v>
      </c>
      <c r="C149" s="32">
        <f>+GETPIVOTDATA(" Undergrad Contact Hour FTE - Old",'FTE Pivot for regular counts'!$A$2,"State","VA","Category","8","Category2","Two-Year")</f>
        <v>0</v>
      </c>
      <c r="D149" s="32">
        <f>+GETPIVOTDATA(" Undergrad Contact Hour FTE - Old",'FTE Pivot for regular counts'!$A$2,"State","VA","Category","9","Category2","Two-Year")</f>
        <v>0</v>
      </c>
      <c r="E149" s="32">
        <f>+GETPIVOTDATA(" Undergrad Contact Hour FTE - Old",'FTE Pivot for regular counts'!$A$2,"State","VA","Category","10","Category2","Two-Year")</f>
        <v>0</v>
      </c>
      <c r="F149" s="8">
        <f>+GETPIVOTDATA(" Undergrad Contact Hour FTE - Old",'FTE Pivot for regular counts'!$A$2,"State","VA","Category2","Two-Year")</f>
        <v>0</v>
      </c>
      <c r="G149" s="32">
        <f>+GETPIVOTDATA(" Undergrad Contact Hour FTE - Old",'FTE Pivot for regular counts'!$A$2,"State","VA","Category","12","Category2","Technical")</f>
        <v>0</v>
      </c>
      <c r="H149" s="119">
        <f>+GETPIVOTDATA(" Undergrad Contact Hour FTE - Old",'FTE Pivot for regular counts'!$A$2,"State","VA","Category","13","Category2","Technical")</f>
        <v>0</v>
      </c>
      <c r="I149" s="119">
        <f>+GETPIVOTDATA(" Undergrad Contact Hour FTE - Old",'FTE Pivot for regular counts'!$A$2,"State","VA","Category2","Technical")</f>
        <v>0</v>
      </c>
      <c r="J149" s="119"/>
      <c r="K149" s="119"/>
      <c r="L149" s="119"/>
    </row>
    <row r="150" spans="1:19" ht="15" customHeight="1">
      <c r="A150" s="3" t="s">
        <v>79</v>
      </c>
      <c r="B150" s="9">
        <f>+GETPIVOTDATA(" Undergrad Contact Hour FTE - Old",'FTE Pivot for regular counts'!$A$2,"State","WV","Category","7","Category2","Two-Year")</f>
        <v>0</v>
      </c>
      <c r="C150" s="9">
        <f>+GETPIVOTDATA(" Undergrad Contact Hour FTE - Old",'FTE Pivot for regular counts'!$A$2,"State","WV","Category","8","Category2","Two-Year")</f>
        <v>0</v>
      </c>
      <c r="D150" s="9">
        <f>+GETPIVOTDATA(" Undergrad Contact Hour FTE - Old",'FTE Pivot for regular counts'!$A$2,"State","WV","Category","9","Category2","Two-Year")</f>
        <v>0</v>
      </c>
      <c r="E150" s="9">
        <f>+GETPIVOTDATA(" Undergrad Contact Hour FTE - Old",'FTE Pivot for regular counts'!$A$2,"State","WV","Category","10","Category2","Two-Year")</f>
        <v>0</v>
      </c>
      <c r="F150" s="10">
        <f>+GETPIVOTDATA(" Undergrad Contact Hour FTE - Old",'FTE Pivot for regular counts'!$A$2,"State","WV","Category2","Two-Year")</f>
        <v>0</v>
      </c>
      <c r="G150" s="9">
        <f>+GETPIVOTDATA(" Undergrad Contact Hour FTE - Old",'FTE Pivot for regular counts'!$A$2,"State","WV","Category","12","Category2","Technical")</f>
        <v>0</v>
      </c>
      <c r="H150" s="120">
        <f>+GETPIVOTDATA(" Undergrad Contact Hour FTE - Old",'FTE Pivot for regular counts'!$A$2,"State","WV","Category","13","Category2","Technical")</f>
        <v>0</v>
      </c>
      <c r="I150" s="120">
        <f>+GETPIVOTDATA(" Undergrad Contact Hour FTE - Old",'FTE Pivot for regular counts'!$A$2,"State","WV","Category2","Technical")</f>
        <v>0</v>
      </c>
      <c r="J150" s="119"/>
      <c r="K150" s="119"/>
      <c r="L150" s="119"/>
    </row>
    <row r="151" spans="1:19" ht="34.5" customHeight="1">
      <c r="A151" s="834" t="s">
        <v>979</v>
      </c>
      <c r="B151" s="834"/>
      <c r="C151" s="834"/>
      <c r="D151" s="834"/>
      <c r="E151" s="834"/>
      <c r="F151" s="834"/>
      <c r="G151" s="834"/>
      <c r="H151" s="834"/>
      <c r="I151" s="834"/>
      <c r="J151" s="442"/>
      <c r="K151" s="267"/>
      <c r="L151" s="267"/>
      <c r="M151" s="1"/>
    </row>
    <row r="152" spans="1:19">
      <c r="J152" s="169" t="s">
        <v>982</v>
      </c>
      <c r="K152" s="169"/>
      <c r="L152" s="169"/>
      <c r="M152" s="1"/>
    </row>
    <row r="153" spans="1:19" s="4" customFormat="1" ht="18">
      <c r="A153" s="115" t="s">
        <v>168</v>
      </c>
      <c r="B153" s="115"/>
      <c r="C153" s="115"/>
      <c r="D153" s="115"/>
      <c r="E153" s="115"/>
      <c r="F153" s="115"/>
      <c r="G153" s="115"/>
      <c r="H153" s="115"/>
      <c r="I153" s="115"/>
      <c r="J153" s="115"/>
      <c r="K153" s="115"/>
      <c r="L153" s="177"/>
      <c r="P153" s="1"/>
      <c r="Q153" s="1"/>
      <c r="R153" s="1"/>
      <c r="S153" s="1"/>
    </row>
    <row r="154" spans="1:19" ht="12" customHeight="1">
      <c r="A154" s="21"/>
      <c r="B154" s="21"/>
      <c r="C154" s="21"/>
      <c r="D154" s="21"/>
      <c r="E154" s="21"/>
      <c r="F154" s="21"/>
      <c r="G154" s="21"/>
      <c r="H154" s="105"/>
      <c r="I154" s="21"/>
      <c r="J154" s="105"/>
      <c r="K154" s="105"/>
      <c r="L154" s="105"/>
      <c r="M154" s="1"/>
    </row>
    <row r="155" spans="1:19" ht="15.75">
      <c r="A155" s="43" t="s">
        <v>36</v>
      </c>
      <c r="B155" s="43"/>
      <c r="C155" s="43"/>
      <c r="D155" s="43"/>
      <c r="E155" s="43"/>
      <c r="F155" s="43"/>
      <c r="G155" s="43"/>
      <c r="H155" s="43"/>
      <c r="I155" s="43"/>
      <c r="J155" s="43"/>
      <c r="K155" s="43"/>
      <c r="L155" s="269"/>
      <c r="M155" s="1"/>
    </row>
    <row r="156" spans="1:19" ht="15.75">
      <c r="A156" s="43" t="s">
        <v>976</v>
      </c>
      <c r="B156" s="43"/>
      <c r="C156" s="43"/>
      <c r="D156" s="43"/>
      <c r="E156" s="43"/>
      <c r="F156" s="43"/>
      <c r="G156" s="43"/>
      <c r="H156" s="43"/>
      <c r="I156" s="43"/>
      <c r="J156" s="43"/>
      <c r="K156" s="43"/>
      <c r="L156" s="269"/>
      <c r="M156" s="199"/>
    </row>
    <row r="157" spans="1:19">
      <c r="B157" s="2"/>
      <c r="C157" s="2"/>
      <c r="D157" s="2"/>
      <c r="E157" s="171"/>
      <c r="F157" s="2"/>
      <c r="G157" s="171"/>
      <c r="H157" s="202"/>
      <c r="I157" s="171"/>
      <c r="J157" s="202"/>
      <c r="K157" s="202"/>
      <c r="L157" s="191"/>
      <c r="M157" s="191"/>
      <c r="N157" s="25"/>
      <c r="O157" s="25"/>
    </row>
    <row r="158" spans="1:19" ht="15" customHeight="1">
      <c r="A158" s="45"/>
      <c r="B158" s="229" t="s">
        <v>140</v>
      </c>
      <c r="C158" s="65"/>
      <c r="D158" s="172">
        <v>1</v>
      </c>
      <c r="F158" s="206">
        <v>2</v>
      </c>
      <c r="H158" s="206">
        <v>3</v>
      </c>
      <c r="J158" s="206" t="s">
        <v>30</v>
      </c>
      <c r="K158" s="204"/>
      <c r="L158" s="73"/>
      <c r="N158" s="25"/>
      <c r="O158" s="25"/>
    </row>
    <row r="159" spans="1:19" ht="75.75" customHeight="1">
      <c r="A159" s="203"/>
      <c r="B159" s="204" t="s">
        <v>143</v>
      </c>
      <c r="C159" s="166" t="s">
        <v>22</v>
      </c>
      <c r="D159" s="205" t="s">
        <v>143</v>
      </c>
      <c r="E159" s="166" t="s">
        <v>22</v>
      </c>
      <c r="F159" s="205" t="s">
        <v>143</v>
      </c>
      <c r="G159" s="166" t="s">
        <v>22</v>
      </c>
      <c r="H159" s="205" t="s">
        <v>143</v>
      </c>
      <c r="I159" s="166" t="s">
        <v>22</v>
      </c>
      <c r="J159" s="205" t="s">
        <v>143</v>
      </c>
      <c r="K159" s="166" t="s">
        <v>22</v>
      </c>
    </row>
    <row r="160" spans="1:19">
      <c r="A160" s="1" t="s">
        <v>64</v>
      </c>
      <c r="B160" s="118">
        <f>+'OLD Tables'!B100+'OLD Tables'!B130</f>
        <v>266105.24444444443</v>
      </c>
      <c r="D160" s="173">
        <f>+'OLD Tables'!C100+'OLD Tables'!C130</f>
        <v>1007591.2126666667</v>
      </c>
      <c r="F160" s="173">
        <f>+'OLD Tables'!D100+'OLD Tables'!D130</f>
        <v>439683.9865555556</v>
      </c>
      <c r="H160" s="175">
        <f>+'OLD Tables'!E100+'OLD Tables'!E130</f>
        <v>129732.87933333335</v>
      </c>
      <c r="J160" s="175">
        <f>+'OLD Tables'!F100+'OLD Tables'!F130</f>
        <v>1843113.3229999999</v>
      </c>
      <c r="K160" s="1"/>
      <c r="L160" s="4" t="s">
        <v>28</v>
      </c>
      <c r="P160" s="75"/>
      <c r="Q160" s="75"/>
      <c r="R160" s="75"/>
      <c r="S160" s="75"/>
    </row>
    <row r="161" spans="1:19" s="75" customFormat="1" ht="10.5" customHeight="1">
      <c r="A161" s="262"/>
      <c r="B161" s="263"/>
      <c r="C161" s="258" t="s">
        <v>178</v>
      </c>
      <c r="D161" s="259" t="s">
        <v>28</v>
      </c>
      <c r="E161" s="258" t="s">
        <v>179</v>
      </c>
      <c r="F161" s="259" t="s">
        <v>28</v>
      </c>
      <c r="G161" s="260" t="s">
        <v>180</v>
      </c>
      <c r="H161" s="261" t="s">
        <v>28</v>
      </c>
      <c r="I161" s="260" t="s">
        <v>181</v>
      </c>
      <c r="J161" s="261" t="s">
        <v>28</v>
      </c>
      <c r="K161" s="258" t="s">
        <v>182</v>
      </c>
      <c r="L161" s="75" t="s">
        <v>28</v>
      </c>
      <c r="P161" s="1"/>
      <c r="Q161" s="1"/>
      <c r="R161" s="1"/>
      <c r="S161" s="1"/>
    </row>
    <row r="162" spans="1:19" ht="15" customHeight="1">
      <c r="A162" s="1" t="s">
        <v>65</v>
      </c>
      <c r="B162" s="7">
        <f>+'OLD Tables'!B102+'OLD Tables'!B132</f>
        <v>0</v>
      </c>
      <c r="C162" s="96">
        <f>+GETPIVOTDATA("Sum of Old-HS % of Total",'Pivot-HS Student % of Undergrad'!$A$3,"State","AL","Category",7,"Category2","Two-Year")</f>
        <v>0</v>
      </c>
      <c r="D162" s="173">
        <f>+'OLD Tables'!C102+'OLD Tables'!C132</f>
        <v>24454.633333333335</v>
      </c>
      <c r="E162" s="96">
        <f>+GETPIVOTDATA("Sum of Old-HS % of Total",'Pivot-HS Student % of Undergrad'!$A$3,"State","AL","Category",8,"Category2","Two-Year")</f>
        <v>3.0873495002310399E-2</v>
      </c>
      <c r="F162" s="173">
        <f>+'OLD Tables'!D102+'OLD Tables'!D132</f>
        <v>34235.100000000006</v>
      </c>
      <c r="G162" s="96">
        <f>+GETPIVOTDATA("Sum of Old-HS % of Total",'Pivot-HS Student % of Undergrad'!$A$3,"State","AL","Category",9,"Category2","Two-Year")</f>
        <v>2.3735873416464388E-2</v>
      </c>
      <c r="H162" s="173">
        <f>+'OLD Tables'!E102+'OLD Tables'!E132</f>
        <v>8541.4333333333343</v>
      </c>
      <c r="I162" s="96">
        <f>+GETPIVOTDATA("Sum of Old-HS % of Total",'Pivot-HS Student % of Undergrad'!$A$3,"State","AL","Category",10,"Category2","Two-Year")</f>
        <v>2.8071010720292847E-2</v>
      </c>
      <c r="J162" s="173">
        <f>+'OLD Tables'!F102+'OLD Tables'!F132</f>
        <v>67231.166666666672</v>
      </c>
      <c r="K162" s="96">
        <f>+GETPIVOTDATA("Sum of Old-HS % of Total",'Pivot-HS Student % of Undergrad'!$A$3,"State","AL","Category2","Group2")</f>
        <v>2.6882869304166966E-2</v>
      </c>
    </row>
    <row r="163" spans="1:19" ht="15" customHeight="1">
      <c r="A163" s="1" t="s">
        <v>66</v>
      </c>
      <c r="B163" s="32">
        <f>+'OLD Tables'!B103+'OLD Tables'!B133</f>
        <v>0</v>
      </c>
      <c r="C163" s="96">
        <f>+GETPIVOTDATA("Sum of Old-HS % of Total",'Pivot-HS Student % of Undergrad'!$A$3,"State","AR","Category",7,"Category2","Two-Year")</f>
        <v>0</v>
      </c>
      <c r="D163" s="173">
        <f>+'OLD Tables'!C103+'OLD Tables'!C133</f>
        <v>14203.233333333334</v>
      </c>
      <c r="E163" s="96">
        <f>+GETPIVOTDATA("Sum of Old-HS % of Total",'Pivot-HS Student % of Undergrad'!$A$3,"State","AR","Category",8,"Category2","Two-Year")</f>
        <v>1.7979474157292823E-2</v>
      </c>
      <c r="F163" s="173">
        <f>+'OLD Tables'!D103+'OLD Tables'!D133</f>
        <v>5943.9</v>
      </c>
      <c r="G163" s="96">
        <f>+GETPIVOTDATA("Sum of Old-HS % of Total",'Pivot-HS Student % of Undergrad'!$A$3,"State","AR","Category",9,"Category2","Two-Year")</f>
        <v>6.2153356101773805E-2</v>
      </c>
      <c r="H163" s="173">
        <f>+'OLD Tables'!E103+'OLD Tables'!E133</f>
        <v>22052.833333333336</v>
      </c>
      <c r="I163" s="96">
        <f>+GETPIVOTDATA("Sum of Old-HS % of Total",'Pivot-HS Student % of Undergrad'!$A$3,"State","AR","Category",10,"Category2","Two-Year")</f>
        <v>6.2525601396645938E-2</v>
      </c>
      <c r="J163" s="173">
        <f>+'OLD Tables'!F103+'OLD Tables'!F133</f>
        <v>42199.966666666667</v>
      </c>
      <c r="K163" s="96">
        <f>+GETPIVOTDATA("Sum of Old-HS % of Total",'Pivot-HS Student % of Undergrad'!$A$3,"State","AR","Category2","Group2")</f>
        <v>4.7480290268791685E-2</v>
      </c>
    </row>
    <row r="164" spans="1:19" ht="15" customHeight="1">
      <c r="A164" s="1" t="s">
        <v>102</v>
      </c>
      <c r="B164" s="32">
        <f>+'OLD Tables'!B104+'OLD Tables'!B134</f>
        <v>0</v>
      </c>
      <c r="C164" s="96">
        <f>+GETPIVOTDATA("Sum of Old-HS % of Total",'Pivot-HS Student % of Undergrad'!$A$3,"State","DE","Category",7,"Category2","Two-Year")</f>
        <v>0</v>
      </c>
      <c r="D164" s="173">
        <f>+'OLD Tables'!C104+'OLD Tables'!C134</f>
        <v>5113.5333333333338</v>
      </c>
      <c r="E164" s="96">
        <f>+GETPIVOTDATA("Sum of Old-HS % of Total",'Pivot-HS Student % of Undergrad'!$A$3,"State","DE","Category",8,"Category2","Two-Year")</f>
        <v>0</v>
      </c>
      <c r="F164" s="173">
        <f>+'OLD Tables'!D104+'OLD Tables'!D134</f>
        <v>5661.4333333333334</v>
      </c>
      <c r="G164" s="96">
        <f>+GETPIVOTDATA("Sum of Old-HS % of Total",'Pivot-HS Student % of Undergrad'!$A$3,"State","DE","Category",9,"Category2","Two-Year")</f>
        <v>0</v>
      </c>
      <c r="H164" s="173">
        <f>+'OLD Tables'!E104+'OLD Tables'!E134</f>
        <v>0</v>
      </c>
      <c r="I164" s="96">
        <f>+GETPIVOTDATA("Sum of Old-HS % of Total",'Pivot-HS Student % of Undergrad'!$A$3,"State","DE","Category",10,"Category2","Two-Year")</f>
        <v>0</v>
      </c>
      <c r="J164" s="173">
        <f>+'OLD Tables'!F104+'OLD Tables'!F134</f>
        <v>10774.966666666667</v>
      </c>
      <c r="K164" s="96">
        <f>+GETPIVOTDATA("Sum of Old-HS % of Total",'Pivot-HS Student % of Undergrad'!$A$3,"State","DE","Category2","Group2")</f>
        <v>0</v>
      </c>
    </row>
    <row r="165" spans="1:19" ht="15" customHeight="1">
      <c r="A165" s="1" t="s">
        <v>67</v>
      </c>
      <c r="B165" s="32">
        <f>+'OLD Tables'!B105+'OLD Tables'!B135</f>
        <v>218782.73444444442</v>
      </c>
      <c r="C165" s="96">
        <f>+GETPIVOTDATA("Sum of Old-HS % of Total",'Pivot-HS Student % of Undergrad'!$A$3,"State","FL","Category",7,"Category2","Two-Year")</f>
        <v>2.3469719015277946E-2</v>
      </c>
      <c r="D165" s="173">
        <f>+'OLD Tables'!C105+'OLD Tables'!C135</f>
        <v>126150.89555555554</v>
      </c>
      <c r="E165" s="96">
        <f>+GETPIVOTDATA("Sum of Old-HS % of Total",'Pivot-HS Student % of Undergrad'!$A$3,"State","FL","Category",8,"Category2","Two-Year")</f>
        <v>3.1169082264631071E-2</v>
      </c>
      <c r="F165" s="173">
        <f>+'OLD Tables'!D105+'OLD Tables'!D135</f>
        <v>12293.132222222222</v>
      </c>
      <c r="G165" s="96">
        <f>+GETPIVOTDATA("Sum of Old-HS % of Total",'Pivot-HS Student % of Undergrad'!$A$3,"State","FL","Category",9,"Category2","Two-Year")</f>
        <v>9.2125049147693594E-2</v>
      </c>
      <c r="H165" s="173">
        <f>+'OLD Tables'!E105+'OLD Tables'!E135</f>
        <v>1777.817777777778</v>
      </c>
      <c r="I165" s="96">
        <f>+GETPIVOTDATA("Sum of Old-HS % of Total",'Pivot-HS Student % of Undergrad'!$A$3,"State","FL","Category",10,"Category2","Two-Year")</f>
        <v>3.1505905166874994E-2</v>
      </c>
      <c r="J165" s="173">
        <f>+'OLD Tables'!F105+'OLD Tables'!F135</f>
        <v>359004.58</v>
      </c>
      <c r="K165" s="96">
        <f>+GETPIVOTDATA("Sum of Old-HS % of Total",'Pivot-HS Student % of Undergrad'!$A$3,"State","FL","Category2","Group2")</f>
        <v>2.9517162843105637E-2</v>
      </c>
    </row>
    <row r="166" spans="1:19" ht="15" customHeight="1">
      <c r="B166" s="32"/>
      <c r="C166" s="96"/>
      <c r="D166" s="173"/>
      <c r="E166" s="96"/>
      <c r="F166" s="173"/>
      <c r="G166" s="96"/>
      <c r="H166" s="173"/>
      <c r="I166" s="96"/>
      <c r="J166" s="173"/>
      <c r="K166" s="96"/>
    </row>
    <row r="167" spans="1:19" ht="15" customHeight="1">
      <c r="A167" s="1" t="s">
        <v>68</v>
      </c>
      <c r="B167" s="32">
        <f>+'OLD Tables'!B107+'OLD Tables'!B137</f>
        <v>8559.2000000000007</v>
      </c>
      <c r="C167" s="96">
        <f>+GETPIVOTDATA("Sum of Old-HS % of Total",'Pivot-HS Student % of Undergrad'!$A$3,"State","GA","Category",7,"Category2","Two-Year")</f>
        <v>1.5971118796149174E-2</v>
      </c>
      <c r="D167" s="173">
        <f>+'OLD Tables'!C107+'OLD Tables'!C137</f>
        <v>18381.833333333332</v>
      </c>
      <c r="E167" s="96">
        <f>+GETPIVOTDATA("Sum of Old-HS % of Total",'Pivot-HS Student % of Undergrad'!$A$3,"State","GA","Category",8,"Category2","Two-Year")</f>
        <v>2.1289135106219003E-2</v>
      </c>
      <c r="F167" s="173">
        <f>+'OLD Tables'!D107+'OLD Tables'!D137</f>
        <v>19535.983333333334</v>
      </c>
      <c r="G167" s="96">
        <f>+GETPIVOTDATA("Sum of Old-HS % of Total",'Pivot-HS Student % of Undergrad'!$A$3,"State","GA","Category",9,"Category2","Two-Year")</f>
        <v>1.1127329995333397E-2</v>
      </c>
      <c r="H167" s="173">
        <f>+'OLD Tables'!E107+'OLD Tables'!E137</f>
        <v>0</v>
      </c>
      <c r="I167" s="96">
        <f>+GETPIVOTDATA("Sum of Old-HS % of Total",'Pivot-HS Student % of Undergrad'!$A$3,"State","GA","Category",10,"Category2","Two-Year")</f>
        <v>0</v>
      </c>
      <c r="J167" s="173">
        <f>+'OLD Tables'!F107+'OLD Tables'!F137</f>
        <v>46477.016666666663</v>
      </c>
      <c r="K167" s="96">
        <f>+GETPIVOTDATA("Sum of Old-HS % of Total",'Pivot-HS Student % of Undergrad'!$A$3,"State","GA","Category2","Group2")</f>
        <v>1.603839316995748E-2</v>
      </c>
    </row>
    <row r="168" spans="1:19" ht="15" customHeight="1">
      <c r="A168" s="1" t="s">
        <v>69</v>
      </c>
      <c r="B168" s="32">
        <f>+'OLD Tables'!B108+'OLD Tables'!B138</f>
        <v>0</v>
      </c>
      <c r="C168" s="96">
        <f>+GETPIVOTDATA("Sum of Old-HS % of Total",'Pivot-HS Student % of Undergrad'!$A$3,"State","KY","Category",7,"Category2","Two-Year")</f>
        <v>0</v>
      </c>
      <c r="D168" s="173">
        <f>+'OLD Tables'!C108+'OLD Tables'!C138</f>
        <v>17112</v>
      </c>
      <c r="E168" s="96">
        <f>+GETPIVOTDATA("Sum of Old-HS % of Total",'Pivot-HS Student % of Undergrad'!$A$3,"State","KY","Category",8,"Category2","Two-Year")</f>
        <v>3.4406654199781832E-2</v>
      </c>
      <c r="F168" s="173">
        <f>+'OLD Tables'!D108+'OLD Tables'!D138</f>
        <v>32833.599999999999</v>
      </c>
      <c r="G168" s="96">
        <f>+GETPIVOTDATA("Sum of Old-HS % of Total",'Pivot-HS Student % of Undergrad'!$A$3,"State","KY","Category",9,"Category2","Two-Year")</f>
        <v>5.4808691909101245E-2</v>
      </c>
      <c r="H168" s="173">
        <f>+'OLD Tables'!E108+'OLD Tables'!E138</f>
        <v>1273.7666666666667</v>
      </c>
      <c r="I168" s="96">
        <f>+GETPIVOTDATA("Sum of Old-HS % of Total",'Pivot-HS Student % of Undergrad'!$A$3,"State","KY","Category",10,"Category2","Two-Year")</f>
        <v>4.7444586920681445E-2</v>
      </c>
      <c r="J168" s="173">
        <f>+'OLD Tables'!F108+'OLD Tables'!F138</f>
        <v>51219.366666666669</v>
      </c>
      <c r="K168" s="96">
        <f>+GETPIVOTDATA("Sum of Old-HS % of Total",'Pivot-HS Student % of Undergrad'!$A$3,"State","KY","Category2","Group2")</f>
        <v>4.7809389807631358E-2</v>
      </c>
    </row>
    <row r="169" spans="1:19" ht="15" customHeight="1">
      <c r="A169" s="1" t="s">
        <v>70</v>
      </c>
      <c r="B169" s="32">
        <f>+'OLD Tables'!B109+'OLD Tables'!B139</f>
        <v>0</v>
      </c>
      <c r="C169" s="96">
        <f>+GETPIVOTDATA("Sum of Old-HS % of Total",'Pivot-HS Student % of Undergrad'!$A$3,"State","LA","Category",7,"Category2","Two-Year")</f>
        <v>0</v>
      </c>
      <c r="D169" s="173">
        <f>+'OLD Tables'!C109+'OLD Tables'!C139</f>
        <v>25183.533333333333</v>
      </c>
      <c r="E169" s="96">
        <f>+GETPIVOTDATA("Sum of Old-HS % of Total",'Pivot-HS Student % of Undergrad'!$A$3,"State","LA","Category",8,"Category2","Two-Year")</f>
        <v>9.0402988195990505E-3</v>
      </c>
      <c r="F169" s="173">
        <f>+'OLD Tables'!D109+'OLD Tables'!D139</f>
        <v>12686.928888888888</v>
      </c>
      <c r="G169" s="96">
        <f>+GETPIVOTDATA("Sum of Old-HS % of Total",'Pivot-HS Student % of Undergrad'!$A$3,"State","LA","Category",9,"Category2","Two-Year")</f>
        <v>6.7823151146522334E-2</v>
      </c>
      <c r="H169" s="173">
        <f>+'OLD Tables'!E109+'OLD Tables'!E139</f>
        <v>3201.7</v>
      </c>
      <c r="I169" s="96">
        <f>+GETPIVOTDATA("Sum of Old-HS % of Total",'Pivot-HS Student % of Undergrad'!$A$3,"State","LA","Category",10,"Category2","Two-Year")</f>
        <v>0.15722897210856732</v>
      </c>
      <c r="J169" s="173">
        <f>+'OLD Tables'!F109+'OLD Tables'!F139</f>
        <v>41072.162222222214</v>
      </c>
      <c r="K169" s="96">
        <f>+GETPIVOTDATA("Sum of Old-HS % of Total",'Pivot-HS Student % of Undergrad'!$A$3,"State","LA","Category2","Group2")</f>
        <v>3.8749696164757222E-2</v>
      </c>
    </row>
    <row r="170" spans="1:19" ht="15" customHeight="1">
      <c r="A170" s="1" t="s">
        <v>71</v>
      </c>
      <c r="B170" s="32">
        <f>+'OLD Tables'!B110+'OLD Tables'!B140</f>
        <v>0</v>
      </c>
      <c r="C170" s="96">
        <f>+GETPIVOTDATA("Sum of Old-HS % of Total",'Pivot-HS Student % of Undergrad'!$A$3,"State","MD","Category",7,"Category2","Two-Year")</f>
        <v>0</v>
      </c>
      <c r="D170" s="173">
        <f>+'OLD Tables'!C110+'OLD Tables'!C140</f>
        <v>77461.149999999994</v>
      </c>
      <c r="E170" s="96">
        <f>+GETPIVOTDATA("Sum of Old-HS % of Total",'Pivot-HS Student % of Undergrad'!$A$3,"State","MD","Category",8,"Category2","Two-Year")</f>
        <v>0</v>
      </c>
      <c r="F170" s="173">
        <f>+'OLD Tables'!D110+'OLD Tables'!D140</f>
        <v>22938.799999999999</v>
      </c>
      <c r="G170" s="96">
        <f>+GETPIVOTDATA("Sum of Old-HS % of Total",'Pivot-HS Student % of Undergrad'!$A$3,"State","MD","Category",9,"Category2","Two-Year")</f>
        <v>0</v>
      </c>
      <c r="H170" s="173">
        <f>+'OLD Tables'!E110+'OLD Tables'!E140</f>
        <v>4085.5666666666666</v>
      </c>
      <c r="I170" s="96">
        <f>+GETPIVOTDATA("Sum of Old-HS % of Total",'Pivot-HS Student % of Undergrad'!$A$3,"State","MD","Category",10,"Category2","Two-Year")</f>
        <v>0</v>
      </c>
      <c r="J170" s="173">
        <f>+'OLD Tables'!F110+'OLD Tables'!F140</f>
        <v>104485.51666666666</v>
      </c>
      <c r="K170" s="96">
        <f>+GETPIVOTDATA("Sum of Old-HS % of Total",'Pivot-HS Student % of Undergrad'!$A$3,"State","MD","Category2","Group2")</f>
        <v>0</v>
      </c>
    </row>
    <row r="171" spans="1:19" ht="15" customHeight="1">
      <c r="B171" s="32"/>
      <c r="C171" s="96"/>
      <c r="D171" s="173"/>
      <c r="E171" s="96"/>
      <c r="F171" s="173"/>
      <c r="G171" s="96"/>
      <c r="H171" s="173"/>
      <c r="I171" s="96"/>
      <c r="J171" s="173"/>
      <c r="K171" s="96"/>
    </row>
    <row r="172" spans="1:19" ht="15" customHeight="1">
      <c r="A172" s="1" t="s">
        <v>72</v>
      </c>
      <c r="B172" s="32">
        <f>+'OLD Tables'!B112+'OLD Tables'!B142</f>
        <v>0</v>
      </c>
      <c r="C172" s="96">
        <f>+GETPIVOTDATA("Sum of Old-HS % of Total",'Pivot-HS Student % of Undergrad'!$A$3,"State","MS","Category",7,"Category2","Two-Year")</f>
        <v>0</v>
      </c>
      <c r="D172" s="173">
        <f>+'OLD Tables'!C112+'OLD Tables'!C142</f>
        <v>30718.933333333334</v>
      </c>
      <c r="E172" s="96">
        <f>+GETPIVOTDATA("Sum of Old-HS % of Total",'Pivot-HS Student % of Undergrad'!$A$3,"State","MS","Category",8,"Category2","Two-Year")</f>
        <v>1.2008880516684608E-2</v>
      </c>
      <c r="F172" s="173">
        <f>+'OLD Tables'!D112+'OLD Tables'!D142</f>
        <v>31317.4</v>
      </c>
      <c r="G172" s="96">
        <f>+GETPIVOTDATA("Sum of Old-HS % of Total",'Pivot-HS Student % of Undergrad'!$A$3,"State","MS","Category",9,"Category2","Two-Year")</f>
        <v>1.1284461673063536E-2</v>
      </c>
      <c r="H172" s="173">
        <f>+'OLD Tables'!E112+'OLD Tables'!E142</f>
        <v>3813.9333333333334</v>
      </c>
      <c r="I172" s="96">
        <f>+GETPIVOTDATA("Sum of Old-HS % of Total",'Pivot-HS Student % of Undergrad'!$A$3,"State","MS","Category",10,"Category2","Two-Year")</f>
        <v>1.1187050988480834E-2</v>
      </c>
      <c r="J172" s="173">
        <f>+'OLD Tables'!F112+'OLD Tables'!F142</f>
        <v>65850.266666666663</v>
      </c>
      <c r="K172" s="96">
        <f>+GETPIVOTDATA("Sum of Old-HS % of Total",'Pivot-HS Student % of Undergrad'!$A$3,"State","MS","Category2","Group2")</f>
        <v>1.1616758828615221E-2</v>
      </c>
    </row>
    <row r="173" spans="1:19" ht="15" customHeight="1">
      <c r="A173" s="1" t="s">
        <v>73</v>
      </c>
      <c r="B173" s="32">
        <f>+'OLD Tables'!B113+'OLD Tables'!B143</f>
        <v>0</v>
      </c>
      <c r="C173" s="96">
        <f>+GETPIVOTDATA("Sum of Old-HS % of Total",'Pivot-HS Student % of Undergrad'!$A$3,"State","NC","Category",7,"Category2","Two-Year")</f>
        <v>0</v>
      </c>
      <c r="D173" s="173">
        <f>+'OLD Tables'!C113+'OLD Tables'!C143</f>
        <v>91120.755555555559</v>
      </c>
      <c r="E173" s="96">
        <f>+GETPIVOTDATA("Sum of Old-HS % of Total",'Pivot-HS Student % of Undergrad'!$A$3,"State","NC","Category",8,"Category2","Two-Year")</f>
        <v>2.3745255874155866E-2</v>
      </c>
      <c r="F173" s="173">
        <f>+'OLD Tables'!D113+'OLD Tables'!D143</f>
        <v>81986.930000000008</v>
      </c>
      <c r="G173" s="96">
        <f>+GETPIVOTDATA("Sum of Old-HS % of Total",'Pivot-HS Student % of Undergrad'!$A$3,"State","NC","Category",9,"Category2","Two-Year")</f>
        <v>6.886051846471411E-2</v>
      </c>
      <c r="H173" s="173">
        <f>+'OLD Tables'!E113+'OLD Tables'!E143</f>
        <v>36608.441111111111</v>
      </c>
      <c r="I173" s="96">
        <f>+GETPIVOTDATA("Sum of Old-HS % of Total",'Pivot-HS Student % of Undergrad'!$A$3,"State","NC","Category",10,"Category2","Two-Year")</f>
        <v>9.7401943913993677E-2</v>
      </c>
      <c r="J173" s="173">
        <f>+'OLD Tables'!F113+'OLD Tables'!F143</f>
        <v>209716.12666666668</v>
      </c>
      <c r="K173" s="96">
        <f>+GETPIVOTDATA("Sum of Old-HS % of Total",'Pivot-HS Student % of Undergrad'!$A$3,"State","NC","Category2","Group2")</f>
        <v>5.2733825867743403E-2</v>
      </c>
    </row>
    <row r="174" spans="1:19" ht="15" customHeight="1">
      <c r="A174" s="1" t="s">
        <v>74</v>
      </c>
      <c r="B174" s="119">
        <f>+'OLD Tables'!B114+'OLD Tables'!B144</f>
        <v>8803.1333333333332</v>
      </c>
      <c r="C174" s="96">
        <f>+GETPIVOTDATA("Sum of Old-HS % of Total",'Pivot-HS Student % of Undergrad'!$A$3,"State","OK","Category",7,"Category2","Two-Year")</f>
        <v>3.6483221883117374E-2</v>
      </c>
      <c r="D174" s="173">
        <f>+'OLD Tables'!C114+'OLD Tables'!C144</f>
        <v>26973.266666666663</v>
      </c>
      <c r="E174" s="96">
        <f>+GETPIVOTDATA("Sum of Old-HS % of Total",'Pivot-HS Student % of Undergrad'!$A$3,"State","OK","Category",8,"Category2","Two-Year")</f>
        <v>4.4567584200652995E-2</v>
      </c>
      <c r="F174" s="173">
        <f>+'OLD Tables'!D114+'OLD Tables'!D144</f>
        <v>5663.7333333333336</v>
      </c>
      <c r="G174" s="96">
        <f>+GETPIVOTDATA("Sum of Old-HS % of Total",'Pivot-HS Student % of Undergrad'!$A$3,"State","OK","Category",9,"Category2","Two-Year")</f>
        <v>5.3657187249870522E-2</v>
      </c>
      <c r="H174" s="173">
        <f>+'OLD Tables'!E114+'OLD Tables'!E144</f>
        <v>12528.933333333331</v>
      </c>
      <c r="I174" s="96">
        <f>+GETPIVOTDATA("Sum of Old-HS % of Total",'Pivot-HS Student % of Undergrad'!$A$3,"State","OK","Category",10,"Category2","Two-Year")</f>
        <v>7.8769674460182834E-2</v>
      </c>
      <c r="J174" s="175">
        <f>+'OLD Tables'!F114+'OLD Tables'!F144</f>
        <v>53969.066666666666</v>
      </c>
      <c r="K174" s="96">
        <f>+GETPIVOTDATA("Sum of Old-HS % of Total",'Pivot-HS Student % of Undergrad'!$A$3,"State","OK","Category2","Group2")</f>
        <v>5.2142832437346825E-2</v>
      </c>
    </row>
    <row r="175" spans="1:19" ht="15" customHeight="1">
      <c r="A175" s="1" t="s">
        <v>75</v>
      </c>
      <c r="B175" s="32">
        <f>+'OLD Tables'!B115+'OLD Tables'!B145</f>
        <v>0</v>
      </c>
      <c r="C175" s="96">
        <f>+GETPIVOTDATA("Sum of Old-HS % of Total",'Pivot-HS Student % of Undergrad'!$A$3,"State","SC","Category",7,"Category2","Two-Year")</f>
        <v>0</v>
      </c>
      <c r="D175" s="173">
        <f>+'OLD Tables'!C115+'OLD Tables'!C145</f>
        <v>57001.922666666665</v>
      </c>
      <c r="E175" s="96">
        <f>+GETPIVOTDATA("Sum of Old-HS % of Total",'Pivot-HS Student % of Undergrad'!$A$3,"State","SC","Category",8,"Category2","Two-Year")</f>
        <v>2.41512321385557E-2</v>
      </c>
      <c r="F175" s="173">
        <f>+'OLD Tables'!D115+'OLD Tables'!D145</f>
        <v>16852.201000000001</v>
      </c>
      <c r="G175" s="96">
        <f>+GETPIVOTDATA("Sum of Old-HS % of Total",'Pivot-HS Student % of Undergrad'!$A$3,"State","SC","Category",9,"Category2","Two-Year")</f>
        <v>3.6972420793382817E-2</v>
      </c>
      <c r="H175" s="173">
        <f>+'OLD Tables'!E115+'OLD Tables'!E145</f>
        <v>8725.2860000000001</v>
      </c>
      <c r="I175" s="96">
        <f>+GETPIVOTDATA("Sum of Old-HS % of Total",'Pivot-HS Student % of Undergrad'!$A$3,"State","SC","Category",10,"Category2","Two-Year")</f>
        <v>8.3716526398755167E-2</v>
      </c>
      <c r="J175" s="173">
        <f>+'OLD Tables'!F115+'OLD Tables'!F145</f>
        <v>82579.409666666674</v>
      </c>
      <c r="K175" s="96">
        <f>+GETPIVOTDATA("Sum of Old-HS % of Total",'Pivot-HS Student % of Undergrad'!$A$3,"State","SC","Category2","Group2")</f>
        <v>3.1701096190929375E-2</v>
      </c>
    </row>
    <row r="176" spans="1:19" ht="15" customHeight="1">
      <c r="B176" s="32"/>
      <c r="C176" s="96"/>
      <c r="D176" s="173"/>
      <c r="E176" s="96"/>
      <c r="F176" s="173"/>
      <c r="G176" s="96"/>
      <c r="H176" s="173"/>
      <c r="I176" s="96"/>
      <c r="J176" s="173"/>
      <c r="K176" s="96"/>
    </row>
    <row r="177" spans="1:19" ht="15" customHeight="1">
      <c r="A177" s="1" t="s">
        <v>76</v>
      </c>
      <c r="B177" s="32">
        <f>+'OLD Tables'!B117+'OLD Tables'!B147</f>
        <v>0</v>
      </c>
      <c r="C177" s="96">
        <f>+GETPIVOTDATA("Sum of Old-HS % of Total",'Pivot-HS Student % of Undergrad'!$A$3,"State","TN","Category",7,"Category2","Two-Year")</f>
        <v>0</v>
      </c>
      <c r="D177" s="173">
        <f>+'OLD Tables'!C117+'OLD Tables'!C147</f>
        <v>34985.633333333331</v>
      </c>
      <c r="E177" s="96">
        <f>+GETPIVOTDATA("Sum of Old-HS % of Total",'Pivot-HS Student % of Undergrad'!$A$3,"State","TN","Category",8,"Category2","Two-Year")</f>
        <v>3.6584540892499684E-2</v>
      </c>
      <c r="F177" s="173">
        <f>+'OLD Tables'!D117+'OLD Tables'!D147</f>
        <v>28006.433333333327</v>
      </c>
      <c r="G177" s="96">
        <f>+GETPIVOTDATA("Sum of Old-HS % of Total",'Pivot-HS Student % of Undergrad'!$A$3,"State","TN","Category",9,"Category2","Two-Year")</f>
        <v>5.84746599888359E-2</v>
      </c>
      <c r="H177" s="173">
        <f>+'OLD Tables'!E117+'OLD Tables'!E147</f>
        <v>0</v>
      </c>
      <c r="I177" s="96">
        <f>+GETPIVOTDATA("Sum of Old-HS % of Total",'Pivot-HS Student % of Undergrad'!$A$3,"State","TN","Category",10,"Category2","Two-Year")</f>
        <v>0</v>
      </c>
      <c r="J177" s="173">
        <f>+'OLD Tables'!F117+'OLD Tables'!F147</f>
        <v>62992.066666666658</v>
      </c>
      <c r="K177" s="96">
        <f>+GETPIVOTDATA("Sum of Old-HS % of Total",'Pivot-HS Student % of Undergrad'!$A$3,"State","TN","Category2","Group2")</f>
        <v>4.6316943615121904E-2</v>
      </c>
    </row>
    <row r="178" spans="1:19" ht="15" customHeight="1">
      <c r="A178" s="1" t="s">
        <v>77</v>
      </c>
      <c r="B178" s="32">
        <f>+'OLD Tables'!B118+'OLD Tables'!B148</f>
        <v>25487.676666666666</v>
      </c>
      <c r="C178" s="210">
        <f>+GETPIVOTDATA("Sum of Old-HS % of Total",'Pivot-HS Student % of Undergrad'!$A$3,"State","TX","Category",7,"Category2","Two-Year")</f>
        <v>0.19343256124194469</v>
      </c>
      <c r="D178" s="173">
        <f>+'OLD Tables'!C118+'OLD Tables'!C148</f>
        <v>378558.58888888883</v>
      </c>
      <c r="E178" s="210">
        <f>+GETPIVOTDATA("Sum of Old-HS % of Total",'Pivot-HS Student % of Undergrad'!$A$3,"State","TX","Category",8,"Category2","Two-Year")</f>
        <v>6.35065497460824E-2</v>
      </c>
      <c r="F178" s="173">
        <f>+'OLD Tables'!D118+'OLD Tables'!D148</f>
        <v>82101.667777777795</v>
      </c>
      <c r="G178" s="210">
        <f>+GETPIVOTDATA("Sum of Old-HS % of Total",'Pivot-HS Student % of Undergrad'!$A$3,"State","TX","Category",9,"Category2","Two-Year")</f>
        <v>9.7748332189442136E-2</v>
      </c>
      <c r="H178" s="173">
        <f>+'OLD Tables'!E118+'OLD Tables'!E148</f>
        <v>12058.931111111109</v>
      </c>
      <c r="I178" s="210">
        <f>+GETPIVOTDATA("Sum of Old-HS % of Total",'Pivot-HS Student % of Undergrad'!$A$3,"State","TX","Category",10,"Category2","Two-Year")</f>
        <v>0.10458193114159979</v>
      </c>
      <c r="J178" s="173">
        <f>+'OLD Tables'!F118+'OLD Tables'!F148</f>
        <v>498206.86444444442</v>
      </c>
      <c r="K178" s="210">
        <f>+GETPIVOTDATA("Sum of Old-HS % of Total",'Pivot-HS Student % of Undergrad'!$A$3,"State","TX","Category2","Group2")</f>
        <v>7.6763220790813436E-2</v>
      </c>
    </row>
    <row r="179" spans="1:19" ht="15" customHeight="1">
      <c r="A179" s="1" t="s">
        <v>78</v>
      </c>
      <c r="B179" s="32">
        <f>+'OLD Tables'!B119+'OLD Tables'!B149</f>
        <v>0</v>
      </c>
      <c r="C179" s="210">
        <f>+GETPIVOTDATA("Sum of Old-HS % of Total",'Pivot-HS Student % of Undergrad'!$A$3,"State","VA","Category",7,"Category2","Two-Year")</f>
        <v>0</v>
      </c>
      <c r="D179" s="173">
        <f>+'OLD Tables'!C119+'OLD Tables'!C149</f>
        <v>80171.3</v>
      </c>
      <c r="E179" s="210">
        <f>+GETPIVOTDATA("Sum of Old-HS % of Total",'Pivot-HS Student % of Undergrad'!$A$3,"State","VA","Category",8,"Category2","Two-Year")</f>
        <v>5.303019908620666E-2</v>
      </c>
      <c r="F179" s="173">
        <f>+'OLD Tables'!D119+'OLD Tables'!D149</f>
        <v>41313.200000000004</v>
      </c>
      <c r="G179" s="210">
        <f>+GETPIVOTDATA("Sum of Old-HS % of Total",'Pivot-HS Student % of Undergrad'!$A$3,"State","VA","Category",9,"Category2","Two-Year")</f>
        <v>0.28937079028817264</v>
      </c>
      <c r="H179" s="173">
        <f>+'OLD Tables'!E119+'OLD Tables'!E149</f>
        <v>7484.2</v>
      </c>
      <c r="I179" s="210">
        <f>+GETPIVOTDATA("Sum of Old-HS % of Total",'Pivot-HS Student % of Undergrad'!$A$3,"State","VA","Category",10,"Category2","Two-Year")</f>
        <v>0.38293115273954909</v>
      </c>
      <c r="J179" s="173">
        <f>+'OLD Tables'!F119+'OLD Tables'!F149</f>
        <v>128968.7</v>
      </c>
      <c r="K179" s="210">
        <f>+GETPIVOTDATA("Sum of Old-HS % of Total",'Pivot-HS Student % of Undergrad'!$A$3,"State","VA","Category2","Group2")</f>
        <v>0.1478829100911048</v>
      </c>
    </row>
    <row r="180" spans="1:19" ht="15" customHeight="1">
      <c r="A180" s="3" t="s">
        <v>79</v>
      </c>
      <c r="B180" s="9">
        <f>+'OLD Tables'!B120+'OLD Tables'!B150</f>
        <v>4472.5</v>
      </c>
      <c r="C180" s="212">
        <f>+GETPIVOTDATA("Sum of Old-HS % of Total",'Pivot-HS Student % of Undergrad'!$A$3,"State","WV","Category",7,"Category2","Two-Year")</f>
        <v>4.0454630147195823E-2</v>
      </c>
      <c r="D180" s="174">
        <f>+'OLD Tables'!C120+'OLD Tables'!C150</f>
        <v>0</v>
      </c>
      <c r="E180" s="212">
        <f>+GETPIVOTDATA("Sum of Old-HS % of Total",'Pivot-HS Student % of Undergrad'!$A$3,"State","WV","Category",8,"Category2","Two-Year")</f>
        <v>0</v>
      </c>
      <c r="F180" s="174">
        <f>+'OLD Tables'!D120+'OLD Tables'!D150</f>
        <v>6313.5433333333331</v>
      </c>
      <c r="G180" s="212">
        <f>+GETPIVOTDATA("Sum of Old-HS % of Total",'Pivot-HS Student % of Undergrad'!$A$3,"State","WV","Category",9,"Category2","Two-Year")</f>
        <v>4.4364944566257829E-2</v>
      </c>
      <c r="H180" s="174">
        <f>+'OLD Tables'!E120+'OLD Tables'!E150</f>
        <v>7580.0366666666669</v>
      </c>
      <c r="I180" s="212">
        <f>+GETPIVOTDATA("Sum of Old-HS % of Total",'Pivot-HS Student % of Undergrad'!$A$3,"State","WV","Category",10,"Category2","Two-Year")</f>
        <v>3.0302403990130216E-2</v>
      </c>
      <c r="J180" s="174">
        <f>+'OLD Tables'!F120+'OLD Tables'!F150</f>
        <v>18366.080000000002</v>
      </c>
      <c r="K180" s="212">
        <f>+GETPIVOTDATA("Sum of Old-HS % of Total",'Pivot-HS Student % of Undergrad'!$A$3,"State","WV","Category2","Group2")</f>
        <v>3.7608823802720376E-2</v>
      </c>
      <c r="P180" s="25"/>
      <c r="Q180" s="25"/>
      <c r="R180" s="25"/>
      <c r="S180" s="25"/>
    </row>
    <row r="181" spans="1:19" s="25" customFormat="1" ht="46.5" customHeight="1">
      <c r="A181" s="843" t="s">
        <v>978</v>
      </c>
      <c r="B181" s="844"/>
      <c r="C181" s="844"/>
      <c r="D181" s="844"/>
      <c r="E181" s="844"/>
      <c r="F181" s="844"/>
      <c r="G181" s="844"/>
      <c r="H181" s="844"/>
      <c r="I181" s="844"/>
      <c r="J181" s="844"/>
      <c r="K181" s="845"/>
      <c r="L181" s="103"/>
      <c r="M181" s="103"/>
    </row>
    <row r="182" spans="1:19">
      <c r="J182" s="1"/>
      <c r="K182" s="169" t="s">
        <v>982</v>
      </c>
      <c r="L182" s="1"/>
      <c r="M182" s="201"/>
    </row>
    <row r="183" spans="1:19" ht="18">
      <c r="A183" s="115" t="s">
        <v>169</v>
      </c>
      <c r="B183" s="22"/>
      <c r="C183" s="22"/>
      <c r="D183" s="22"/>
      <c r="E183" s="22"/>
      <c r="F183" s="22"/>
      <c r="G183" s="22"/>
      <c r="H183" s="106"/>
      <c r="I183" s="22"/>
      <c r="J183" s="1"/>
      <c r="K183" s="1"/>
      <c r="L183" s="1"/>
      <c r="M183" s="201"/>
    </row>
    <row r="184" spans="1:19" ht="15.75">
      <c r="A184" s="21"/>
      <c r="B184" s="22"/>
      <c r="C184" s="22"/>
      <c r="D184" s="22"/>
      <c r="E184" s="22"/>
      <c r="F184" s="22"/>
      <c r="G184" s="22"/>
      <c r="H184" s="106"/>
      <c r="I184" s="22"/>
      <c r="J184" s="1"/>
      <c r="K184" s="1"/>
      <c r="L184" s="1"/>
      <c r="M184" s="201"/>
    </row>
    <row r="185" spans="1:19" ht="15.75">
      <c r="A185" s="43" t="s">
        <v>36</v>
      </c>
      <c r="B185" s="22"/>
      <c r="C185" s="22"/>
      <c r="D185" s="22"/>
      <c r="E185" s="22"/>
      <c r="F185" s="22"/>
      <c r="G185" s="22"/>
      <c r="H185" s="106"/>
      <c r="I185" s="22"/>
      <c r="J185" s="1"/>
      <c r="K185" s="1"/>
      <c r="L185" s="1"/>
      <c r="M185" s="201"/>
    </row>
    <row r="186" spans="1:19" ht="15.75">
      <c r="A186" s="43" t="s">
        <v>977</v>
      </c>
      <c r="B186" s="22"/>
      <c r="C186" s="22"/>
      <c r="D186" s="22"/>
      <c r="E186" s="22"/>
      <c r="F186" s="22"/>
      <c r="G186" s="22"/>
      <c r="H186" s="106"/>
      <c r="I186" s="22"/>
      <c r="J186" s="1"/>
      <c r="K186" s="1"/>
      <c r="L186" s="1"/>
      <c r="M186" s="201"/>
    </row>
    <row r="187" spans="1:19">
      <c r="C187" s="3"/>
      <c r="D187" s="3"/>
      <c r="E187" s="3"/>
      <c r="F187" s="3"/>
      <c r="G187" s="3"/>
      <c r="H187" s="73"/>
      <c r="I187" s="25"/>
      <c r="J187" s="1"/>
      <c r="K187" s="1"/>
      <c r="L187" s="1"/>
      <c r="M187" s="201"/>
    </row>
    <row r="188" spans="1:19" ht="28.5" customHeight="1">
      <c r="A188" s="45"/>
      <c r="B188" s="265">
        <v>1</v>
      </c>
      <c r="D188" s="223">
        <v>2</v>
      </c>
      <c r="F188" s="224" t="s">
        <v>30</v>
      </c>
      <c r="H188" s="25"/>
      <c r="I188" s="25"/>
      <c r="J188" s="1"/>
      <c r="K188" s="201"/>
      <c r="L188" s="1"/>
      <c r="M188" s="1"/>
    </row>
    <row r="189" spans="1:19" ht="78" customHeight="1">
      <c r="A189" s="203"/>
      <c r="B189" s="204" t="s">
        <v>143</v>
      </c>
      <c r="C189" s="166" t="s">
        <v>22</v>
      </c>
      <c r="D189" s="205" t="s">
        <v>143</v>
      </c>
      <c r="E189" s="166" t="s">
        <v>22</v>
      </c>
      <c r="F189" s="205" t="s">
        <v>143</v>
      </c>
      <c r="G189" s="166" t="s">
        <v>22</v>
      </c>
      <c r="H189" s="1"/>
      <c r="J189" s="1"/>
      <c r="K189" s="201"/>
      <c r="L189" s="1"/>
      <c r="M189" s="1"/>
    </row>
    <row r="190" spans="1:19">
      <c r="A190" s="1" t="s">
        <v>64</v>
      </c>
      <c r="B190" s="32">
        <f>+'OLD Tables'!G100+'OLD Tables'!G130</f>
        <v>103314.87222222223</v>
      </c>
      <c r="D190" s="175">
        <f>+'OLD Tables'!H100+'OLD Tables'!H130</f>
        <v>28325.901111111103</v>
      </c>
      <c r="F190" s="175">
        <f>+'OLD Tables'!I100+'OLD Tables'!I130</f>
        <v>131640.77333333332</v>
      </c>
      <c r="H190" s="1"/>
      <c r="J190" s="1"/>
      <c r="K190" s="201"/>
      <c r="L190" s="1"/>
      <c r="M190" s="1"/>
    </row>
    <row r="191" spans="1:19">
      <c r="A191" s="262"/>
      <c r="B191" s="266"/>
      <c r="C191" s="258" t="s">
        <v>186</v>
      </c>
      <c r="D191" s="264" t="s">
        <v>28</v>
      </c>
      <c r="E191" s="258" t="s">
        <v>187</v>
      </c>
      <c r="F191" s="264" t="s">
        <v>28</v>
      </c>
      <c r="G191" s="258" t="s">
        <v>188</v>
      </c>
      <c r="H191" s="1" t="s">
        <v>28</v>
      </c>
      <c r="J191" s="1"/>
      <c r="K191" s="201"/>
      <c r="L191" s="1"/>
      <c r="M191" s="1"/>
    </row>
    <row r="192" spans="1:19">
      <c r="A192" s="1" t="s">
        <v>65</v>
      </c>
      <c r="B192" s="32">
        <f>+'OLD Tables'!G102+'OLD Tables'!G132</f>
        <v>1349.2666666666667</v>
      </c>
      <c r="C192" s="96">
        <f>+GETPIVOTDATA("Sum of Old-HS % of Total",'Pivot-HS Student % of Undergrad'!$A$3,"State","AL","Category",12,"Category2","Technical")</f>
        <v>5.188003359849795E-3</v>
      </c>
      <c r="D192" s="175">
        <f>+'OLD Tables'!H102+'OLD Tables'!H132</f>
        <v>2102.1333333333332</v>
      </c>
      <c r="E192" s="96">
        <f>+GETPIVOTDATA("Sum of Old-HS % of Total",'Pivot-HS Student % of Undergrad'!$A$3,"State","AL","Category",13,"Category2","Technical")</f>
        <v>5.345363440314601E-2</v>
      </c>
      <c r="F192" s="175">
        <f>+'OLD Tables'!I102+'OLD Tables'!I132</f>
        <v>3451.3999999999996</v>
      </c>
      <c r="G192" s="96">
        <f>+GETPIVOTDATA("Sum of Old-HS % of Total",'Pivot-HS Student % of Undergrad'!$A$3,"State","AL","Category2","Group3")</f>
        <v>3.4584999323945841E-2</v>
      </c>
      <c r="H192" s="1"/>
      <c r="J192" s="1"/>
      <c r="K192" s="201"/>
      <c r="L192" s="1"/>
      <c r="M192" s="1"/>
    </row>
    <row r="193" spans="1:13">
      <c r="A193" s="1" t="s">
        <v>66</v>
      </c>
      <c r="B193" s="32">
        <f>+'OLD Tables'!G103+'OLD Tables'!G133</f>
        <v>0</v>
      </c>
      <c r="C193" s="96">
        <f>+GETPIVOTDATA("Sum of Old-HS % of Total",'Pivot-HS Student % of Undergrad'!$A$3,"State","AR","Category",12,"Category2","Technical")</f>
        <v>0</v>
      </c>
      <c r="D193" s="175">
        <f>+'OLD Tables'!H103+'OLD Tables'!H133</f>
        <v>0</v>
      </c>
      <c r="E193" s="96">
        <f>+GETPIVOTDATA("Sum of Old-HS % of Total",'Pivot-HS Student % of Undergrad'!$A$3,"State","AR","Category",13,"Category2","Technical")</f>
        <v>0</v>
      </c>
      <c r="F193" s="175">
        <f>+'OLD Tables'!I103+'OLD Tables'!I133</f>
        <v>0</v>
      </c>
      <c r="G193" s="96">
        <f>+GETPIVOTDATA("Sum of Old-HS % of Total",'Pivot-HS Student % of Undergrad'!$A$3,"State","AR","Category2","Group3")</f>
        <v>0</v>
      </c>
      <c r="H193" s="1"/>
      <c r="J193" s="1"/>
      <c r="K193" s="201"/>
      <c r="L193" s="1"/>
      <c r="M193" s="1"/>
    </row>
    <row r="194" spans="1:13">
      <c r="A194" s="1" t="s">
        <v>102</v>
      </c>
      <c r="B194" s="32">
        <f>+'OLD Tables'!G104+'OLD Tables'!G134</f>
        <v>0</v>
      </c>
      <c r="C194" s="96">
        <f>+GETPIVOTDATA("Sum of Old-HS % of Total",'Pivot-HS Student % of Undergrad'!$A$3,"State","DE","Category",12,"Category2","Technical")</f>
        <v>0</v>
      </c>
      <c r="D194" s="175">
        <f>+'OLD Tables'!H104+'OLD Tables'!H134</f>
        <v>0</v>
      </c>
      <c r="E194" s="96">
        <f>+GETPIVOTDATA("Sum of Old-HS % of Total",'Pivot-HS Student % of Undergrad'!$A$3,"State","DE","Category",13,"Category2","Technical")</f>
        <v>0</v>
      </c>
      <c r="F194" s="175">
        <f>+'OLD Tables'!I104+'OLD Tables'!I134</f>
        <v>0</v>
      </c>
      <c r="G194" s="96">
        <f>+GETPIVOTDATA("Sum of Old-HS % of Total",'Pivot-HS Student % of Undergrad'!$A$3,"State","DE","Category2","Group3")</f>
        <v>0</v>
      </c>
      <c r="H194" s="1"/>
      <c r="J194" s="1"/>
      <c r="K194" s="201"/>
      <c r="L194" s="1"/>
      <c r="M194" s="1"/>
    </row>
    <row r="195" spans="1:13">
      <c r="A195" s="1" t="s">
        <v>67</v>
      </c>
      <c r="B195" s="32">
        <f>+'OLD Tables'!G105+'OLD Tables'!G135</f>
        <v>0</v>
      </c>
      <c r="C195" s="96">
        <f>+GETPIVOTDATA("Sum of Old-HS % of Total",'Pivot-HS Student % of Undergrad'!$A$3,"State","FL","Category",12,"Category2","Technical")</f>
        <v>0</v>
      </c>
      <c r="D195" s="175">
        <f>+'OLD Tables'!H105+'OLD Tables'!H135</f>
        <v>0</v>
      </c>
      <c r="E195" s="96">
        <f>+GETPIVOTDATA("Sum of Old-HS % of Total",'Pivot-HS Student % of Undergrad'!$A$3,"State","FL","Category",13,"Category2","Technical")</f>
        <v>0</v>
      </c>
      <c r="F195" s="175">
        <f>+'OLD Tables'!I105+'OLD Tables'!I135</f>
        <v>0</v>
      </c>
      <c r="G195" s="96">
        <f>+GETPIVOTDATA("Sum of Old-HS % of Total",'Pivot-HS Student % of Undergrad'!$A$3,"State","FL","Category2","Group3")</f>
        <v>0</v>
      </c>
      <c r="H195" s="1"/>
      <c r="J195" s="1"/>
      <c r="K195" s="201"/>
      <c r="L195" s="1"/>
      <c r="M195" s="1"/>
    </row>
    <row r="196" spans="1:13">
      <c r="B196" s="32"/>
      <c r="C196" s="96"/>
      <c r="D196" s="175"/>
      <c r="E196" s="96"/>
      <c r="F196" s="175"/>
      <c r="G196" s="96"/>
      <c r="H196" s="1"/>
      <c r="J196" s="1"/>
      <c r="K196" s="201"/>
      <c r="L196" s="1"/>
      <c r="M196" s="1"/>
    </row>
    <row r="197" spans="1:13">
      <c r="A197" s="1" t="s">
        <v>68</v>
      </c>
      <c r="B197" s="32">
        <f>+'OLD Tables'!G107+'OLD Tables'!G137</f>
        <v>77975.723333333342</v>
      </c>
      <c r="C197" s="96">
        <f>+GETPIVOTDATA("Sum of Old-HS % of Total",'Pivot-HS Student % of Undergrad'!$A$3,"State","GA","Category",12,"Category2","Technical")</f>
        <v>2.5723433494279437E-2</v>
      </c>
      <c r="D197" s="175">
        <f>+'OLD Tables'!H107+'OLD Tables'!H137</f>
        <v>0</v>
      </c>
      <c r="E197" s="96">
        <f>+GETPIVOTDATA("Sum of Old-HS % of Total",'Pivot-HS Student % of Undergrad'!$A$3,"State","GA","Category",13,"Category2","Technical")</f>
        <v>0</v>
      </c>
      <c r="F197" s="175">
        <f>+'OLD Tables'!I107+'OLD Tables'!I137</f>
        <v>77975.723333333342</v>
      </c>
      <c r="G197" s="96">
        <f>+GETPIVOTDATA("Sum of Old-HS % of Total",'Pivot-HS Student % of Undergrad'!$A$3,"State","GA","Category2","Group3")</f>
        <v>2.5723433494279437E-2</v>
      </c>
      <c r="H197" s="1"/>
      <c r="J197" s="1"/>
      <c r="K197" s="201"/>
      <c r="L197" s="1"/>
      <c r="M197" s="1"/>
    </row>
    <row r="198" spans="1:13">
      <c r="A198" s="1" t="s">
        <v>69</v>
      </c>
      <c r="B198" s="32">
        <f>+'OLD Tables'!G108+'OLD Tables'!G138</f>
        <v>5047.0666666666666</v>
      </c>
      <c r="C198" s="96">
        <f>+GETPIVOTDATA("Sum of Old-HS % of Total",'Pivot-HS Student % of Undergrad'!$A$3,"State","KY","Category",12,"Category2","Technical")</f>
        <v>4.370855678545954E-2</v>
      </c>
      <c r="D198" s="175">
        <f>+'OLD Tables'!H108+'OLD Tables'!H138</f>
        <v>0</v>
      </c>
      <c r="E198" s="96">
        <f>+GETPIVOTDATA("Sum of Old-HS % of Total",'Pivot-HS Student % of Undergrad'!$A$3,"State","KY","Category",13,"Category2","Technical")</f>
        <v>0</v>
      </c>
      <c r="F198" s="175">
        <f>+'OLD Tables'!I108+'OLD Tables'!I138</f>
        <v>5047.0666666666666</v>
      </c>
      <c r="G198" s="96">
        <f>+GETPIVOTDATA("Sum of Old-HS % of Total",'Pivot-HS Student % of Undergrad'!$A$3,"State","KY","Category2","Group3")</f>
        <v>4.370855678545954E-2</v>
      </c>
      <c r="H198" s="1"/>
      <c r="J198" s="1"/>
      <c r="K198" s="201"/>
      <c r="L198" s="1"/>
      <c r="M198" s="1"/>
    </row>
    <row r="199" spans="1:13">
      <c r="A199" s="1" t="s">
        <v>70</v>
      </c>
      <c r="B199" s="32">
        <f>+'OLD Tables'!G109+'OLD Tables'!G139</f>
        <v>13854.743333333334</v>
      </c>
      <c r="C199" s="96">
        <f>+GETPIVOTDATA("Sum of Old-HS % of Total",'Pivot-HS Student % of Undergrad'!$A$3,"State","LA","Category",12,"Category2","Technical")</f>
        <v>0.12616633944365607</v>
      </c>
      <c r="D199" s="175">
        <f>+'OLD Tables'!H109+'OLD Tables'!H139</f>
        <v>0</v>
      </c>
      <c r="E199" s="96">
        <f>+GETPIVOTDATA("Sum of Old-HS % of Total",'Pivot-HS Student % of Undergrad'!$A$3,"State","LA","Category",13,"Category2","Technical")</f>
        <v>0</v>
      </c>
      <c r="F199" s="175">
        <f>+'OLD Tables'!I109+'OLD Tables'!I139</f>
        <v>13854.743333333334</v>
      </c>
      <c r="G199" s="96">
        <f>+GETPIVOTDATA("Sum of Old-HS % of Total",'Pivot-HS Student % of Undergrad'!$A$3,"State","LA","Category2","Group3")</f>
        <v>0.12616633944365607</v>
      </c>
      <c r="H199" s="1"/>
      <c r="J199" s="1"/>
      <c r="K199" s="201"/>
      <c r="L199" s="1"/>
      <c r="M199" s="1"/>
    </row>
    <row r="200" spans="1:13">
      <c r="A200" s="1" t="s">
        <v>71</v>
      </c>
      <c r="B200" s="32">
        <f>+'OLD Tables'!G110+'OLD Tables'!G140</f>
        <v>0</v>
      </c>
      <c r="C200" s="96">
        <f>+GETPIVOTDATA("Sum of Old-HS % of Total",'Pivot-HS Student % of Undergrad'!$A$3,"State","MD","Category",12,"Category2","Technical")</f>
        <v>0</v>
      </c>
      <c r="D200" s="175">
        <f>+'OLD Tables'!H110+'OLD Tables'!H140</f>
        <v>0</v>
      </c>
      <c r="E200" s="96">
        <f>+GETPIVOTDATA("Sum of Old-HS % of Total",'Pivot-HS Student % of Undergrad'!$A$3,"State","MD","Category",13,"Category2","Technical")</f>
        <v>0</v>
      </c>
      <c r="F200" s="175">
        <f>+'OLD Tables'!I110+'OLD Tables'!I140</f>
        <v>0</v>
      </c>
      <c r="G200" s="96">
        <f>+GETPIVOTDATA("Sum of Old-HS % of Total",'Pivot-HS Student % of Undergrad'!$A$3,"State","MD","Category2","Group3")</f>
        <v>0</v>
      </c>
      <c r="H200" s="1"/>
      <c r="J200" s="1"/>
      <c r="K200" s="201"/>
      <c r="L200" s="1"/>
      <c r="M200" s="1"/>
    </row>
    <row r="201" spans="1:13">
      <c r="B201" s="32"/>
      <c r="C201" s="96"/>
      <c r="D201" s="175"/>
      <c r="E201" s="96"/>
      <c r="F201" s="175"/>
      <c r="G201" s="96"/>
      <c r="H201" s="1"/>
      <c r="J201" s="1"/>
      <c r="K201" s="201"/>
      <c r="L201" s="1"/>
      <c r="M201" s="1"/>
    </row>
    <row r="202" spans="1:13">
      <c r="A202" s="1" t="s">
        <v>72</v>
      </c>
      <c r="B202" s="32">
        <f>+'OLD Tables'!G112+'OLD Tables'!G142</f>
        <v>0</v>
      </c>
      <c r="C202" s="96">
        <f>+GETPIVOTDATA("Sum of Old-HS % of Total",'Pivot-HS Student % of Undergrad'!$A$3,"State","MS","Category",12,"Category2","Technical")</f>
        <v>0</v>
      </c>
      <c r="D202" s="175">
        <f>+'OLD Tables'!H112+'OLD Tables'!H142</f>
        <v>0</v>
      </c>
      <c r="E202" s="96">
        <f>+GETPIVOTDATA("Sum of Old-HS % of Total",'Pivot-HS Student % of Undergrad'!$A$3,"State","MS","Category",13,"Category2","Technical")</f>
        <v>0</v>
      </c>
      <c r="F202" s="175">
        <f>+'OLD Tables'!I112+'OLD Tables'!I142</f>
        <v>0</v>
      </c>
      <c r="G202" s="96">
        <f>+GETPIVOTDATA("Sum of Old-HS % of Total",'Pivot-HS Student % of Undergrad'!$A$3,"State","MS","Category2","Group3")</f>
        <v>0</v>
      </c>
      <c r="H202" s="1"/>
      <c r="J202" s="1"/>
      <c r="K202" s="201"/>
      <c r="L202" s="1"/>
      <c r="M202" s="1"/>
    </row>
    <row r="203" spans="1:13">
      <c r="A203" s="1" t="s">
        <v>73</v>
      </c>
      <c r="B203" s="32">
        <f>+'OLD Tables'!G113+'OLD Tables'!G143</f>
        <v>0</v>
      </c>
      <c r="C203" s="96">
        <f>+GETPIVOTDATA("Sum of Old-HS % of Total",'Pivot-HS Student % of Undergrad'!$A$3,"State","NC","Category",12,"Category2","Technical")</f>
        <v>0</v>
      </c>
      <c r="D203" s="175">
        <f>+'OLD Tables'!H113+'OLD Tables'!H143</f>
        <v>0</v>
      </c>
      <c r="E203" s="96">
        <f>+GETPIVOTDATA("Sum of Old-HS % of Total",'Pivot-HS Student % of Undergrad'!$A$3,"State","NC","Category",13,"Category2","Technical")</f>
        <v>0</v>
      </c>
      <c r="F203" s="175">
        <f>+'OLD Tables'!I113+'OLD Tables'!I143</f>
        <v>0</v>
      </c>
      <c r="G203" s="96">
        <f>+GETPIVOTDATA("Sum of Old-HS % of Total",'Pivot-HS Student % of Undergrad'!$A$3,"State","NC","Category2","Group3")</f>
        <v>0</v>
      </c>
      <c r="H203" s="1"/>
      <c r="J203" s="1"/>
      <c r="K203" s="201"/>
      <c r="L203" s="1"/>
      <c r="M203" s="1"/>
    </row>
    <row r="204" spans="1:13">
      <c r="A204" s="1" t="s">
        <v>74</v>
      </c>
      <c r="B204" s="32">
        <f>+'OLD Tables'!G114+'OLD Tables'!G144</f>
        <v>4046.5422222222219</v>
      </c>
      <c r="C204" s="96">
        <f>+GETPIVOTDATA("Sum of Old-HS % of Total",'Pivot-HS Student % of Undergrad'!$A$3,"State","OK","Category",12,"Category2","Technical")</f>
        <v>0</v>
      </c>
      <c r="D204" s="175">
        <f>+'OLD Tables'!H114+'OLD Tables'!H144</f>
        <v>15930.953333333329</v>
      </c>
      <c r="E204" s="96">
        <f>+GETPIVOTDATA("Sum of Old-HS % of Total",'Pivot-HS Student % of Undergrad'!$A$3,"State","OK","Category",13,"Category2","Technical")</f>
        <v>0</v>
      </c>
      <c r="F204" s="175">
        <f>+'OLD Tables'!I114+'OLD Tables'!I144</f>
        <v>19977.49555555555</v>
      </c>
      <c r="G204" s="96">
        <f>+GETPIVOTDATA("Sum of Old-HS % of Total",'Pivot-HS Student % of Undergrad'!$A$3,"State","OK","Category2","Group3")</f>
        <v>0</v>
      </c>
      <c r="H204" s="1"/>
      <c r="J204" s="1"/>
      <c r="K204" s="201"/>
      <c r="L204" s="1"/>
      <c r="M204" s="1"/>
    </row>
    <row r="205" spans="1:13">
      <c r="A205" s="1" t="s">
        <v>75</v>
      </c>
      <c r="B205" s="32">
        <f>+'OLD Tables'!G115+'OLD Tables'!G145</f>
        <v>0</v>
      </c>
      <c r="C205" s="96">
        <f>+GETPIVOTDATA("Sum of Old-HS % of Total",'Pivot-HS Student % of Undergrad'!$A$3,"State","SC","Category",12,"Category2","Technical")</f>
        <v>0</v>
      </c>
      <c r="D205" s="175">
        <f>+'OLD Tables'!H115+'OLD Tables'!H145</f>
        <v>0</v>
      </c>
      <c r="E205" s="96">
        <f>+GETPIVOTDATA("Sum of Old-HS % of Total",'Pivot-HS Student % of Undergrad'!$A$3,"State","SC","Category",13,"Category2","Technical")</f>
        <v>0</v>
      </c>
      <c r="F205" s="175">
        <f>+'OLD Tables'!I115+'OLD Tables'!I145</f>
        <v>0</v>
      </c>
      <c r="G205" s="96">
        <f>+GETPIVOTDATA("Sum of Old-HS % of Total",'Pivot-HS Student % of Undergrad'!$A$3,"State","SC","Category2","Group3")</f>
        <v>0</v>
      </c>
      <c r="H205" s="1"/>
      <c r="J205" s="1"/>
      <c r="K205" s="201"/>
      <c r="L205" s="1"/>
      <c r="M205" s="1"/>
    </row>
    <row r="206" spans="1:13">
      <c r="B206" s="32"/>
      <c r="C206" s="96"/>
      <c r="D206" s="175"/>
      <c r="E206" s="96"/>
      <c r="F206" s="175"/>
      <c r="G206" s="96"/>
      <c r="H206" s="1"/>
      <c r="J206" s="1"/>
      <c r="K206" s="201"/>
      <c r="L206" s="1"/>
      <c r="M206" s="1"/>
    </row>
    <row r="207" spans="1:13">
      <c r="A207" s="1" t="s">
        <v>76</v>
      </c>
      <c r="B207" s="32">
        <f>+'OLD Tables'!G117+'OLD Tables'!G147</f>
        <v>1041.53</v>
      </c>
      <c r="C207" s="96">
        <f>+GETPIVOTDATA("Sum of Old-HS % of Total",'Pivot-HS Student % of Undergrad'!$A$3,"State","TN","Category",12,"Category2","Technical")</f>
        <v>0</v>
      </c>
      <c r="D207" s="175">
        <f>+'OLD Tables'!H117+'OLD Tables'!H147</f>
        <v>10292.814444444444</v>
      </c>
      <c r="E207" s="96">
        <f>+GETPIVOTDATA("Sum of Old-HS % of Total",'Pivot-HS Student % of Undergrad'!$A$3,"State","TN","Category",13,"Category2","Technical")</f>
        <v>0</v>
      </c>
      <c r="F207" s="175">
        <f>+'OLD Tables'!I117+'OLD Tables'!I147</f>
        <v>11334.344444444445</v>
      </c>
      <c r="G207" s="96">
        <f>+GETPIVOTDATA("Sum of Old-HS % of Total",'Pivot-HS Student % of Undergrad'!$A$3,"State","TN","Category2","Group3")</f>
        <v>0</v>
      </c>
      <c r="H207" s="1"/>
      <c r="J207" s="1"/>
      <c r="K207" s="201"/>
      <c r="L207" s="1"/>
      <c r="M207" s="1"/>
    </row>
    <row r="208" spans="1:13">
      <c r="A208" s="1" t="s">
        <v>77</v>
      </c>
      <c r="B208" s="32">
        <f>+'OLD Tables'!G118+'OLD Tables'!G148</f>
        <v>0</v>
      </c>
      <c r="C208" s="210">
        <f>+GETPIVOTDATA("Sum of Old-HS % of Total",'Pivot-HS Student % of Undergrad'!$A$3,"State","TX","Category",12,"Category2","Technical")</f>
        <v>0</v>
      </c>
      <c r="D208" s="175">
        <f>+'OLD Tables'!H118+'OLD Tables'!H148</f>
        <v>0</v>
      </c>
      <c r="E208" s="210">
        <f>+GETPIVOTDATA("Sum of Old-HS % of Total",'Pivot-HS Student % of Undergrad'!$A$3,"State","TX","Category",13,"Category2","Technical")</f>
        <v>0</v>
      </c>
      <c r="F208" s="175">
        <f>+'OLD Tables'!I118+'OLD Tables'!I148</f>
        <v>0</v>
      </c>
      <c r="G208" s="96">
        <f>+GETPIVOTDATA("Sum of Old-HS % of Total",'Pivot-HS Student % of Undergrad'!$A$3,"State","TX","Category2","Group3")</f>
        <v>0</v>
      </c>
      <c r="H208" s="1"/>
      <c r="J208" s="1"/>
      <c r="K208" s="201"/>
      <c r="L208" s="1"/>
      <c r="M208" s="1"/>
    </row>
    <row r="209" spans="1:13">
      <c r="A209" s="1" t="s">
        <v>78</v>
      </c>
      <c r="B209" s="32">
        <f>+'OLD Tables'!G119+'OLD Tables'!G149</f>
        <v>0</v>
      </c>
      <c r="C209" s="210">
        <f>+GETPIVOTDATA("Sum of Old-HS % of Total",'Pivot-HS Student % of Undergrad'!$A$3,"State","VA","Category",12,"Category2","Technical")</f>
        <v>0</v>
      </c>
      <c r="D209" s="175">
        <f>+'OLD Tables'!H119+'OLD Tables'!H149</f>
        <v>0</v>
      </c>
      <c r="E209" s="210">
        <f>+GETPIVOTDATA("Sum of Old-HS % of Total",'Pivot-HS Student % of Undergrad'!$A$3,"State","VA","Category",13,"Category2","Technical")</f>
        <v>0</v>
      </c>
      <c r="F209" s="175">
        <f>+'OLD Tables'!I119+'OLD Tables'!I149</f>
        <v>0</v>
      </c>
      <c r="G209" s="96">
        <f>+GETPIVOTDATA("Sum of Old-HS % of Total",'Pivot-HS Student % of Undergrad'!$A$3,"State","VA","Category2","Group3")</f>
        <v>0</v>
      </c>
      <c r="H209" s="1"/>
      <c r="J209" s="1"/>
      <c r="K209" s="201"/>
      <c r="L209" s="1"/>
      <c r="M209" s="1"/>
    </row>
    <row r="210" spans="1:13">
      <c r="A210" s="3" t="s">
        <v>79</v>
      </c>
      <c r="B210" s="9">
        <f>+'OLD Tables'!G120+'OLD Tables'!G150</f>
        <v>0</v>
      </c>
      <c r="C210" s="212">
        <f>+GETPIVOTDATA("Sum of Old-HS % of Total",'Pivot-HS Student % of Undergrad'!$A$3,"State","WV","Category",12,"Category2","Technical")</f>
        <v>0</v>
      </c>
      <c r="D210" s="176">
        <f>+'OLD Tables'!H120+'OLD Tables'!H150</f>
        <v>0</v>
      </c>
      <c r="E210" s="212">
        <f>+GETPIVOTDATA("Sum of Old-HS % of Total",'Pivot-HS Student % of Undergrad'!$A$3,"State","WV","Category",13,"Category2","Technical")</f>
        <v>0</v>
      </c>
      <c r="F210" s="176">
        <f>+'OLD Tables'!I120+'OLD Tables'!I150</f>
        <v>0</v>
      </c>
      <c r="G210" s="212">
        <f>+GETPIVOTDATA("Sum of Old-HS % of Total",'Pivot-HS Student % of Undergrad'!$A$3,"State","WV","Category2","Group3")</f>
        <v>0</v>
      </c>
      <c r="H210" s="1"/>
      <c r="J210" s="1"/>
      <c r="K210" s="201"/>
      <c r="L210" s="1"/>
      <c r="M210" s="1"/>
    </row>
    <row r="211" spans="1:13" ht="58.5" customHeight="1">
      <c r="A211" s="835" t="s">
        <v>978</v>
      </c>
      <c r="B211" s="835"/>
      <c r="C211" s="835"/>
      <c r="D211" s="835"/>
      <c r="E211" s="835"/>
      <c r="F211" s="835"/>
      <c r="G211" s="835"/>
      <c r="H211" s="442"/>
      <c r="I211" s="442"/>
      <c r="J211" s="1"/>
      <c r="K211" s="1"/>
      <c r="L211" s="1"/>
      <c r="M211" s="201"/>
    </row>
    <row r="212" spans="1:13" ht="10.5" customHeight="1">
      <c r="A212" s="267"/>
      <c r="B212" s="267"/>
      <c r="C212" s="267"/>
      <c r="D212" s="267"/>
      <c r="E212" s="267"/>
      <c r="F212" s="267"/>
      <c r="G212" s="267"/>
      <c r="H212" s="267"/>
      <c r="I212" s="169" t="s">
        <v>982</v>
      </c>
      <c r="J212" s="1"/>
      <c r="K212" s="1"/>
      <c r="L212" s="1"/>
      <c r="M212" s="201"/>
    </row>
    <row r="213" spans="1:13" ht="18">
      <c r="A213" s="222" t="s">
        <v>194</v>
      </c>
      <c r="B213" s="20"/>
      <c r="C213" s="20"/>
      <c r="D213" s="34"/>
      <c r="E213" s="17"/>
      <c r="F213" s="22"/>
      <c r="G213" s="22"/>
      <c r="H213" s="106"/>
    </row>
    <row r="214" spans="1:13" ht="9.75" customHeight="1">
      <c r="A214" s="21"/>
      <c r="B214" s="21"/>
      <c r="C214" s="21"/>
      <c r="D214" s="35"/>
      <c r="E214" s="17"/>
      <c r="F214" s="22"/>
      <c r="G214" s="22"/>
      <c r="H214" s="106"/>
    </row>
    <row r="215" spans="1:13" ht="15.75">
      <c r="A215" s="43" t="s">
        <v>36</v>
      </c>
      <c r="B215" s="43"/>
      <c r="C215" s="43"/>
      <c r="D215" s="62"/>
      <c r="E215" s="17"/>
      <c r="F215" s="22"/>
      <c r="G215" s="22"/>
      <c r="H215" s="106"/>
    </row>
    <row r="216" spans="1:13" ht="15.75">
      <c r="A216" s="43" t="s">
        <v>29</v>
      </c>
      <c r="B216" s="43"/>
      <c r="C216" s="43"/>
      <c r="D216" s="62"/>
      <c r="E216" s="17"/>
      <c r="F216" s="22"/>
      <c r="G216" s="22"/>
      <c r="H216" s="106"/>
    </row>
    <row r="217" spans="1:13" ht="15.75">
      <c r="A217" s="43" t="s">
        <v>289</v>
      </c>
      <c r="B217" s="43"/>
      <c r="C217" s="43"/>
      <c r="D217" s="62"/>
      <c r="E217" s="17"/>
      <c r="F217" s="22"/>
      <c r="G217" s="22"/>
      <c r="H217" s="106"/>
      <c r="I217" s="25"/>
    </row>
    <row r="218" spans="1:13" ht="13.5" customHeight="1">
      <c r="B218" s="2"/>
      <c r="C218" s="2"/>
      <c r="D218" s="26"/>
      <c r="I218" s="25"/>
    </row>
    <row r="219" spans="1:13" ht="63" customHeight="1">
      <c r="A219" s="63"/>
      <c r="B219" s="64" t="s">
        <v>62</v>
      </c>
      <c r="C219" s="36"/>
      <c r="D219" s="64" t="s">
        <v>63</v>
      </c>
      <c r="E219" s="65" t="s">
        <v>28</v>
      </c>
      <c r="F219" s="65" t="s">
        <v>45</v>
      </c>
      <c r="G219" s="66" t="s">
        <v>28</v>
      </c>
      <c r="H219" s="121" t="s">
        <v>59</v>
      </c>
      <c r="I219" s="74"/>
    </row>
    <row r="220" spans="1:13" ht="15" customHeight="1">
      <c r="A220" s="1" t="s">
        <v>64</v>
      </c>
      <c r="B220" s="67">
        <f>+GETPIVOTDATA("Grand Total FTE - Old",'FTE Pivot for regular counts'!$A$2,"Category2","Four-Year")</f>
        <v>2389652.5295000002</v>
      </c>
      <c r="D220" s="15">
        <f>+GETPIVOTDATA("Grand Total FTE - Old",'FTE Pivot for regular counts'!$A$2,"Category2","Two-Year")</f>
        <v>1843113.3230000001</v>
      </c>
      <c r="F220" s="39">
        <f>+GETPIVOTDATA("Grand Total FTE - Old",'FTE Pivot for regular counts'!$A$2,"Category2","Technical")</f>
        <v>131640.77333333332</v>
      </c>
      <c r="G220" s="37"/>
      <c r="H220" s="122">
        <f>+F220+D220+B220</f>
        <v>4364406.6258333335</v>
      </c>
      <c r="I220" s="25"/>
    </row>
    <row r="221" spans="1:13" ht="13.5" customHeight="1">
      <c r="B221" s="15"/>
      <c r="D221" s="15"/>
      <c r="F221" s="39"/>
      <c r="G221" s="37"/>
      <c r="H221" s="122"/>
      <c r="I221" s="25"/>
    </row>
    <row r="222" spans="1:13" ht="15" customHeight="1">
      <c r="A222" s="1" t="s">
        <v>65</v>
      </c>
      <c r="B222" s="15">
        <f>+GETPIVOTDATA("Grand Total FTE - Old",'FTE Pivot for regular counts'!$A$2,"State","AL","Category2","Four-Year")</f>
        <v>129153.88333333333</v>
      </c>
      <c r="D222" s="15">
        <f>+GETPIVOTDATA("Grand Total FTE - Old",'FTE Pivot for regular counts'!$A$2,"State","AL","Category2","Two-Year")</f>
        <v>67231.166666666672</v>
      </c>
      <c r="F222" s="39">
        <f>+GETPIVOTDATA("Grand Total FTE - Old",'FTE Pivot for regular counts'!$A$2,"State","AL","Category2","Technical")</f>
        <v>3451.3999999999996</v>
      </c>
      <c r="G222" s="37"/>
      <c r="H222" s="122">
        <f t="shared" ref="H222:H237" si="0">+F222+D222+B222</f>
        <v>199836.45</v>
      </c>
      <c r="I222" s="25"/>
    </row>
    <row r="223" spans="1:13" ht="15" customHeight="1">
      <c r="A223" s="4" t="s">
        <v>66</v>
      </c>
      <c r="B223" s="15">
        <f>+GETPIVOTDATA("Grand Total FTE - Old",'FTE Pivot for regular counts'!$A$2,"State","AR","Category2","Four-Year")</f>
        <v>80386.45</v>
      </c>
      <c r="D223" s="15">
        <f>+GETPIVOTDATA("Grand Total FTE - Old",'FTE Pivot for regular counts'!$A$2,"State","AR","Category2","Two-Year")</f>
        <v>42199.966666666667</v>
      </c>
      <c r="F223" s="39">
        <f>+GETPIVOTDATA("Grand Total FTE - Old",'FTE Pivot for regular counts'!$A$2,"State","AR","Category2","Technical")</f>
        <v>0</v>
      </c>
      <c r="G223" s="37"/>
      <c r="H223" s="122">
        <f t="shared" si="0"/>
        <v>122586.41666666666</v>
      </c>
      <c r="I223" s="25"/>
    </row>
    <row r="224" spans="1:13" ht="15" customHeight="1">
      <c r="A224" s="1" t="s">
        <v>102</v>
      </c>
      <c r="B224" s="103">
        <f>+GETPIVOTDATA("Grand Total FTE - Old",'FTE Pivot for regular counts'!$A$2,"State","DE","Category2","Four-Year")</f>
        <v>23940.275000000001</v>
      </c>
      <c r="D224" s="15">
        <f>+GETPIVOTDATA("Grand Total FTE - Old",'FTE Pivot for regular counts'!$A$2,"State","DE","Category2","Two-Year")</f>
        <v>10774.966666666667</v>
      </c>
      <c r="F224" s="39">
        <f>+GETPIVOTDATA("Grand Total FTE - Old",'FTE Pivot for regular counts'!$A$2,"State","DE","Category2","Technical")</f>
        <v>0</v>
      </c>
      <c r="G224" s="37"/>
      <c r="H224" s="122">
        <f t="shared" si="0"/>
        <v>34715.241666666669</v>
      </c>
      <c r="I224" s="25"/>
    </row>
    <row r="225" spans="1:13" ht="15" customHeight="1">
      <c r="A225" s="1" t="s">
        <v>67</v>
      </c>
      <c r="B225" s="15">
        <f>+GETPIVOTDATA("Grand Total FTE - Old",'FTE Pivot for regular counts'!$A$2,"State","FL","Category2","Four-Year")</f>
        <v>295499.88750000001</v>
      </c>
      <c r="D225" s="15">
        <f>+GETPIVOTDATA("Grand Total FTE - Old",'FTE Pivot for regular counts'!$A$2,"State","FL","Category2","Two-Year")</f>
        <v>359004.58</v>
      </c>
      <c r="F225" s="39">
        <f>+GETPIVOTDATA("Grand Total FTE - Old",'FTE Pivot for regular counts'!$A$2,"State","FL","Category2","Technical")</f>
        <v>0</v>
      </c>
      <c r="G225" s="37"/>
      <c r="H225" s="122">
        <f t="shared" si="0"/>
        <v>654504.46750000003</v>
      </c>
      <c r="I225" s="25"/>
    </row>
    <row r="226" spans="1:13" ht="15" customHeight="1">
      <c r="A226" s="1" t="s">
        <v>68</v>
      </c>
      <c r="B226" s="15">
        <f>+GETPIVOTDATA("Grand Total FTE - Old",'FTE Pivot for regular counts'!$A$2,"State","GA","Category2","Four-Year")</f>
        <v>228526.42583333331</v>
      </c>
      <c r="D226" s="15">
        <f>+GETPIVOTDATA("Grand Total FTE - Old",'FTE Pivot for regular counts'!$A$2,"State","GA","Category2","Two-Year")</f>
        <v>46477.016666666663</v>
      </c>
      <c r="F226" s="39">
        <f>+GETPIVOTDATA("Grand Total FTE - Old",'FTE Pivot for regular counts'!$A$2,"State","GA","Category2","Technical")</f>
        <v>77975.723333333342</v>
      </c>
      <c r="G226" s="37"/>
      <c r="H226" s="122">
        <f t="shared" si="0"/>
        <v>352979.16583333333</v>
      </c>
      <c r="I226" s="25"/>
    </row>
    <row r="227" spans="1:13" ht="15" customHeight="1">
      <c r="A227" s="1" t="s">
        <v>69</v>
      </c>
      <c r="B227" s="15">
        <f>+GETPIVOTDATA("Grand Total FTE - Old",'FTE Pivot for regular counts'!$A$2,"State","KY","Category2","Four-Year")</f>
        <v>101030.05</v>
      </c>
      <c r="D227" s="15">
        <f>+GETPIVOTDATA("Grand Total FTE - Old",'FTE Pivot for regular counts'!$A$2,"State","KY","Category2","Two-Year")</f>
        <v>51219.366666666669</v>
      </c>
      <c r="F227" s="39">
        <f>+GETPIVOTDATA("Grand Total FTE - Old",'FTE Pivot for regular counts'!$A$2,"State","KY","Category2","Technical")</f>
        <v>5047.0666666666666</v>
      </c>
      <c r="G227" s="37"/>
      <c r="H227" s="122">
        <f t="shared" si="0"/>
        <v>157296.48333333334</v>
      </c>
      <c r="I227" s="25"/>
    </row>
    <row r="228" spans="1:13" ht="15" customHeight="1">
      <c r="A228" s="1" t="s">
        <v>70</v>
      </c>
      <c r="B228" s="15">
        <f>+GETPIVOTDATA("Grand Total FTE - Old",'FTE Pivot for regular counts'!$A$2,"State","LA","Category2","Four-Year")</f>
        <v>123427.8</v>
      </c>
      <c r="D228" s="15">
        <f>+GETPIVOTDATA("Grand Total FTE - Old",'FTE Pivot for regular counts'!$A$2,"State","LA","Category2","Two-Year")</f>
        <v>41072.162222222221</v>
      </c>
      <c r="F228" s="39">
        <f>+GETPIVOTDATA("Grand Total FTE - Old",'FTE Pivot for regular counts'!$A$2,"State","LA","Category2","Technical")</f>
        <v>13854.743333333332</v>
      </c>
      <c r="G228" s="37"/>
      <c r="H228" s="122">
        <f t="shared" si="0"/>
        <v>178354.70555555556</v>
      </c>
      <c r="I228" s="25"/>
    </row>
    <row r="229" spans="1:13" ht="15" customHeight="1">
      <c r="A229" s="1" t="s">
        <v>71</v>
      </c>
      <c r="B229" s="15">
        <f>+GETPIVOTDATA("Grand Total FTE - Old",'FTE Pivot for regular counts'!$A$2,"State","MD","Category2","Four-Year")</f>
        <v>103770.45000000001</v>
      </c>
      <c r="D229" s="15">
        <f>+GETPIVOTDATA("Grand Total FTE - Old",'FTE Pivot for regular counts'!$A$2,"State","MD","Category2","Two-Year")</f>
        <v>104485.51666666666</v>
      </c>
      <c r="F229" s="39">
        <f>+GETPIVOTDATA("Grand Total FTE - Old",'FTE Pivot for regular counts'!$A$2,"State","MD","Category2","Technical")</f>
        <v>0</v>
      </c>
      <c r="G229" s="37"/>
      <c r="H229" s="122">
        <f t="shared" si="0"/>
        <v>208255.96666666667</v>
      </c>
      <c r="I229" s="25"/>
    </row>
    <row r="230" spans="1:13" ht="12" customHeight="1">
      <c r="A230" s="1" t="s">
        <v>72</v>
      </c>
      <c r="B230" s="15">
        <f>+GETPIVOTDATA("Grand Total FTE - Old",'FTE Pivot for regular counts'!$A$2,"State","MS","Category2","Four-Year")</f>
        <v>67881.925000000003</v>
      </c>
      <c r="D230" s="15">
        <f>+GETPIVOTDATA("Grand Total FTE - Old",'FTE Pivot for regular counts'!$A$2,"State","MS","Category2","Two-Year")</f>
        <v>65850.266666666663</v>
      </c>
      <c r="F230" s="39">
        <f>+GETPIVOTDATA("Grand Total FTE - Old",'FTE Pivot for regular counts'!$A$2,"State","MS","Category2","Technical")</f>
        <v>0</v>
      </c>
      <c r="G230" s="37"/>
      <c r="H230" s="122">
        <f t="shared" si="0"/>
        <v>133732.19166666665</v>
      </c>
      <c r="I230" s="25"/>
    </row>
    <row r="231" spans="1:13" ht="15" customHeight="1">
      <c r="A231" s="1" t="s">
        <v>73</v>
      </c>
      <c r="B231" s="15">
        <f>+GETPIVOTDATA("Grand Total FTE - Old",'FTE Pivot for regular counts'!$A$2,"State","NC","Category2","Four-Year")</f>
        <v>196043.05000000002</v>
      </c>
      <c r="D231" s="15">
        <f>+GETPIVOTDATA("Grand Total FTE - Old",'FTE Pivot for regular counts'!$A$2,"State","NC","Category2","Two-Year")</f>
        <v>209716.12666666668</v>
      </c>
      <c r="F231" s="39">
        <f>+GETPIVOTDATA("Grand Total FTE - Old",'FTE Pivot for regular counts'!$A$2,"State","NC","Category2","Technical")</f>
        <v>0</v>
      </c>
      <c r="G231" s="37"/>
      <c r="H231" s="122">
        <f t="shared" si="0"/>
        <v>405759.1766666667</v>
      </c>
      <c r="I231" s="25"/>
    </row>
    <row r="232" spans="1:13" ht="15" customHeight="1">
      <c r="A232" s="1" t="s">
        <v>74</v>
      </c>
      <c r="B232" s="15">
        <f>+GETPIVOTDATA("Grand Total FTE - Old",'FTE Pivot for regular counts'!$A$2,"State","OK","Category2","Four-Year")</f>
        <v>96887.483333333337</v>
      </c>
      <c r="D232" s="15">
        <f>+GETPIVOTDATA("Grand Total FTE - Old",'FTE Pivot for regular counts'!$A$2,"State","OK","Category2","Two-Year")</f>
        <v>53969.066666666666</v>
      </c>
      <c r="F232" s="39">
        <f>+GETPIVOTDATA("Grand Total FTE - Old",'FTE Pivot for regular counts'!$A$2,"State","OK","Category2","Technical")</f>
        <v>19977.49555555555</v>
      </c>
      <c r="G232" s="37"/>
      <c r="H232" s="122">
        <f t="shared" si="0"/>
        <v>170834.04555555555</v>
      </c>
      <c r="I232" s="25"/>
    </row>
    <row r="233" spans="1:13" ht="15" customHeight="1">
      <c r="A233" s="1" t="s">
        <v>75</v>
      </c>
      <c r="B233" s="15">
        <f>+GETPIVOTDATA("Grand Total FTE - Old",'FTE Pivot for regular counts'!$A$2,"State","SC","Category2","Four-Year")</f>
        <v>96195.59616666667</v>
      </c>
      <c r="D233" s="15">
        <f>+GETPIVOTDATA("Grand Total FTE - Old",'FTE Pivot for regular counts'!$A$2,"State","SC","Category2","Two-Year")</f>
        <v>82579.409666666674</v>
      </c>
      <c r="F233" s="39">
        <f>+GETPIVOTDATA("Grand Total FTE - Old",'FTE Pivot for regular counts'!$A$2,"State","SC","Category2","Technical")</f>
        <v>0</v>
      </c>
      <c r="G233" s="37"/>
      <c r="H233" s="122">
        <f t="shared" si="0"/>
        <v>178775.00583333336</v>
      </c>
      <c r="I233" s="25"/>
    </row>
    <row r="234" spans="1:13" ht="15" customHeight="1">
      <c r="A234" s="1" t="s">
        <v>76</v>
      </c>
      <c r="B234" s="15">
        <f>+GETPIVOTDATA("Grand Total FTE - Old",'FTE Pivot for regular counts'!$A$2,"State","TN","Category2","Four-Year")</f>
        <v>121770.39166666666</v>
      </c>
      <c r="D234" s="15">
        <f>+GETPIVOTDATA("Grand Total FTE - Old",'FTE Pivot for regular counts'!$A$2,"State","TN","Category2","Two-Year")</f>
        <v>62992.066666666658</v>
      </c>
      <c r="F234" s="39">
        <f>+GETPIVOTDATA("Grand Total FTE - Old",'FTE Pivot for regular counts'!$A$2,"State","TN","Category2","Technical")</f>
        <v>11334.344444444445</v>
      </c>
      <c r="G234" s="37"/>
      <c r="H234" s="122">
        <f t="shared" si="0"/>
        <v>196096.80277777778</v>
      </c>
      <c r="I234" s="25"/>
    </row>
    <row r="235" spans="1:13" ht="15" customHeight="1">
      <c r="A235" s="1" t="s">
        <v>77</v>
      </c>
      <c r="B235" s="15">
        <f>+GETPIVOTDATA("Grand Total FTE - Old",'FTE Pivot for regular counts'!$A$2,"State","TX","Category2","Four-Year")</f>
        <v>472795.48333333328</v>
      </c>
      <c r="D235" s="15">
        <f>+GETPIVOTDATA("Grand Total FTE - Old",'FTE Pivot for regular counts'!$A$2,"State","TX","Category2","Two-Year")</f>
        <v>498206.86444444448</v>
      </c>
      <c r="F235" s="39">
        <f>+GETPIVOTDATA("Grand Total FTE - Old",'FTE Pivot for regular counts'!$A$2,"State","TX","Category2","Technical")</f>
        <v>0</v>
      </c>
      <c r="G235" s="37"/>
      <c r="H235" s="122">
        <f t="shared" si="0"/>
        <v>971002.34777777782</v>
      </c>
      <c r="I235" s="25"/>
    </row>
    <row r="236" spans="1:13" ht="15" customHeight="1">
      <c r="A236" s="1" t="s">
        <v>78</v>
      </c>
      <c r="B236" s="15">
        <f>+GETPIVOTDATA("Grand Total FTE - Old",'FTE Pivot for regular counts'!$A$2,"State","VA","Category2","Four-Year")</f>
        <v>194555.27500000002</v>
      </c>
      <c r="D236" s="15">
        <f>+GETPIVOTDATA("Grand Total FTE - Old",'FTE Pivot for regular counts'!$A$2,"State","VA","Category2","Two-Year")</f>
        <v>128968.7</v>
      </c>
      <c r="F236" s="39">
        <f>+GETPIVOTDATA("Grand Total FTE - Old",'FTE Pivot for regular counts'!$A$2,"State","VA","Category2","Technical")</f>
        <v>0</v>
      </c>
      <c r="G236" s="37"/>
      <c r="H236" s="122">
        <f t="shared" si="0"/>
        <v>323523.97500000003</v>
      </c>
      <c r="I236" s="25"/>
    </row>
    <row r="237" spans="1:13" ht="15" customHeight="1">
      <c r="A237" s="3" t="s">
        <v>79</v>
      </c>
      <c r="B237" s="6">
        <f>+GETPIVOTDATA("Grand Total FTE - Old",'FTE Pivot for regular counts'!$A$2,"State","WV","Category2","Four-Year")</f>
        <v>57788.103333333333</v>
      </c>
      <c r="C237" s="3"/>
      <c r="D237" s="6">
        <f>+GETPIVOTDATA("Grand Total FTE - Old",'FTE Pivot for regular counts'!$A$2,"State","WV","Category2","Two-Year")</f>
        <v>18366.080000000002</v>
      </c>
      <c r="E237" s="3"/>
      <c r="F237" s="40">
        <f>+GETPIVOTDATA("Grand Total FTE - Old",'FTE Pivot for regular counts'!$A$2,"State","WV","Category2","Technical")</f>
        <v>0</v>
      </c>
      <c r="G237" s="38"/>
      <c r="H237" s="122">
        <f t="shared" si="0"/>
        <v>76154.183333333334</v>
      </c>
      <c r="I237" s="25"/>
    </row>
    <row r="238" spans="1:13" s="25" customFormat="1" ht="20.25" customHeight="1">
      <c r="A238" s="76"/>
      <c r="B238" s="16"/>
      <c r="C238" s="16"/>
      <c r="D238" s="16"/>
      <c r="E238" s="16"/>
      <c r="F238" s="16"/>
      <c r="G238" s="16"/>
      <c r="H238" s="109"/>
      <c r="I238" s="15"/>
      <c r="J238" s="103"/>
      <c r="K238" s="103"/>
      <c r="L238" s="103"/>
      <c r="M238" s="103"/>
    </row>
    <row r="239" spans="1:13" ht="71.25" customHeight="1">
      <c r="A239" s="846" t="s">
        <v>978</v>
      </c>
      <c r="B239" s="847"/>
      <c r="C239" s="847"/>
      <c r="D239" s="847"/>
      <c r="E239" s="847"/>
      <c r="F239" s="847"/>
      <c r="G239" s="847"/>
      <c r="H239" s="847"/>
      <c r="I239" s="25"/>
    </row>
    <row r="240" spans="1:13">
      <c r="H240" s="169"/>
    </row>
    <row r="255" spans="14:15">
      <c r="N255" s="25"/>
      <c r="O255" s="25"/>
    </row>
    <row r="256" spans="14:15">
      <c r="N256" s="25"/>
      <c r="O256" s="25"/>
    </row>
    <row r="257" spans="14:15">
      <c r="N257" s="25"/>
      <c r="O257" s="25"/>
    </row>
    <row r="258" spans="14:15">
      <c r="N258" s="25"/>
      <c r="O258" s="25"/>
    </row>
    <row r="259" spans="14:15">
      <c r="N259" s="25"/>
      <c r="O259" s="25"/>
    </row>
    <row r="260" spans="14:15">
      <c r="N260" s="25"/>
      <c r="O260" s="25"/>
    </row>
    <row r="261" spans="14:15">
      <c r="N261" s="25"/>
      <c r="O261" s="25"/>
    </row>
    <row r="262" spans="14:15">
      <c r="N262" s="25"/>
      <c r="O262" s="25"/>
    </row>
    <row r="263" spans="14:15">
      <c r="N263" s="25"/>
      <c r="O263" s="25"/>
    </row>
  </sheetData>
  <mergeCells count="15">
    <mergeCell ref="A181:K181"/>
    <mergeCell ref="A239:H239"/>
    <mergeCell ref="A96:J96"/>
    <mergeCell ref="A123:J123"/>
    <mergeCell ref="A125:J125"/>
    <mergeCell ref="A126:J126"/>
    <mergeCell ref="A211:G211"/>
    <mergeCell ref="A121:I121"/>
    <mergeCell ref="A151:I151"/>
    <mergeCell ref="A95:J95"/>
    <mergeCell ref="B6:G6"/>
    <mergeCell ref="A30:O30"/>
    <mergeCell ref="A60:H60"/>
    <mergeCell ref="A91:H91"/>
    <mergeCell ref="A93:J93"/>
  </mergeCells>
  <printOptions horizontalCentered="1"/>
  <pageMargins left="0.5" right="0.44" top="1" bottom="0.85" header="0.75" footer="0.5"/>
  <pageSetup scale="89" firstPageNumber="80" fitToHeight="7" orientation="landscape" useFirstPageNumber="1" r:id="rId1"/>
  <headerFooter alignWithMargins="0">
    <oddHeader>&amp;RSREB-State Data Exchange</oddHeader>
    <oddFooter>&amp;CC-&amp;P</oddFooter>
  </headerFooter>
  <rowBreaks count="6" manualBreakCount="6">
    <brk id="31" max="14" man="1"/>
    <brk id="62" max="14" man="1"/>
    <brk id="92" max="14" man="1"/>
    <brk id="122" max="14" man="1"/>
    <brk id="152" max="14" man="1"/>
    <brk id="182" max="1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17"/>
  </sheetPr>
  <dimension ref="A1:AK220"/>
  <sheetViews>
    <sheetView zoomScale="90" zoomScaleNormal="90" workbookViewId="0">
      <pane xSplit="2" ySplit="4" topLeftCell="C5" activePane="bottomRight" state="frozen"/>
      <selection pane="topRight" activeCell="C1" sqref="C1"/>
      <selection pane="bottomLeft" activeCell="A5" sqref="A5"/>
      <selection pane="bottomRight" activeCell="C5" sqref="C5"/>
    </sheetView>
  </sheetViews>
  <sheetFormatPr defaultRowHeight="12.75"/>
  <cols>
    <col min="1" max="1" width="7.5" style="361" customWidth="1"/>
    <col min="2" max="2" width="44.1640625" style="214" customWidth="1"/>
    <col min="3" max="8" width="15" style="214" customWidth="1"/>
    <col min="9" max="9" width="16.83203125" style="214" customWidth="1"/>
    <col min="10" max="13" width="13.6640625" style="214" customWidth="1"/>
    <col min="14" max="14" width="16.33203125" style="214" customWidth="1"/>
    <col min="15" max="16" width="13.83203125" style="214" hidden="1" customWidth="1"/>
    <col min="17" max="17" width="11" style="214" customWidth="1"/>
    <col min="18" max="18" width="10.6640625" style="214" customWidth="1"/>
    <col min="19" max="19" width="11.33203125" style="214" customWidth="1"/>
    <col min="20" max="20" width="10" style="214" customWidth="1"/>
    <col min="21" max="21" width="11.33203125" style="214" customWidth="1"/>
    <col min="22" max="22" width="11.1640625" style="214" customWidth="1"/>
    <col min="23" max="23" width="11.33203125" style="214" customWidth="1"/>
    <col min="24" max="24" width="10.1640625" style="214" customWidth="1"/>
    <col min="25" max="25" width="11.33203125" style="214" customWidth="1"/>
    <col min="26" max="26" width="9.6640625" style="214" customWidth="1"/>
    <col min="27" max="27" width="10.1640625" style="214" customWidth="1"/>
    <col min="28" max="30" width="2.1640625" style="214" customWidth="1"/>
    <col min="31" max="31" width="14.5" style="214" customWidth="1"/>
    <col min="32" max="32" width="13.6640625" style="214" customWidth="1"/>
    <col min="33" max="33" width="12.6640625" style="214" customWidth="1"/>
    <col min="34" max="34" width="16" style="214" customWidth="1"/>
    <col min="35" max="35" width="16.5" style="214" customWidth="1"/>
    <col min="36" max="36" width="14.6640625" style="214" customWidth="1"/>
    <col min="37" max="37" width="14" style="214" customWidth="1"/>
    <col min="38" max="16384" width="9.33203125" style="214"/>
  </cols>
  <sheetData>
    <row r="1" spans="1:31" s="73" customFormat="1">
      <c r="A1" s="84"/>
      <c r="B1" s="83"/>
      <c r="C1" s="4"/>
      <c r="D1" s="4"/>
      <c r="E1" s="4" t="s">
        <v>28</v>
      </c>
      <c r="F1" s="4"/>
      <c r="G1" s="4"/>
      <c r="H1" s="4"/>
      <c r="I1" s="4"/>
      <c r="J1" s="4"/>
      <c r="K1" s="4"/>
      <c r="L1" s="4"/>
      <c r="M1" s="82"/>
      <c r="N1" s="4"/>
      <c r="T1" s="248" t="s">
        <v>37</v>
      </c>
      <c r="U1" s="248"/>
      <c r="V1" s="248"/>
      <c r="W1" s="248"/>
      <c r="X1" s="248"/>
      <c r="Y1" s="248"/>
      <c r="Z1" s="248"/>
      <c r="AA1" s="248"/>
    </row>
    <row r="2" spans="1:31">
      <c r="A2" s="335"/>
      <c r="B2" s="336"/>
      <c r="C2" s="337" t="s">
        <v>42</v>
      </c>
      <c r="D2" s="338" t="s">
        <v>104</v>
      </c>
      <c r="E2" s="338"/>
      <c r="F2" s="338"/>
      <c r="G2" s="338"/>
      <c r="H2" s="338"/>
      <c r="I2" s="338"/>
      <c r="J2" s="343"/>
      <c r="K2" s="338"/>
      <c r="L2" s="338"/>
      <c r="M2" s="339"/>
      <c r="N2" s="341"/>
      <c r="O2" s="343"/>
      <c r="P2" s="338"/>
      <c r="Q2" s="338"/>
      <c r="R2" s="338"/>
      <c r="S2" s="338"/>
      <c r="T2" s="350"/>
      <c r="U2" s="350"/>
      <c r="V2" s="350"/>
      <c r="W2" s="350"/>
      <c r="X2" s="350"/>
      <c r="Y2" s="350"/>
      <c r="Z2" s="350"/>
      <c r="AA2" s="352"/>
      <c r="AB2" s="444"/>
      <c r="AC2" s="444"/>
      <c r="AD2" s="444"/>
      <c r="AE2" s="334"/>
    </row>
    <row r="3" spans="1:31" s="73" customFormat="1">
      <c r="A3" s="335"/>
      <c r="B3" s="336"/>
      <c r="C3" s="337" t="s">
        <v>62</v>
      </c>
      <c r="D3" s="338"/>
      <c r="E3" s="338"/>
      <c r="F3" s="338"/>
      <c r="G3" s="338"/>
      <c r="H3" s="338"/>
      <c r="I3" s="348" t="s">
        <v>220</v>
      </c>
      <c r="J3" s="337" t="s">
        <v>221</v>
      </c>
      <c r="K3" s="338"/>
      <c r="L3" s="338"/>
      <c r="M3" s="338"/>
      <c r="N3" s="348" t="s">
        <v>222</v>
      </c>
      <c r="O3" s="337" t="s">
        <v>278</v>
      </c>
      <c r="P3" s="338" t="s">
        <v>279</v>
      </c>
      <c r="Q3" s="348" t="s">
        <v>24</v>
      </c>
      <c r="R3" s="337"/>
      <c r="S3" s="337" t="s">
        <v>23</v>
      </c>
      <c r="T3" s="349">
        <v>99</v>
      </c>
      <c r="U3" s="349" t="s">
        <v>280</v>
      </c>
      <c r="V3" s="349" t="s">
        <v>274</v>
      </c>
      <c r="W3" s="349" t="s">
        <v>281</v>
      </c>
      <c r="X3" s="349" t="s">
        <v>275</v>
      </c>
      <c r="Y3" s="349" t="s">
        <v>282</v>
      </c>
      <c r="Z3" s="349" t="s">
        <v>145</v>
      </c>
      <c r="AA3" s="353" t="s">
        <v>283</v>
      </c>
      <c r="AB3" s="444"/>
      <c r="AC3" s="444"/>
      <c r="AD3" s="444"/>
      <c r="AE3" s="334"/>
    </row>
    <row r="4" spans="1:31">
      <c r="A4" s="335" t="s">
        <v>105</v>
      </c>
      <c r="B4" s="340" t="s">
        <v>58</v>
      </c>
      <c r="C4" s="344">
        <v>1</v>
      </c>
      <c r="D4" s="345">
        <v>2</v>
      </c>
      <c r="E4" s="345">
        <v>3</v>
      </c>
      <c r="F4" s="345">
        <v>4</v>
      </c>
      <c r="G4" s="345">
        <v>5</v>
      </c>
      <c r="H4" s="345">
        <v>6</v>
      </c>
      <c r="I4" s="249"/>
      <c r="J4" s="346" t="s">
        <v>269</v>
      </c>
      <c r="K4" s="347" t="s">
        <v>223</v>
      </c>
      <c r="L4" s="347" t="s">
        <v>224</v>
      </c>
      <c r="M4" s="347" t="s">
        <v>225</v>
      </c>
      <c r="N4" s="249"/>
      <c r="O4" s="346" t="s">
        <v>278</v>
      </c>
      <c r="P4" s="347"/>
      <c r="Q4" s="249" t="s">
        <v>25</v>
      </c>
      <c r="R4" s="337" t="s">
        <v>266</v>
      </c>
      <c r="S4" s="443"/>
      <c r="T4" s="349">
        <v>99</v>
      </c>
      <c r="U4" s="251"/>
      <c r="V4" s="351" t="s">
        <v>274</v>
      </c>
      <c r="W4" s="250"/>
      <c r="X4" s="351" t="s">
        <v>275</v>
      </c>
      <c r="Y4" s="250"/>
      <c r="Z4" s="349" t="s">
        <v>145</v>
      </c>
      <c r="AA4" s="252"/>
      <c r="AB4" s="444"/>
      <c r="AC4" s="444"/>
      <c r="AD4" s="444"/>
      <c r="AE4" s="334"/>
    </row>
    <row r="5" spans="1:31">
      <c r="A5" s="342" t="s">
        <v>226</v>
      </c>
      <c r="B5" s="340" t="s">
        <v>86</v>
      </c>
      <c r="C5" s="337">
        <v>45791.933333333334</v>
      </c>
      <c r="D5" s="341">
        <v>14068.133333333335</v>
      </c>
      <c r="E5" s="341">
        <v>29641.199999999997</v>
      </c>
      <c r="F5" s="341">
        <v>14067.433333333332</v>
      </c>
      <c r="G5" s="341">
        <v>4191.3999999999996</v>
      </c>
      <c r="H5" s="341">
        <v>2786.2</v>
      </c>
      <c r="I5" s="337">
        <v>110546.29999999999</v>
      </c>
      <c r="J5" s="337"/>
      <c r="K5" s="341">
        <v>24454.633333333335</v>
      </c>
      <c r="L5" s="341">
        <v>34235.100000000006</v>
      </c>
      <c r="M5" s="341">
        <v>8541.4333333333343</v>
      </c>
      <c r="N5" s="337">
        <v>67231.166666666672</v>
      </c>
      <c r="O5" s="337"/>
      <c r="P5" s="341"/>
      <c r="Q5" s="337">
        <v>1349.2666666666667</v>
      </c>
      <c r="R5" s="337">
        <v>2102.1333333333332</v>
      </c>
      <c r="S5" s="337">
        <v>3451.3999999999996</v>
      </c>
      <c r="T5" s="349"/>
      <c r="U5" s="349"/>
      <c r="V5" s="349"/>
      <c r="W5" s="349"/>
      <c r="X5" s="349"/>
      <c r="Y5" s="349"/>
      <c r="Z5" s="349"/>
      <c r="AA5" s="357"/>
      <c r="AB5" s="444"/>
      <c r="AC5" s="444"/>
      <c r="AD5" s="444"/>
      <c r="AE5" s="334"/>
    </row>
    <row r="6" spans="1:31">
      <c r="A6" s="241"/>
      <c r="B6" s="242" t="s">
        <v>84</v>
      </c>
      <c r="C6" s="243">
        <v>46879.266666666663</v>
      </c>
      <c r="D6" s="244">
        <v>13835.5</v>
      </c>
      <c r="E6" s="244">
        <v>28689.633333333331</v>
      </c>
      <c r="F6" s="244">
        <v>14164.3</v>
      </c>
      <c r="G6" s="244">
        <v>4217.6666666666661</v>
      </c>
      <c r="H6" s="244">
        <v>2657.6333333333332</v>
      </c>
      <c r="I6" s="243">
        <v>110444</v>
      </c>
      <c r="J6" s="243"/>
      <c r="K6" s="244">
        <v>22900.433333333334</v>
      </c>
      <c r="L6" s="244">
        <v>32209.466666666667</v>
      </c>
      <c r="M6" s="244">
        <v>8428.0999999999985</v>
      </c>
      <c r="N6" s="243">
        <v>63538</v>
      </c>
      <c r="O6" s="243"/>
      <c r="P6" s="244"/>
      <c r="Q6" s="243">
        <v>1233.1666666666667</v>
      </c>
      <c r="R6" s="243">
        <v>1988.8666666666668</v>
      </c>
      <c r="S6" s="243">
        <v>3222.0333333333338</v>
      </c>
      <c r="T6" s="312"/>
      <c r="U6" s="312"/>
      <c r="V6" s="312"/>
      <c r="W6" s="312"/>
      <c r="X6" s="312"/>
      <c r="Y6" s="312"/>
      <c r="Z6" s="312"/>
      <c r="AA6" s="358"/>
      <c r="AB6" s="444"/>
      <c r="AC6" s="444"/>
      <c r="AD6" s="444"/>
      <c r="AE6" s="334"/>
    </row>
    <row r="7" spans="1:31" s="73" customFormat="1">
      <c r="A7" s="241"/>
      <c r="B7" s="245" t="s">
        <v>98</v>
      </c>
      <c r="C7" s="253">
        <v>2.3745084651008296E-2</v>
      </c>
      <c r="D7" s="254">
        <v>-1.6536190539375162E-2</v>
      </c>
      <c r="E7" s="254">
        <v>-3.2102838841432391E-2</v>
      </c>
      <c r="F7" s="254">
        <v>6.8858806273591816E-3</v>
      </c>
      <c r="G7" s="254">
        <v>6.2668002735759955E-3</v>
      </c>
      <c r="H7" s="254">
        <v>-4.6144091115737064E-2</v>
      </c>
      <c r="I7" s="253">
        <v>-9.2540410669559182E-4</v>
      </c>
      <c r="J7" s="253">
        <v>0</v>
      </c>
      <c r="K7" s="254">
        <v>-6.3554418453762709E-2</v>
      </c>
      <c r="L7" s="254">
        <v>-5.9168319453816065E-2</v>
      </c>
      <c r="M7" s="254">
        <v>-1.326865514375055E-2</v>
      </c>
      <c r="N7" s="253">
        <v>-5.4932360239670443E-2</v>
      </c>
      <c r="O7" s="356">
        <v>0</v>
      </c>
      <c r="P7" s="254">
        <v>0</v>
      </c>
      <c r="Q7" s="253">
        <v>-8.6046741439794391E-2</v>
      </c>
      <c r="R7" s="253">
        <v>-5.3881770899403665E-2</v>
      </c>
      <c r="S7" s="253">
        <v>-6.6456124084912319E-2</v>
      </c>
      <c r="T7" s="313">
        <v>0</v>
      </c>
      <c r="U7" s="313">
        <v>0</v>
      </c>
      <c r="V7" s="313">
        <v>0</v>
      </c>
      <c r="W7" s="313">
        <v>0</v>
      </c>
      <c r="X7" s="313">
        <v>0</v>
      </c>
      <c r="Y7" s="313">
        <v>0</v>
      </c>
      <c r="Z7" s="313">
        <v>0</v>
      </c>
      <c r="AA7" s="359">
        <v>0</v>
      </c>
      <c r="AB7" s="445"/>
      <c r="AC7" s="445"/>
      <c r="AD7" s="445"/>
      <c r="AE7" s="334"/>
    </row>
    <row r="8" spans="1:31" s="73" customFormat="1">
      <c r="A8" s="241"/>
      <c r="B8" s="242" t="s">
        <v>82</v>
      </c>
      <c r="C8" s="243">
        <v>0</v>
      </c>
      <c r="D8" s="244">
        <v>0</v>
      </c>
      <c r="E8" s="244">
        <v>0</v>
      </c>
      <c r="F8" s="244">
        <v>0</v>
      </c>
      <c r="G8" s="244">
        <v>0</v>
      </c>
      <c r="H8" s="244">
        <v>0</v>
      </c>
      <c r="I8" s="243">
        <v>0</v>
      </c>
      <c r="J8" s="243"/>
      <c r="K8" s="244">
        <v>0</v>
      </c>
      <c r="L8" s="244">
        <v>0</v>
      </c>
      <c r="M8" s="244">
        <v>0</v>
      </c>
      <c r="N8" s="243">
        <v>0</v>
      </c>
      <c r="O8" s="314"/>
      <c r="P8" s="244"/>
      <c r="Q8" s="243">
        <v>0</v>
      </c>
      <c r="R8" s="243">
        <v>0</v>
      </c>
      <c r="S8" s="243">
        <v>0</v>
      </c>
      <c r="T8" s="312"/>
      <c r="U8" s="312"/>
      <c r="V8" s="312"/>
      <c r="W8" s="312"/>
      <c r="X8" s="312"/>
      <c r="Y8" s="312"/>
      <c r="Z8" s="312"/>
      <c r="AA8" s="360"/>
      <c r="AB8" s="444"/>
      <c r="AC8" s="444"/>
      <c r="AD8" s="444"/>
      <c r="AE8" s="334"/>
    </row>
    <row r="9" spans="1:31" s="73" customFormat="1">
      <c r="A9" s="241"/>
      <c r="B9" s="242" t="s">
        <v>80</v>
      </c>
      <c r="C9" s="243">
        <v>0</v>
      </c>
      <c r="D9" s="244">
        <v>0</v>
      </c>
      <c r="E9" s="244">
        <v>0</v>
      </c>
      <c r="F9" s="244">
        <v>0</v>
      </c>
      <c r="G9" s="244">
        <v>0</v>
      </c>
      <c r="H9" s="244">
        <v>0</v>
      </c>
      <c r="I9" s="243">
        <v>0</v>
      </c>
      <c r="J9" s="243"/>
      <c r="K9" s="244">
        <v>0</v>
      </c>
      <c r="L9" s="244">
        <v>0</v>
      </c>
      <c r="M9" s="244">
        <v>0</v>
      </c>
      <c r="N9" s="243">
        <v>0</v>
      </c>
      <c r="O9" s="314"/>
      <c r="P9" s="244"/>
      <c r="Q9" s="243">
        <v>0</v>
      </c>
      <c r="R9" s="243">
        <v>0</v>
      </c>
      <c r="S9" s="243">
        <v>0</v>
      </c>
      <c r="T9" s="312"/>
      <c r="U9" s="312"/>
      <c r="V9" s="312"/>
      <c r="W9" s="312"/>
      <c r="X9" s="312"/>
      <c r="Y9" s="312"/>
      <c r="Z9" s="312"/>
      <c r="AA9" s="360"/>
      <c r="AB9" s="444"/>
      <c r="AC9" s="444"/>
      <c r="AD9" s="444"/>
      <c r="AE9" s="334"/>
    </row>
    <row r="10" spans="1:31" s="73" customFormat="1">
      <c r="A10" s="241"/>
      <c r="B10" s="245" t="s">
        <v>100</v>
      </c>
      <c r="C10" s="253">
        <v>0</v>
      </c>
      <c r="D10" s="254">
        <v>0</v>
      </c>
      <c r="E10" s="254">
        <v>0</v>
      </c>
      <c r="F10" s="254">
        <v>0</v>
      </c>
      <c r="G10" s="254">
        <v>0</v>
      </c>
      <c r="H10" s="254">
        <v>0</v>
      </c>
      <c r="I10" s="253">
        <v>0</v>
      </c>
      <c r="J10" s="253">
        <v>0</v>
      </c>
      <c r="K10" s="254">
        <v>0</v>
      </c>
      <c r="L10" s="254">
        <v>0</v>
      </c>
      <c r="M10" s="254">
        <v>0</v>
      </c>
      <c r="N10" s="253">
        <v>0</v>
      </c>
      <c r="O10" s="356">
        <v>0</v>
      </c>
      <c r="P10" s="254">
        <v>0</v>
      </c>
      <c r="Q10" s="253">
        <v>0</v>
      </c>
      <c r="R10" s="253">
        <v>0</v>
      </c>
      <c r="S10" s="253">
        <v>0</v>
      </c>
      <c r="T10" s="313">
        <v>0</v>
      </c>
      <c r="U10" s="313">
        <v>0</v>
      </c>
      <c r="V10" s="313">
        <v>0</v>
      </c>
      <c r="W10" s="313">
        <v>0</v>
      </c>
      <c r="X10" s="313">
        <v>0</v>
      </c>
      <c r="Y10" s="313">
        <v>0</v>
      </c>
      <c r="Z10" s="313">
        <v>0</v>
      </c>
      <c r="AA10" s="359">
        <v>0</v>
      </c>
      <c r="AB10" s="445"/>
      <c r="AC10" s="445"/>
      <c r="AD10" s="445"/>
      <c r="AE10" s="334"/>
    </row>
    <row r="11" spans="1:31" s="73" customFormat="1">
      <c r="A11" s="241"/>
      <c r="B11" s="242" t="s">
        <v>88</v>
      </c>
      <c r="C11" s="243">
        <v>8067.4166666666661</v>
      </c>
      <c r="D11" s="244">
        <v>2932.5</v>
      </c>
      <c r="E11" s="244">
        <v>3607.875</v>
      </c>
      <c r="F11" s="244">
        <v>1764.375</v>
      </c>
      <c r="G11" s="244">
        <v>2235.4166666666665</v>
      </c>
      <c r="H11" s="244">
        <v>0</v>
      </c>
      <c r="I11" s="243">
        <v>18607.583333333332</v>
      </c>
      <c r="J11" s="243"/>
      <c r="K11" s="244">
        <v>0</v>
      </c>
      <c r="L11" s="244">
        <v>0</v>
      </c>
      <c r="M11" s="244">
        <v>0</v>
      </c>
      <c r="N11" s="243">
        <v>0</v>
      </c>
      <c r="O11" s="314"/>
      <c r="P11" s="244"/>
      <c r="Q11" s="243">
        <v>0</v>
      </c>
      <c r="R11" s="243">
        <v>0</v>
      </c>
      <c r="S11" s="243">
        <v>0</v>
      </c>
      <c r="T11" s="312"/>
      <c r="U11" s="312"/>
      <c r="V11" s="312"/>
      <c r="W11" s="312"/>
      <c r="X11" s="312"/>
      <c r="Y11" s="312"/>
      <c r="Z11" s="312"/>
      <c r="AA11" s="360"/>
      <c r="AB11" s="444"/>
      <c r="AC11" s="444"/>
      <c r="AD11" s="444"/>
      <c r="AE11" s="334"/>
    </row>
    <row r="12" spans="1:31" s="73" customFormat="1">
      <c r="A12" s="241"/>
      <c r="B12" s="242" t="s">
        <v>90</v>
      </c>
      <c r="C12" s="243">
        <v>7935.791666666667</v>
      </c>
      <c r="D12" s="244">
        <v>2895.875</v>
      </c>
      <c r="E12" s="244">
        <v>3636.125</v>
      </c>
      <c r="F12" s="244">
        <v>1717.75</v>
      </c>
      <c r="G12" s="244">
        <v>1920.6666666666667</v>
      </c>
      <c r="H12" s="244">
        <v>0</v>
      </c>
      <c r="I12" s="243">
        <v>18106.208333333336</v>
      </c>
      <c r="J12" s="243"/>
      <c r="K12" s="244">
        <v>0</v>
      </c>
      <c r="L12" s="244">
        <v>0</v>
      </c>
      <c r="M12" s="244">
        <v>0</v>
      </c>
      <c r="N12" s="243">
        <v>0</v>
      </c>
      <c r="O12" s="314"/>
      <c r="P12" s="244"/>
      <c r="Q12" s="243">
        <v>0</v>
      </c>
      <c r="R12" s="243">
        <v>0</v>
      </c>
      <c r="S12" s="243">
        <v>0</v>
      </c>
      <c r="T12" s="312"/>
      <c r="U12" s="312"/>
      <c r="V12" s="312"/>
      <c r="W12" s="312"/>
      <c r="X12" s="312"/>
      <c r="Y12" s="312"/>
      <c r="Z12" s="312"/>
      <c r="AA12" s="360"/>
      <c r="AB12" s="444"/>
      <c r="AC12" s="444"/>
      <c r="AD12" s="444"/>
      <c r="AE12" s="334"/>
    </row>
    <row r="13" spans="1:31" s="73" customFormat="1">
      <c r="A13" s="241"/>
      <c r="B13" s="245" t="s">
        <v>92</v>
      </c>
      <c r="C13" s="253">
        <v>-1.6315631811091833E-2</v>
      </c>
      <c r="D13" s="254">
        <v>-1.2489343563512362E-2</v>
      </c>
      <c r="E13" s="254">
        <v>7.8300938918338357E-3</v>
      </c>
      <c r="F13" s="254">
        <v>-2.6425788168614947E-2</v>
      </c>
      <c r="G13" s="510">
        <v>-0.14080149114631865</v>
      </c>
      <c r="H13" s="254">
        <v>0</v>
      </c>
      <c r="I13" s="253">
        <v>-2.6944659659368271E-2</v>
      </c>
      <c r="J13" s="253">
        <v>0</v>
      </c>
      <c r="K13" s="254">
        <v>0</v>
      </c>
      <c r="L13" s="254">
        <v>0</v>
      </c>
      <c r="M13" s="254">
        <v>0</v>
      </c>
      <c r="N13" s="253">
        <v>0</v>
      </c>
      <c r="O13" s="356">
        <v>0</v>
      </c>
      <c r="P13" s="254">
        <v>0</v>
      </c>
      <c r="Q13" s="253">
        <v>0</v>
      </c>
      <c r="R13" s="253">
        <v>0</v>
      </c>
      <c r="S13" s="253">
        <v>0</v>
      </c>
      <c r="T13" s="313">
        <v>0</v>
      </c>
      <c r="U13" s="313">
        <v>0</v>
      </c>
      <c r="V13" s="313">
        <v>0</v>
      </c>
      <c r="W13" s="313">
        <v>0</v>
      </c>
      <c r="X13" s="313">
        <v>0</v>
      </c>
      <c r="Y13" s="313">
        <v>0</v>
      </c>
      <c r="Z13" s="313">
        <v>0</v>
      </c>
      <c r="AA13" s="359">
        <v>0</v>
      </c>
      <c r="AB13" s="445"/>
      <c r="AC13" s="445"/>
      <c r="AD13" s="445"/>
      <c r="AE13" s="334"/>
    </row>
    <row r="14" spans="1:31" s="73" customFormat="1">
      <c r="A14" s="241"/>
      <c r="B14" s="242" t="s">
        <v>8</v>
      </c>
      <c r="C14" s="243">
        <v>53859.35</v>
      </c>
      <c r="D14" s="244">
        <v>17000.633333333331</v>
      </c>
      <c r="E14" s="244">
        <v>33249.074999999997</v>
      </c>
      <c r="F14" s="244">
        <v>15831.808333333334</v>
      </c>
      <c r="G14" s="244">
        <v>6426.8166666666657</v>
      </c>
      <c r="H14" s="244">
        <v>2786.2</v>
      </c>
      <c r="I14" s="243">
        <v>129153.88333333333</v>
      </c>
      <c r="J14" s="243"/>
      <c r="K14" s="244">
        <v>24454.633333333335</v>
      </c>
      <c r="L14" s="244">
        <v>34235.100000000006</v>
      </c>
      <c r="M14" s="244">
        <v>8541.4333333333343</v>
      </c>
      <c r="N14" s="243">
        <v>67231.166666666672</v>
      </c>
      <c r="O14" s="314"/>
      <c r="P14" s="244"/>
      <c r="Q14" s="243">
        <v>1349.2666666666667</v>
      </c>
      <c r="R14" s="243">
        <v>2102.1333333333332</v>
      </c>
      <c r="S14" s="243">
        <v>3451.3999999999996</v>
      </c>
      <c r="T14" s="312"/>
      <c r="U14" s="312"/>
      <c r="V14" s="312"/>
      <c r="W14" s="312"/>
      <c r="X14" s="312"/>
      <c r="Y14" s="312"/>
      <c r="Z14" s="312"/>
      <c r="AA14" s="360"/>
      <c r="AB14" s="444"/>
      <c r="AC14" s="444"/>
      <c r="AD14" s="444"/>
      <c r="AE14" s="334"/>
    </row>
    <row r="15" spans="1:31" s="73" customFormat="1">
      <c r="A15" s="241"/>
      <c r="B15" s="242" t="s">
        <v>94</v>
      </c>
      <c r="C15" s="243">
        <v>54815.058333333334</v>
      </c>
      <c r="D15" s="244">
        <v>16731.375</v>
      </c>
      <c r="E15" s="244">
        <v>32325.758333333331</v>
      </c>
      <c r="F15" s="244">
        <v>15882.05</v>
      </c>
      <c r="G15" s="244">
        <v>6138.3333333333339</v>
      </c>
      <c r="H15" s="244">
        <v>2657.6333333333332</v>
      </c>
      <c r="I15" s="243">
        <v>128550.20833333333</v>
      </c>
      <c r="J15" s="243"/>
      <c r="K15" s="244">
        <v>22900.433333333334</v>
      </c>
      <c r="L15" s="244">
        <v>32209.466666666667</v>
      </c>
      <c r="M15" s="244">
        <v>8428.0999999999985</v>
      </c>
      <c r="N15" s="243">
        <v>63538</v>
      </c>
      <c r="O15" s="314"/>
      <c r="P15" s="244"/>
      <c r="Q15" s="243">
        <v>1233.1666666666667</v>
      </c>
      <c r="R15" s="243">
        <v>1988.8666666666668</v>
      </c>
      <c r="S15" s="243">
        <v>3222.0333333333338</v>
      </c>
      <c r="T15" s="312"/>
      <c r="U15" s="312"/>
      <c r="V15" s="312"/>
      <c r="W15" s="312"/>
      <c r="X15" s="312"/>
      <c r="Y15" s="312"/>
      <c r="Z15" s="312"/>
      <c r="AA15" s="360"/>
      <c r="AB15" s="444"/>
      <c r="AC15" s="444"/>
      <c r="AD15" s="444"/>
      <c r="AE15" s="334"/>
    </row>
    <row r="16" spans="1:31" s="73" customFormat="1">
      <c r="A16" s="246"/>
      <c r="B16" s="311" t="s">
        <v>96</v>
      </c>
      <c r="C16" s="253">
        <v>1.774452037266205E-2</v>
      </c>
      <c r="D16" s="254">
        <v>-1.5838135442012832E-2</v>
      </c>
      <c r="E16" s="254">
        <v>-2.7769694846147323E-2</v>
      </c>
      <c r="F16" s="254">
        <v>3.1734635493838597E-3</v>
      </c>
      <c r="G16" s="254">
        <v>-4.4887437793204796E-2</v>
      </c>
      <c r="H16" s="254">
        <v>-4.6144091115737064E-2</v>
      </c>
      <c r="I16" s="253">
        <v>-4.6740754859223065E-3</v>
      </c>
      <c r="J16" s="253">
        <v>0</v>
      </c>
      <c r="K16" s="254">
        <v>-6.3554418453762709E-2</v>
      </c>
      <c r="L16" s="254">
        <v>-5.9168319453816065E-2</v>
      </c>
      <c r="M16" s="254">
        <v>-1.326865514375055E-2</v>
      </c>
      <c r="N16" s="253">
        <v>-5.4932360239670443E-2</v>
      </c>
      <c r="O16" s="356">
        <v>0</v>
      </c>
      <c r="P16" s="254">
        <v>0</v>
      </c>
      <c r="Q16" s="253">
        <v>-8.6046741439794391E-2</v>
      </c>
      <c r="R16" s="253">
        <v>-5.3881770899403665E-2</v>
      </c>
      <c r="S16" s="253">
        <v>-6.6456124084912319E-2</v>
      </c>
      <c r="T16" s="313">
        <v>0</v>
      </c>
      <c r="U16" s="313">
        <v>0</v>
      </c>
      <c r="V16" s="313">
        <v>0</v>
      </c>
      <c r="W16" s="313">
        <v>0</v>
      </c>
      <c r="X16" s="313">
        <v>0</v>
      </c>
      <c r="Y16" s="313">
        <v>0</v>
      </c>
      <c r="Z16" s="313">
        <v>0</v>
      </c>
      <c r="AA16" s="359">
        <v>0</v>
      </c>
      <c r="AB16" s="445"/>
      <c r="AC16" s="445"/>
      <c r="AD16" s="445"/>
      <c r="AE16" s="334"/>
    </row>
    <row r="17" spans="1:31" s="73" customFormat="1">
      <c r="A17" s="342" t="s">
        <v>277</v>
      </c>
      <c r="B17" s="340" t="s">
        <v>86</v>
      </c>
      <c r="C17" s="337">
        <v>18987.8</v>
      </c>
      <c r="D17" s="341"/>
      <c r="E17" s="341">
        <v>33296.966666666667</v>
      </c>
      <c r="F17" s="341">
        <v>5912.333333333333</v>
      </c>
      <c r="G17" s="341">
        <v>2353.4666666666667</v>
      </c>
      <c r="H17" s="341">
        <v>8620.7999999999993</v>
      </c>
      <c r="I17" s="337">
        <v>69171.366666666669</v>
      </c>
      <c r="J17" s="337"/>
      <c r="K17" s="341">
        <v>14203.233333333334</v>
      </c>
      <c r="L17" s="341">
        <v>5943.9</v>
      </c>
      <c r="M17" s="341">
        <v>22052.833333333336</v>
      </c>
      <c r="N17" s="337">
        <v>42199.966666666667</v>
      </c>
      <c r="O17" s="337"/>
      <c r="P17" s="341"/>
      <c r="Q17" s="337"/>
      <c r="R17" s="337"/>
      <c r="S17" s="337"/>
      <c r="T17" s="349"/>
      <c r="U17" s="349"/>
      <c r="V17" s="349"/>
      <c r="W17" s="349"/>
      <c r="X17" s="349"/>
      <c r="Y17" s="349"/>
      <c r="Z17" s="349"/>
      <c r="AA17" s="357"/>
      <c r="AB17" s="444"/>
      <c r="AC17" s="444"/>
      <c r="AD17" s="444"/>
      <c r="AE17" s="334"/>
    </row>
    <row r="18" spans="1:31" s="73" customFormat="1">
      <c r="A18" s="241"/>
      <c r="B18" s="242" t="s">
        <v>84</v>
      </c>
      <c r="C18" s="243">
        <v>20021.333333333332</v>
      </c>
      <c r="D18" s="244"/>
      <c r="E18" s="244">
        <v>33303.266666666663</v>
      </c>
      <c r="F18" s="244">
        <v>5862.6666666666661</v>
      </c>
      <c r="G18" s="244">
        <v>2283.1</v>
      </c>
      <c r="H18" s="244">
        <v>8466.7666666666664</v>
      </c>
      <c r="I18" s="243">
        <v>69937.133333333317</v>
      </c>
      <c r="J18" s="243"/>
      <c r="K18" s="244">
        <v>13442.133333333333</v>
      </c>
      <c r="L18" s="244">
        <v>5431.4</v>
      </c>
      <c r="M18" s="244">
        <v>21940.73333333333</v>
      </c>
      <c r="N18" s="243">
        <v>40814.266666666663</v>
      </c>
      <c r="O18" s="243"/>
      <c r="P18" s="244"/>
      <c r="Q18" s="243"/>
      <c r="R18" s="243"/>
      <c r="S18" s="243"/>
      <c r="T18" s="312"/>
      <c r="U18" s="312"/>
      <c r="V18" s="312"/>
      <c r="W18" s="312"/>
      <c r="X18" s="312"/>
      <c r="Y18" s="312"/>
      <c r="Z18" s="312"/>
      <c r="AA18" s="358"/>
      <c r="AB18" s="444"/>
      <c r="AC18" s="444"/>
      <c r="AD18" s="444"/>
      <c r="AE18" s="334"/>
    </row>
    <row r="19" spans="1:31" s="73" customFormat="1">
      <c r="A19" s="241"/>
      <c r="B19" s="245" t="s">
        <v>98</v>
      </c>
      <c r="C19" s="253">
        <v>5.4431441943423295E-2</v>
      </c>
      <c r="D19" s="254">
        <v>0</v>
      </c>
      <c r="E19" s="254">
        <v>1.8920642420868069E-4</v>
      </c>
      <c r="F19" s="254">
        <v>-8.4005186897446529E-3</v>
      </c>
      <c r="G19" s="254">
        <v>-2.9899155855192393E-2</v>
      </c>
      <c r="H19" s="254">
        <v>-1.7867637960900712E-2</v>
      </c>
      <c r="I19" s="253">
        <v>1.1070573035760136E-2</v>
      </c>
      <c r="J19" s="253">
        <v>0</v>
      </c>
      <c r="K19" s="254">
        <v>-5.3586389953461329E-2</v>
      </c>
      <c r="L19" s="254">
        <v>-8.6222850317131852E-2</v>
      </c>
      <c r="M19" s="254">
        <v>-5.0832470506437938E-3</v>
      </c>
      <c r="N19" s="253">
        <v>-3.2836518828213687E-2</v>
      </c>
      <c r="O19" s="356">
        <v>0</v>
      </c>
      <c r="P19" s="254">
        <v>0</v>
      </c>
      <c r="Q19" s="253">
        <v>0</v>
      </c>
      <c r="R19" s="253">
        <v>0</v>
      </c>
      <c r="S19" s="253">
        <v>0</v>
      </c>
      <c r="T19" s="313">
        <v>0</v>
      </c>
      <c r="U19" s="313">
        <v>0</v>
      </c>
      <c r="V19" s="313">
        <v>0</v>
      </c>
      <c r="W19" s="313">
        <v>0</v>
      </c>
      <c r="X19" s="313">
        <v>0</v>
      </c>
      <c r="Y19" s="313">
        <v>0</v>
      </c>
      <c r="Z19" s="313">
        <v>0</v>
      </c>
      <c r="AA19" s="359">
        <v>0</v>
      </c>
      <c r="AB19" s="445"/>
      <c r="AC19" s="445"/>
      <c r="AD19" s="445"/>
      <c r="AE19" s="334"/>
    </row>
    <row r="20" spans="1:31" s="73" customFormat="1">
      <c r="A20" s="241"/>
      <c r="B20" s="242" t="s">
        <v>82</v>
      </c>
      <c r="C20" s="243">
        <v>0</v>
      </c>
      <c r="D20" s="244"/>
      <c r="E20" s="244">
        <v>0</v>
      </c>
      <c r="F20" s="244">
        <v>0</v>
      </c>
      <c r="G20" s="244">
        <v>0</v>
      </c>
      <c r="H20" s="244">
        <v>0</v>
      </c>
      <c r="I20" s="243">
        <v>0</v>
      </c>
      <c r="J20" s="243"/>
      <c r="K20" s="244">
        <v>0</v>
      </c>
      <c r="L20" s="244">
        <v>0</v>
      </c>
      <c r="M20" s="244">
        <v>0</v>
      </c>
      <c r="N20" s="243">
        <v>0</v>
      </c>
      <c r="O20" s="314"/>
      <c r="P20" s="244"/>
      <c r="Q20" s="243"/>
      <c r="R20" s="243"/>
      <c r="S20" s="243"/>
      <c r="T20" s="312"/>
      <c r="U20" s="312"/>
      <c r="V20" s="312"/>
      <c r="W20" s="312"/>
      <c r="X20" s="312"/>
      <c r="Y20" s="312"/>
      <c r="Z20" s="312"/>
      <c r="AA20" s="360"/>
      <c r="AB20" s="444"/>
      <c r="AC20" s="444"/>
      <c r="AD20" s="444"/>
      <c r="AE20" s="334"/>
    </row>
    <row r="21" spans="1:31" s="73" customFormat="1">
      <c r="A21" s="241"/>
      <c r="B21" s="242" t="s">
        <v>80</v>
      </c>
      <c r="C21" s="243">
        <v>0</v>
      </c>
      <c r="D21" s="244"/>
      <c r="E21" s="244">
        <v>0</v>
      </c>
      <c r="F21" s="244">
        <v>0</v>
      </c>
      <c r="G21" s="244">
        <v>0</v>
      </c>
      <c r="H21" s="244">
        <v>0</v>
      </c>
      <c r="I21" s="243">
        <v>0</v>
      </c>
      <c r="J21" s="243"/>
      <c r="K21" s="244">
        <v>0</v>
      </c>
      <c r="L21" s="244">
        <v>0</v>
      </c>
      <c r="M21" s="244">
        <v>0</v>
      </c>
      <c r="N21" s="243">
        <v>0</v>
      </c>
      <c r="O21" s="314"/>
      <c r="P21" s="244"/>
      <c r="Q21" s="243"/>
      <c r="R21" s="243"/>
      <c r="S21" s="243"/>
      <c r="T21" s="312"/>
      <c r="U21" s="312"/>
      <c r="V21" s="312"/>
      <c r="W21" s="312"/>
      <c r="X21" s="312"/>
      <c r="Y21" s="312"/>
      <c r="Z21" s="312"/>
      <c r="AA21" s="360"/>
      <c r="AB21" s="444"/>
      <c r="AC21" s="444"/>
      <c r="AD21" s="444"/>
      <c r="AE21" s="334"/>
    </row>
    <row r="22" spans="1:31" s="73" customFormat="1">
      <c r="A22" s="241"/>
      <c r="B22" s="245" t="s">
        <v>100</v>
      </c>
      <c r="C22" s="253">
        <v>0</v>
      </c>
      <c r="D22" s="254">
        <v>0</v>
      </c>
      <c r="E22" s="254">
        <v>0</v>
      </c>
      <c r="F22" s="254">
        <v>0</v>
      </c>
      <c r="G22" s="254">
        <v>0</v>
      </c>
      <c r="H22" s="254">
        <v>0</v>
      </c>
      <c r="I22" s="253">
        <v>0</v>
      </c>
      <c r="J22" s="253">
        <v>0</v>
      </c>
      <c r="K22" s="254">
        <v>0</v>
      </c>
      <c r="L22" s="254">
        <v>0</v>
      </c>
      <c r="M22" s="254">
        <v>0</v>
      </c>
      <c r="N22" s="253">
        <v>0</v>
      </c>
      <c r="O22" s="356">
        <v>0</v>
      </c>
      <c r="P22" s="254">
        <v>0</v>
      </c>
      <c r="Q22" s="253">
        <v>0</v>
      </c>
      <c r="R22" s="253">
        <v>0</v>
      </c>
      <c r="S22" s="253">
        <v>0</v>
      </c>
      <c r="T22" s="313">
        <v>0</v>
      </c>
      <c r="U22" s="313">
        <v>0</v>
      </c>
      <c r="V22" s="313">
        <v>0</v>
      </c>
      <c r="W22" s="313">
        <v>0</v>
      </c>
      <c r="X22" s="313">
        <v>0</v>
      </c>
      <c r="Y22" s="313">
        <v>0</v>
      </c>
      <c r="Z22" s="313">
        <v>0</v>
      </c>
      <c r="AA22" s="359">
        <v>0</v>
      </c>
      <c r="AB22" s="445"/>
      <c r="AC22" s="445"/>
      <c r="AD22" s="445"/>
      <c r="AE22" s="334"/>
    </row>
    <row r="23" spans="1:31" s="73" customFormat="1">
      <c r="A23" s="241"/>
      <c r="B23" s="242" t="s">
        <v>88</v>
      </c>
      <c r="C23" s="243">
        <v>3217.0416666666665</v>
      </c>
      <c r="D23" s="244"/>
      <c r="E23" s="244">
        <v>7172.666666666667</v>
      </c>
      <c r="F23" s="244">
        <v>668.125</v>
      </c>
      <c r="G23" s="244">
        <v>89.25</v>
      </c>
      <c r="H23" s="244">
        <v>68</v>
      </c>
      <c r="I23" s="243">
        <v>11215.083333333334</v>
      </c>
      <c r="J23" s="243"/>
      <c r="K23" s="244">
        <v>0</v>
      </c>
      <c r="L23" s="244">
        <v>0</v>
      </c>
      <c r="M23" s="244">
        <v>0</v>
      </c>
      <c r="N23" s="243">
        <v>0</v>
      </c>
      <c r="O23" s="314"/>
      <c r="P23" s="244"/>
      <c r="Q23" s="243"/>
      <c r="R23" s="243"/>
      <c r="S23" s="243"/>
      <c r="T23" s="312"/>
      <c r="U23" s="312"/>
      <c r="V23" s="312"/>
      <c r="W23" s="312"/>
      <c r="X23" s="312"/>
      <c r="Y23" s="312"/>
      <c r="Z23" s="312"/>
      <c r="AA23" s="360"/>
      <c r="AB23" s="444"/>
      <c r="AC23" s="444"/>
      <c r="AD23" s="444"/>
      <c r="AE23" s="334"/>
    </row>
    <row r="24" spans="1:31" s="73" customFormat="1">
      <c r="A24" s="241"/>
      <c r="B24" s="242" t="s">
        <v>90</v>
      </c>
      <c r="C24" s="243">
        <v>3233.1666666666665</v>
      </c>
      <c r="D24" s="244"/>
      <c r="E24" s="244">
        <v>6963.625</v>
      </c>
      <c r="F24" s="244">
        <v>658.20833333333326</v>
      </c>
      <c r="G24" s="244">
        <v>120.5</v>
      </c>
      <c r="H24" s="244">
        <v>65.875</v>
      </c>
      <c r="I24" s="243">
        <v>11041.375</v>
      </c>
      <c r="J24" s="243"/>
      <c r="K24" s="244">
        <v>0</v>
      </c>
      <c r="L24" s="244">
        <v>0</v>
      </c>
      <c r="M24" s="244">
        <v>0</v>
      </c>
      <c r="N24" s="243">
        <v>0</v>
      </c>
      <c r="O24" s="314"/>
      <c r="P24" s="244"/>
      <c r="Q24" s="243"/>
      <c r="R24" s="243"/>
      <c r="S24" s="243"/>
      <c r="T24" s="312"/>
      <c r="U24" s="312"/>
      <c r="V24" s="312"/>
      <c r="W24" s="312"/>
      <c r="X24" s="312"/>
      <c r="Y24" s="312"/>
      <c r="Z24" s="312"/>
      <c r="AA24" s="360"/>
      <c r="AB24" s="444"/>
      <c r="AC24" s="444"/>
      <c r="AD24" s="444"/>
      <c r="AE24" s="334"/>
    </row>
    <row r="25" spans="1:31" s="73" customFormat="1">
      <c r="A25" s="241"/>
      <c r="B25" s="245" t="s">
        <v>92</v>
      </c>
      <c r="C25" s="253">
        <v>5.0123690243365415E-3</v>
      </c>
      <c r="D25" s="254">
        <v>0</v>
      </c>
      <c r="E25" s="254">
        <v>-2.9144204851752061E-2</v>
      </c>
      <c r="F25" s="254">
        <v>-1.4842531961334693E-2</v>
      </c>
      <c r="G25" s="510">
        <v>0.35014005602240894</v>
      </c>
      <c r="H25" s="254">
        <v>-3.125E-2</v>
      </c>
      <c r="I25" s="253">
        <v>-1.5488813428344322E-2</v>
      </c>
      <c r="J25" s="253">
        <v>0</v>
      </c>
      <c r="K25" s="254">
        <v>0</v>
      </c>
      <c r="L25" s="254">
        <v>0</v>
      </c>
      <c r="M25" s="254">
        <v>0</v>
      </c>
      <c r="N25" s="253">
        <v>0</v>
      </c>
      <c r="O25" s="356">
        <v>0</v>
      </c>
      <c r="P25" s="254">
        <v>0</v>
      </c>
      <c r="Q25" s="253">
        <v>0</v>
      </c>
      <c r="R25" s="253">
        <v>0</v>
      </c>
      <c r="S25" s="253">
        <v>0</v>
      </c>
      <c r="T25" s="313">
        <v>0</v>
      </c>
      <c r="U25" s="313">
        <v>0</v>
      </c>
      <c r="V25" s="313">
        <v>0</v>
      </c>
      <c r="W25" s="313">
        <v>0</v>
      </c>
      <c r="X25" s="313">
        <v>0</v>
      </c>
      <c r="Y25" s="313">
        <v>0</v>
      </c>
      <c r="Z25" s="313">
        <v>0</v>
      </c>
      <c r="AA25" s="359">
        <v>0</v>
      </c>
      <c r="AB25" s="445"/>
      <c r="AC25" s="445"/>
      <c r="AD25" s="445"/>
      <c r="AE25" s="334"/>
    </row>
    <row r="26" spans="1:31" s="73" customFormat="1">
      <c r="A26" s="241"/>
      <c r="B26" s="242" t="s">
        <v>8</v>
      </c>
      <c r="C26" s="243">
        <v>22204.841666666667</v>
      </c>
      <c r="D26" s="244"/>
      <c r="E26" s="244">
        <v>40469.633333333331</v>
      </c>
      <c r="F26" s="244">
        <v>6580.458333333333</v>
      </c>
      <c r="G26" s="244">
        <v>2442.7166666666667</v>
      </c>
      <c r="H26" s="244">
        <v>8688.7999999999993</v>
      </c>
      <c r="I26" s="243">
        <v>80386.45</v>
      </c>
      <c r="J26" s="243"/>
      <c r="K26" s="244">
        <v>14203.233333333334</v>
      </c>
      <c r="L26" s="244">
        <v>5943.9</v>
      </c>
      <c r="M26" s="244">
        <v>22052.833333333336</v>
      </c>
      <c r="N26" s="243">
        <v>42199.966666666667</v>
      </c>
      <c r="O26" s="314"/>
      <c r="P26" s="244"/>
      <c r="Q26" s="243"/>
      <c r="R26" s="243"/>
      <c r="S26" s="243"/>
      <c r="T26" s="312"/>
      <c r="U26" s="312"/>
      <c r="V26" s="312"/>
      <c r="W26" s="312"/>
      <c r="X26" s="312"/>
      <c r="Y26" s="312"/>
      <c r="Z26" s="312"/>
      <c r="AA26" s="360"/>
      <c r="AB26" s="444"/>
      <c r="AC26" s="444"/>
      <c r="AD26" s="444"/>
      <c r="AE26" s="334"/>
    </row>
    <row r="27" spans="1:31" s="73" customFormat="1">
      <c r="A27" s="241"/>
      <c r="B27" s="242" t="s">
        <v>94</v>
      </c>
      <c r="C27" s="243">
        <v>23254.5</v>
      </c>
      <c r="D27" s="244"/>
      <c r="E27" s="244">
        <v>40266.891666666663</v>
      </c>
      <c r="F27" s="244">
        <v>6520.875</v>
      </c>
      <c r="G27" s="244">
        <v>2403.6</v>
      </c>
      <c r="H27" s="244">
        <v>8532.6416666666664</v>
      </c>
      <c r="I27" s="243">
        <v>80978.508333333331</v>
      </c>
      <c r="J27" s="243"/>
      <c r="K27" s="244">
        <v>13442.133333333333</v>
      </c>
      <c r="L27" s="244">
        <v>5431.4</v>
      </c>
      <c r="M27" s="244">
        <v>21940.73333333333</v>
      </c>
      <c r="N27" s="243">
        <v>40814.266666666663</v>
      </c>
      <c r="O27" s="314"/>
      <c r="P27" s="244"/>
      <c r="Q27" s="243"/>
      <c r="R27" s="243"/>
      <c r="S27" s="243"/>
      <c r="T27" s="312"/>
      <c r="U27" s="312"/>
      <c r="V27" s="312"/>
      <c r="W27" s="312"/>
      <c r="X27" s="312"/>
      <c r="Y27" s="312"/>
      <c r="Z27" s="312"/>
      <c r="AA27" s="360"/>
      <c r="AB27" s="444"/>
      <c r="AC27" s="444"/>
      <c r="AD27" s="444"/>
      <c r="AE27" s="334"/>
    </row>
    <row r="28" spans="1:31" s="73" customFormat="1">
      <c r="A28" s="246"/>
      <c r="B28" s="311" t="s">
        <v>96</v>
      </c>
      <c r="C28" s="253">
        <v>4.7271597298036705E-2</v>
      </c>
      <c r="D28" s="254">
        <v>0</v>
      </c>
      <c r="E28" s="254">
        <v>-5.0097233398869925E-3</v>
      </c>
      <c r="F28" s="254">
        <v>-9.0545871298224716E-3</v>
      </c>
      <c r="G28" s="254">
        <v>-1.6013591424848067E-2</v>
      </c>
      <c r="H28" s="254">
        <v>-1.7972370561335611E-2</v>
      </c>
      <c r="I28" s="253">
        <v>7.3651508846742176E-3</v>
      </c>
      <c r="J28" s="253">
        <v>0</v>
      </c>
      <c r="K28" s="254">
        <v>-5.3586389953461329E-2</v>
      </c>
      <c r="L28" s="254">
        <v>-8.6222850317131852E-2</v>
      </c>
      <c r="M28" s="254">
        <v>-5.0832470506437938E-3</v>
      </c>
      <c r="N28" s="253">
        <v>-3.2836518828213687E-2</v>
      </c>
      <c r="O28" s="356">
        <v>0</v>
      </c>
      <c r="P28" s="254">
        <v>0</v>
      </c>
      <c r="Q28" s="253">
        <v>0</v>
      </c>
      <c r="R28" s="253">
        <v>0</v>
      </c>
      <c r="S28" s="253">
        <v>0</v>
      </c>
      <c r="T28" s="313">
        <v>0</v>
      </c>
      <c r="U28" s="313">
        <v>0</v>
      </c>
      <c r="V28" s="313">
        <v>0</v>
      </c>
      <c r="W28" s="313">
        <v>0</v>
      </c>
      <c r="X28" s="313">
        <v>0</v>
      </c>
      <c r="Y28" s="313">
        <v>0</v>
      </c>
      <c r="Z28" s="313">
        <v>0</v>
      </c>
      <c r="AA28" s="359">
        <v>0</v>
      </c>
      <c r="AB28" s="445"/>
      <c r="AC28" s="445"/>
      <c r="AD28" s="445"/>
      <c r="AE28" s="334"/>
    </row>
    <row r="29" spans="1:31" s="73" customFormat="1">
      <c r="A29" s="342" t="s">
        <v>285</v>
      </c>
      <c r="B29" s="340" t="s">
        <v>86</v>
      </c>
      <c r="C29" s="337">
        <v>17960.3</v>
      </c>
      <c r="D29" s="341"/>
      <c r="E29" s="341">
        <v>3667.7666666666669</v>
      </c>
      <c r="F29" s="341"/>
      <c r="G29" s="341"/>
      <c r="H29" s="341"/>
      <c r="I29" s="337">
        <v>21628.066666666666</v>
      </c>
      <c r="J29" s="337"/>
      <c r="K29" s="341">
        <v>5113.5333333333338</v>
      </c>
      <c r="L29" s="341">
        <v>5661.4333333333334</v>
      </c>
      <c r="M29" s="341"/>
      <c r="N29" s="337">
        <v>10774.966666666667</v>
      </c>
      <c r="O29" s="337"/>
      <c r="P29" s="341"/>
      <c r="Q29" s="337"/>
      <c r="R29" s="337"/>
      <c r="S29" s="337"/>
      <c r="T29" s="349"/>
      <c r="U29" s="349"/>
      <c r="V29" s="349"/>
      <c r="W29" s="349"/>
      <c r="X29" s="349"/>
      <c r="Y29" s="349"/>
      <c r="Z29" s="349"/>
      <c r="AA29" s="357"/>
      <c r="AB29" s="444"/>
      <c r="AC29" s="444"/>
      <c r="AD29" s="444"/>
      <c r="AE29" s="334"/>
    </row>
    <row r="30" spans="1:31" s="73" customFormat="1">
      <c r="A30" s="241"/>
      <c r="B30" s="242" t="s">
        <v>84</v>
      </c>
      <c r="C30" s="243">
        <v>17994.599999999999</v>
      </c>
      <c r="D30" s="244"/>
      <c r="E30" s="244">
        <v>3837.0666666666666</v>
      </c>
      <c r="F30" s="244"/>
      <c r="G30" s="244"/>
      <c r="H30" s="244"/>
      <c r="I30" s="243">
        <v>21831.666666666664</v>
      </c>
      <c r="J30" s="243"/>
      <c r="K30" s="244">
        <v>4970.666666666667</v>
      </c>
      <c r="L30" s="244">
        <v>5424.5666666666675</v>
      </c>
      <c r="M30" s="244"/>
      <c r="N30" s="243">
        <v>10395.233333333334</v>
      </c>
      <c r="O30" s="243"/>
      <c r="P30" s="244"/>
      <c r="Q30" s="243"/>
      <c r="R30" s="243"/>
      <c r="S30" s="243"/>
      <c r="T30" s="312"/>
      <c r="U30" s="312"/>
      <c r="V30" s="312"/>
      <c r="W30" s="312"/>
      <c r="X30" s="312"/>
      <c r="Y30" s="312"/>
      <c r="Z30" s="312"/>
      <c r="AA30" s="358"/>
      <c r="AB30" s="444"/>
      <c r="AC30" s="444"/>
      <c r="AD30" s="444"/>
      <c r="AE30" s="334"/>
    </row>
    <row r="31" spans="1:31" s="73" customFormat="1">
      <c r="A31" s="241"/>
      <c r="B31" s="245" t="s">
        <v>98</v>
      </c>
      <c r="C31" s="253">
        <v>1.9097676542150896E-3</v>
      </c>
      <c r="D31" s="254">
        <v>0</v>
      </c>
      <c r="E31" s="254">
        <v>4.6158879608844544E-2</v>
      </c>
      <c r="F31" s="254">
        <v>0</v>
      </c>
      <c r="G31" s="254">
        <v>0</v>
      </c>
      <c r="H31" s="254">
        <v>0</v>
      </c>
      <c r="I31" s="253">
        <v>9.4136939347328873E-3</v>
      </c>
      <c r="J31" s="253">
        <v>0</v>
      </c>
      <c r="K31" s="254">
        <v>-2.7938933288137381E-2</v>
      </c>
      <c r="L31" s="254">
        <v>-4.1838639213862071E-2</v>
      </c>
      <c r="M31" s="254">
        <v>0</v>
      </c>
      <c r="N31" s="253">
        <v>-3.5242181723686712E-2</v>
      </c>
      <c r="O31" s="356">
        <v>0</v>
      </c>
      <c r="P31" s="254">
        <v>0</v>
      </c>
      <c r="Q31" s="253">
        <v>0</v>
      </c>
      <c r="R31" s="253">
        <v>0</v>
      </c>
      <c r="S31" s="253">
        <v>0</v>
      </c>
      <c r="T31" s="313">
        <v>0</v>
      </c>
      <c r="U31" s="313">
        <v>0</v>
      </c>
      <c r="V31" s="313">
        <v>0</v>
      </c>
      <c r="W31" s="313">
        <v>0</v>
      </c>
      <c r="X31" s="313">
        <v>0</v>
      </c>
      <c r="Y31" s="313">
        <v>0</v>
      </c>
      <c r="Z31" s="313">
        <v>0</v>
      </c>
      <c r="AA31" s="359">
        <v>0</v>
      </c>
      <c r="AB31" s="445"/>
      <c r="AC31" s="445"/>
      <c r="AD31" s="445"/>
      <c r="AE31" s="334"/>
    </row>
    <row r="32" spans="1:31" s="73" customFormat="1">
      <c r="A32" s="241"/>
      <c r="B32" s="242" t="s">
        <v>82</v>
      </c>
      <c r="C32" s="243">
        <v>0</v>
      </c>
      <c r="D32" s="244"/>
      <c r="E32" s="244">
        <v>0</v>
      </c>
      <c r="F32" s="244"/>
      <c r="G32" s="244"/>
      <c r="H32" s="244"/>
      <c r="I32" s="243">
        <v>0</v>
      </c>
      <c r="J32" s="243"/>
      <c r="K32" s="244">
        <v>0</v>
      </c>
      <c r="L32" s="244">
        <v>0</v>
      </c>
      <c r="M32" s="244"/>
      <c r="N32" s="243">
        <v>0</v>
      </c>
      <c r="O32" s="314"/>
      <c r="P32" s="244"/>
      <c r="Q32" s="243"/>
      <c r="R32" s="243"/>
      <c r="S32" s="243"/>
      <c r="T32" s="312"/>
      <c r="U32" s="312"/>
      <c r="V32" s="312"/>
      <c r="W32" s="312"/>
      <c r="X32" s="312"/>
      <c r="Y32" s="312"/>
      <c r="Z32" s="312"/>
      <c r="AA32" s="360"/>
      <c r="AB32" s="444"/>
      <c r="AC32" s="444"/>
      <c r="AD32" s="444"/>
      <c r="AE32" s="334"/>
    </row>
    <row r="33" spans="1:31" s="73" customFormat="1">
      <c r="A33" s="241"/>
      <c r="B33" s="242" t="s">
        <v>80</v>
      </c>
      <c r="C33" s="243">
        <v>0</v>
      </c>
      <c r="D33" s="244"/>
      <c r="E33" s="244">
        <v>0</v>
      </c>
      <c r="F33" s="244"/>
      <c r="G33" s="244"/>
      <c r="H33" s="244"/>
      <c r="I33" s="243">
        <v>0</v>
      </c>
      <c r="J33" s="243"/>
      <c r="K33" s="244">
        <v>0</v>
      </c>
      <c r="L33" s="244">
        <v>0</v>
      </c>
      <c r="M33" s="244"/>
      <c r="N33" s="243">
        <v>0</v>
      </c>
      <c r="O33" s="314"/>
      <c r="P33" s="244"/>
      <c r="Q33" s="243"/>
      <c r="R33" s="243"/>
      <c r="S33" s="243"/>
      <c r="T33" s="312"/>
      <c r="U33" s="312"/>
      <c r="V33" s="312"/>
      <c r="W33" s="312"/>
      <c r="X33" s="312"/>
      <c r="Y33" s="312"/>
      <c r="Z33" s="312"/>
      <c r="AA33" s="360"/>
      <c r="AB33" s="444"/>
      <c r="AC33" s="444"/>
      <c r="AD33" s="444"/>
      <c r="AE33" s="334"/>
    </row>
    <row r="34" spans="1:31" s="73" customFormat="1">
      <c r="A34" s="241"/>
      <c r="B34" s="245" t="s">
        <v>100</v>
      </c>
      <c r="C34" s="253">
        <v>0</v>
      </c>
      <c r="D34" s="254">
        <v>0</v>
      </c>
      <c r="E34" s="254">
        <v>0</v>
      </c>
      <c r="F34" s="254">
        <v>0</v>
      </c>
      <c r="G34" s="254">
        <v>0</v>
      </c>
      <c r="H34" s="254">
        <v>0</v>
      </c>
      <c r="I34" s="253">
        <v>0</v>
      </c>
      <c r="J34" s="253">
        <v>0</v>
      </c>
      <c r="K34" s="254">
        <v>0</v>
      </c>
      <c r="L34" s="254">
        <v>0</v>
      </c>
      <c r="M34" s="254">
        <v>0</v>
      </c>
      <c r="N34" s="253">
        <v>0</v>
      </c>
      <c r="O34" s="356">
        <v>0</v>
      </c>
      <c r="P34" s="254">
        <v>0</v>
      </c>
      <c r="Q34" s="253">
        <v>0</v>
      </c>
      <c r="R34" s="253">
        <v>0</v>
      </c>
      <c r="S34" s="253">
        <v>0</v>
      </c>
      <c r="T34" s="313">
        <v>0</v>
      </c>
      <c r="U34" s="313">
        <v>0</v>
      </c>
      <c r="V34" s="313">
        <v>0</v>
      </c>
      <c r="W34" s="313">
        <v>0</v>
      </c>
      <c r="X34" s="313">
        <v>0</v>
      </c>
      <c r="Y34" s="313">
        <v>0</v>
      </c>
      <c r="Z34" s="313">
        <v>0</v>
      </c>
      <c r="AA34" s="359">
        <v>0</v>
      </c>
      <c r="AB34" s="445"/>
      <c r="AC34" s="445"/>
      <c r="AD34" s="445"/>
      <c r="AE34" s="334"/>
    </row>
    <row r="35" spans="1:31" s="73" customFormat="1">
      <c r="A35" s="241"/>
      <c r="B35" s="242" t="s">
        <v>88</v>
      </c>
      <c r="C35" s="243">
        <v>2123.1666666666665</v>
      </c>
      <c r="D35" s="244"/>
      <c r="E35" s="244">
        <v>189.04166666666666</v>
      </c>
      <c r="F35" s="244"/>
      <c r="G35" s="244"/>
      <c r="H35" s="244"/>
      <c r="I35" s="243">
        <v>2312.208333333333</v>
      </c>
      <c r="J35" s="243"/>
      <c r="K35" s="244">
        <v>0</v>
      </c>
      <c r="L35" s="244">
        <v>0</v>
      </c>
      <c r="M35" s="244"/>
      <c r="N35" s="243">
        <v>0</v>
      </c>
      <c r="O35" s="314"/>
      <c r="P35" s="244"/>
      <c r="Q35" s="243"/>
      <c r="R35" s="243"/>
      <c r="S35" s="243"/>
      <c r="T35" s="312"/>
      <c r="U35" s="312"/>
      <c r="V35" s="312"/>
      <c r="W35" s="312"/>
      <c r="X35" s="312"/>
      <c r="Y35" s="312"/>
      <c r="Z35" s="312"/>
      <c r="AA35" s="360"/>
      <c r="AB35" s="444"/>
      <c r="AC35" s="444"/>
      <c r="AD35" s="444"/>
      <c r="AE35" s="334"/>
    </row>
    <row r="36" spans="1:31" s="73" customFormat="1">
      <c r="A36" s="241"/>
      <c r="B36" s="242" t="s">
        <v>90</v>
      </c>
      <c r="C36" s="243">
        <v>2063.3333333333335</v>
      </c>
      <c r="D36" s="244"/>
      <c r="E36" s="244">
        <v>278.5</v>
      </c>
      <c r="F36" s="244"/>
      <c r="G36" s="244"/>
      <c r="H36" s="244"/>
      <c r="I36" s="243">
        <v>2341.8333333333335</v>
      </c>
      <c r="J36" s="243"/>
      <c r="K36" s="244">
        <v>0</v>
      </c>
      <c r="L36" s="244">
        <v>0</v>
      </c>
      <c r="M36" s="244"/>
      <c r="N36" s="243">
        <v>0</v>
      </c>
      <c r="O36" s="314"/>
      <c r="P36" s="244"/>
      <c r="Q36" s="243"/>
      <c r="R36" s="243"/>
      <c r="S36" s="243"/>
      <c r="T36" s="312"/>
      <c r="U36" s="312"/>
      <c r="V36" s="312"/>
      <c r="W36" s="312"/>
      <c r="X36" s="312"/>
      <c r="Y36" s="312"/>
      <c r="Z36" s="312"/>
      <c r="AA36" s="360"/>
      <c r="AB36" s="444"/>
      <c r="AC36" s="444"/>
      <c r="AD36" s="444"/>
      <c r="AE36" s="334"/>
    </row>
    <row r="37" spans="1:31" s="73" customFormat="1">
      <c r="A37" s="241"/>
      <c r="B37" s="245" t="s">
        <v>92</v>
      </c>
      <c r="C37" s="253">
        <v>-2.8181175916476821E-2</v>
      </c>
      <c r="D37" s="254">
        <v>0</v>
      </c>
      <c r="E37" s="510">
        <v>0.47322018955256784</v>
      </c>
      <c r="F37" s="254">
        <v>0</v>
      </c>
      <c r="G37" s="254">
        <v>0</v>
      </c>
      <c r="H37" s="254">
        <v>0</v>
      </c>
      <c r="I37" s="253">
        <v>1.2812426792568631E-2</v>
      </c>
      <c r="J37" s="253">
        <v>0</v>
      </c>
      <c r="K37" s="254">
        <v>0</v>
      </c>
      <c r="L37" s="254">
        <v>0</v>
      </c>
      <c r="M37" s="254">
        <v>0</v>
      </c>
      <c r="N37" s="253">
        <v>0</v>
      </c>
      <c r="O37" s="356">
        <v>0</v>
      </c>
      <c r="P37" s="254">
        <v>0</v>
      </c>
      <c r="Q37" s="253">
        <v>0</v>
      </c>
      <c r="R37" s="253">
        <v>0</v>
      </c>
      <c r="S37" s="253">
        <v>0</v>
      </c>
      <c r="T37" s="313">
        <v>0</v>
      </c>
      <c r="U37" s="313">
        <v>0</v>
      </c>
      <c r="V37" s="313">
        <v>0</v>
      </c>
      <c r="W37" s="313">
        <v>0</v>
      </c>
      <c r="X37" s="313">
        <v>0</v>
      </c>
      <c r="Y37" s="313">
        <v>0</v>
      </c>
      <c r="Z37" s="313">
        <v>0</v>
      </c>
      <c r="AA37" s="359">
        <v>0</v>
      </c>
      <c r="AB37" s="445"/>
      <c r="AC37" s="445"/>
      <c r="AD37" s="445"/>
      <c r="AE37" s="334"/>
    </row>
    <row r="38" spans="1:31" s="73" customFormat="1">
      <c r="A38" s="241"/>
      <c r="B38" s="242" t="s">
        <v>8</v>
      </c>
      <c r="C38" s="243">
        <v>20083.466666666667</v>
      </c>
      <c r="D38" s="244"/>
      <c r="E38" s="244">
        <v>3856.8083333333334</v>
      </c>
      <c r="F38" s="244"/>
      <c r="G38" s="244"/>
      <c r="H38" s="244"/>
      <c r="I38" s="243">
        <v>23940.275000000001</v>
      </c>
      <c r="J38" s="243"/>
      <c r="K38" s="244">
        <v>5113.5333333333338</v>
      </c>
      <c r="L38" s="244">
        <v>5661.4333333333334</v>
      </c>
      <c r="M38" s="244"/>
      <c r="N38" s="243">
        <v>10774.966666666667</v>
      </c>
      <c r="O38" s="314"/>
      <c r="P38" s="244"/>
      <c r="Q38" s="243"/>
      <c r="R38" s="243"/>
      <c r="S38" s="243"/>
      <c r="T38" s="312"/>
      <c r="U38" s="312"/>
      <c r="V38" s="312"/>
      <c r="W38" s="312"/>
      <c r="X38" s="312"/>
      <c r="Y38" s="312"/>
      <c r="Z38" s="312"/>
      <c r="AA38" s="360"/>
      <c r="AB38" s="444"/>
      <c r="AC38" s="444"/>
      <c r="AD38" s="444"/>
      <c r="AE38" s="334"/>
    </row>
    <row r="39" spans="1:31" s="73" customFormat="1">
      <c r="A39" s="241"/>
      <c r="B39" s="242" t="s">
        <v>94</v>
      </c>
      <c r="C39" s="243">
        <v>20057.933333333331</v>
      </c>
      <c r="D39" s="244"/>
      <c r="E39" s="244">
        <v>4115.5666666666666</v>
      </c>
      <c r="F39" s="244"/>
      <c r="G39" s="244"/>
      <c r="H39" s="244"/>
      <c r="I39" s="243">
        <v>24173.499999999996</v>
      </c>
      <c r="J39" s="243"/>
      <c r="K39" s="244">
        <v>4970.666666666667</v>
      </c>
      <c r="L39" s="244">
        <v>5424.5666666666675</v>
      </c>
      <c r="M39" s="244"/>
      <c r="N39" s="243">
        <v>10395.233333333334</v>
      </c>
      <c r="O39" s="314"/>
      <c r="P39" s="244"/>
      <c r="Q39" s="243"/>
      <c r="R39" s="243"/>
      <c r="S39" s="243"/>
      <c r="T39" s="312"/>
      <c r="U39" s="312"/>
      <c r="V39" s="312"/>
      <c r="W39" s="312"/>
      <c r="X39" s="312"/>
      <c r="Y39" s="312"/>
      <c r="Z39" s="312"/>
      <c r="AA39" s="360"/>
      <c r="AB39" s="444"/>
      <c r="AC39" s="444"/>
      <c r="AD39" s="444"/>
      <c r="AE39" s="334"/>
    </row>
    <row r="40" spans="1:31" s="73" customFormat="1">
      <c r="A40" s="246"/>
      <c r="B40" s="311" t="s">
        <v>96</v>
      </c>
      <c r="C40" s="253">
        <v>-1.2713608540359808E-3</v>
      </c>
      <c r="D40" s="254">
        <v>0</v>
      </c>
      <c r="E40" s="254">
        <v>6.7091312549020427E-2</v>
      </c>
      <c r="F40" s="254">
        <v>0</v>
      </c>
      <c r="G40" s="254">
        <v>0</v>
      </c>
      <c r="H40" s="254">
        <v>0</v>
      </c>
      <c r="I40" s="253">
        <v>9.7419515857689563E-3</v>
      </c>
      <c r="J40" s="253">
        <v>0</v>
      </c>
      <c r="K40" s="254">
        <v>-2.7938933288137381E-2</v>
      </c>
      <c r="L40" s="254">
        <v>-4.1838639213862071E-2</v>
      </c>
      <c r="M40" s="254">
        <v>0</v>
      </c>
      <c r="N40" s="253">
        <v>-3.5242181723686712E-2</v>
      </c>
      <c r="O40" s="356">
        <v>0</v>
      </c>
      <c r="P40" s="254">
        <v>0</v>
      </c>
      <c r="Q40" s="253">
        <v>0</v>
      </c>
      <c r="R40" s="253">
        <v>0</v>
      </c>
      <c r="S40" s="253">
        <v>0</v>
      </c>
      <c r="T40" s="313">
        <v>0</v>
      </c>
      <c r="U40" s="313">
        <v>0</v>
      </c>
      <c r="V40" s="313">
        <v>0</v>
      </c>
      <c r="W40" s="313">
        <v>0</v>
      </c>
      <c r="X40" s="313">
        <v>0</v>
      </c>
      <c r="Y40" s="313">
        <v>0</v>
      </c>
      <c r="Z40" s="313">
        <v>0</v>
      </c>
      <c r="AA40" s="359">
        <v>0</v>
      </c>
      <c r="AB40" s="445"/>
      <c r="AC40" s="445"/>
      <c r="AD40" s="445"/>
      <c r="AE40" s="334"/>
    </row>
    <row r="41" spans="1:31" s="73" customFormat="1">
      <c r="A41" s="342" t="s">
        <v>284</v>
      </c>
      <c r="B41" s="340" t="s">
        <v>86</v>
      </c>
      <c r="C41" s="337">
        <v>179459.6</v>
      </c>
      <c r="D41" s="341">
        <v>20560.166666666668</v>
      </c>
      <c r="E41" s="341">
        <v>31357.899999999998</v>
      </c>
      <c r="F41" s="341">
        <v>10147.033333333333</v>
      </c>
      <c r="G41" s="341"/>
      <c r="H41" s="341">
        <v>950.66666666666663</v>
      </c>
      <c r="I41" s="337">
        <v>242475.36666666664</v>
      </c>
      <c r="J41" s="337">
        <v>205398.06666666665</v>
      </c>
      <c r="K41" s="341">
        <v>119157.9</v>
      </c>
      <c r="L41" s="341">
        <v>11001</v>
      </c>
      <c r="M41" s="341">
        <v>1642.3333333333335</v>
      </c>
      <c r="N41" s="337">
        <v>337199.3</v>
      </c>
      <c r="O41" s="337"/>
      <c r="P41" s="341"/>
      <c r="Q41" s="337"/>
      <c r="R41" s="337"/>
      <c r="S41" s="337"/>
      <c r="T41" s="349"/>
      <c r="U41" s="349"/>
      <c r="V41" s="349"/>
      <c r="W41" s="349"/>
      <c r="X41" s="349"/>
      <c r="Y41" s="349"/>
      <c r="Z41" s="349"/>
      <c r="AA41" s="357"/>
      <c r="AB41" s="444"/>
      <c r="AC41" s="444"/>
      <c r="AD41" s="444"/>
      <c r="AE41" s="334"/>
    </row>
    <row r="42" spans="1:31" s="73" customFormat="1">
      <c r="A42" s="241"/>
      <c r="B42" s="242" t="s">
        <v>84</v>
      </c>
      <c r="C42" s="243">
        <v>177068.39999999997</v>
      </c>
      <c r="D42" s="244">
        <v>20915.633333333335</v>
      </c>
      <c r="E42" s="244">
        <v>30476.133333333335</v>
      </c>
      <c r="F42" s="244">
        <v>10677.733333333334</v>
      </c>
      <c r="G42" s="244"/>
      <c r="H42" s="244">
        <v>925.2</v>
      </c>
      <c r="I42" s="243">
        <v>240063.09999999998</v>
      </c>
      <c r="J42" s="243">
        <v>198767.80000000002</v>
      </c>
      <c r="K42" s="244">
        <v>113583.4</v>
      </c>
      <c r="L42" s="244">
        <v>10407.233333333334</v>
      </c>
      <c r="M42" s="244">
        <v>1515.8333333333333</v>
      </c>
      <c r="N42" s="243">
        <v>324274.26666666666</v>
      </c>
      <c r="O42" s="243"/>
      <c r="P42" s="244"/>
      <c r="Q42" s="243"/>
      <c r="R42" s="243"/>
      <c r="S42" s="243"/>
      <c r="T42" s="312"/>
      <c r="U42" s="312"/>
      <c r="V42" s="312"/>
      <c r="W42" s="312"/>
      <c r="X42" s="312"/>
      <c r="Y42" s="312"/>
      <c r="Z42" s="312"/>
      <c r="AA42" s="358"/>
      <c r="AB42" s="444"/>
      <c r="AC42" s="444"/>
      <c r="AD42" s="444"/>
      <c r="AE42" s="334"/>
    </row>
    <row r="43" spans="1:31" s="73" customFormat="1">
      <c r="A43" s="241"/>
      <c r="B43" s="245" t="s">
        <v>98</v>
      </c>
      <c r="C43" s="253">
        <v>-1.3324447396517326E-2</v>
      </c>
      <c r="D43" s="254">
        <v>1.7289094608506764E-2</v>
      </c>
      <c r="E43" s="254">
        <v>-2.8119442522192586E-2</v>
      </c>
      <c r="F43" s="254">
        <v>5.230100094937444E-2</v>
      </c>
      <c r="G43" s="254">
        <v>0</v>
      </c>
      <c r="H43" s="254">
        <v>-2.6788218793828804E-2</v>
      </c>
      <c r="I43" s="253">
        <v>-9.9485019852875636E-3</v>
      </c>
      <c r="J43" s="253">
        <v>-3.2280083129636573E-2</v>
      </c>
      <c r="K43" s="254">
        <v>-4.6782462597947765E-2</v>
      </c>
      <c r="L43" s="254">
        <v>-5.3973881162318556E-2</v>
      </c>
      <c r="M43" s="254">
        <v>-7.7024558554901701E-2</v>
      </c>
      <c r="N43" s="253">
        <v>-3.8330546158705743E-2</v>
      </c>
      <c r="O43" s="356">
        <v>0</v>
      </c>
      <c r="P43" s="254">
        <v>0</v>
      </c>
      <c r="Q43" s="253">
        <v>0</v>
      </c>
      <c r="R43" s="253">
        <v>0</v>
      </c>
      <c r="S43" s="253">
        <v>0</v>
      </c>
      <c r="T43" s="313">
        <v>0</v>
      </c>
      <c r="U43" s="313">
        <v>0</v>
      </c>
      <c r="V43" s="313">
        <v>0</v>
      </c>
      <c r="W43" s="313">
        <v>0</v>
      </c>
      <c r="X43" s="313">
        <v>0</v>
      </c>
      <c r="Y43" s="313">
        <v>0</v>
      </c>
      <c r="Z43" s="313">
        <v>0</v>
      </c>
      <c r="AA43" s="359">
        <v>0</v>
      </c>
      <c r="AB43" s="445"/>
      <c r="AC43" s="445"/>
      <c r="AD43" s="445"/>
      <c r="AE43" s="334"/>
    </row>
    <row r="44" spans="1:31" s="73" customFormat="1">
      <c r="A44" s="241"/>
      <c r="B44" s="242" t="s">
        <v>82</v>
      </c>
      <c r="C44" s="243">
        <v>0</v>
      </c>
      <c r="D44" s="244">
        <v>0</v>
      </c>
      <c r="E44" s="244">
        <v>0</v>
      </c>
      <c r="F44" s="244">
        <v>0</v>
      </c>
      <c r="G44" s="244"/>
      <c r="H44" s="244">
        <v>0</v>
      </c>
      <c r="I44" s="243">
        <v>0</v>
      </c>
      <c r="J44" s="243">
        <v>13384.667777777779</v>
      </c>
      <c r="K44" s="244">
        <v>6992.9955555555562</v>
      </c>
      <c r="L44" s="244">
        <v>1292.1322222222223</v>
      </c>
      <c r="M44" s="244">
        <v>135.48444444444445</v>
      </c>
      <c r="N44" s="243">
        <v>21805.280000000002</v>
      </c>
      <c r="O44" s="314"/>
      <c r="P44" s="244"/>
      <c r="Q44" s="243"/>
      <c r="R44" s="243"/>
      <c r="S44" s="243"/>
      <c r="T44" s="312"/>
      <c r="U44" s="312"/>
      <c r="V44" s="312"/>
      <c r="W44" s="312"/>
      <c r="X44" s="312"/>
      <c r="Y44" s="312"/>
      <c r="Z44" s="312"/>
      <c r="AA44" s="360"/>
      <c r="AB44" s="444"/>
      <c r="AC44" s="444"/>
      <c r="AD44" s="444"/>
      <c r="AE44" s="334"/>
    </row>
    <row r="45" spans="1:31" s="73" customFormat="1">
      <c r="A45" s="241"/>
      <c r="B45" s="242" t="s">
        <v>80</v>
      </c>
      <c r="C45" s="243">
        <v>0</v>
      </c>
      <c r="D45" s="244">
        <v>0</v>
      </c>
      <c r="E45" s="244">
        <v>0</v>
      </c>
      <c r="F45" s="244">
        <v>0</v>
      </c>
      <c r="G45" s="244"/>
      <c r="H45" s="244">
        <v>0</v>
      </c>
      <c r="I45" s="243">
        <v>0</v>
      </c>
      <c r="J45" s="243">
        <v>13298.934444444443</v>
      </c>
      <c r="K45" s="244">
        <v>6615.833333333333</v>
      </c>
      <c r="L45" s="244">
        <v>1141.1011111111111</v>
      </c>
      <c r="M45" s="244">
        <v>128.80555555555557</v>
      </c>
      <c r="N45" s="243">
        <v>21184.674444444441</v>
      </c>
      <c r="O45" s="314"/>
      <c r="P45" s="244"/>
      <c r="Q45" s="243"/>
      <c r="R45" s="243"/>
      <c r="S45" s="243"/>
      <c r="T45" s="312"/>
      <c r="U45" s="312"/>
      <c r="V45" s="312"/>
      <c r="W45" s="312"/>
      <c r="X45" s="312"/>
      <c r="Y45" s="312"/>
      <c r="Z45" s="312"/>
      <c r="AA45" s="360"/>
      <c r="AB45" s="444"/>
      <c r="AC45" s="444"/>
      <c r="AD45" s="444"/>
      <c r="AE45" s="334"/>
    </row>
    <row r="46" spans="1:31" s="73" customFormat="1">
      <c r="A46" s="241"/>
      <c r="B46" s="245" t="s">
        <v>100</v>
      </c>
      <c r="C46" s="253">
        <v>0</v>
      </c>
      <c r="D46" s="254">
        <v>0</v>
      </c>
      <c r="E46" s="254">
        <v>0</v>
      </c>
      <c r="F46" s="254">
        <v>0</v>
      </c>
      <c r="G46" s="254">
        <v>0</v>
      </c>
      <c r="H46" s="254">
        <v>0</v>
      </c>
      <c r="I46" s="253">
        <v>0</v>
      </c>
      <c r="J46" s="253">
        <v>-6.405338911412972E-3</v>
      </c>
      <c r="K46" s="254">
        <v>-5.3934285990298987E-2</v>
      </c>
      <c r="L46" s="254">
        <v>-0.11688518288892007</v>
      </c>
      <c r="M46" s="254">
        <v>-4.9296352184752576E-2</v>
      </c>
      <c r="N46" s="253">
        <v>-2.846125138294784E-2</v>
      </c>
      <c r="O46" s="356">
        <v>0</v>
      </c>
      <c r="P46" s="254">
        <v>0</v>
      </c>
      <c r="Q46" s="253">
        <v>0</v>
      </c>
      <c r="R46" s="253">
        <v>0</v>
      </c>
      <c r="S46" s="253">
        <v>0</v>
      </c>
      <c r="T46" s="313">
        <v>0</v>
      </c>
      <c r="U46" s="313">
        <v>0</v>
      </c>
      <c r="V46" s="313">
        <v>0</v>
      </c>
      <c r="W46" s="313">
        <v>0</v>
      </c>
      <c r="X46" s="313">
        <v>0</v>
      </c>
      <c r="Y46" s="313">
        <v>0</v>
      </c>
      <c r="Z46" s="313">
        <v>0</v>
      </c>
      <c r="AA46" s="359">
        <v>0</v>
      </c>
      <c r="AB46" s="445"/>
      <c r="AC46" s="445"/>
      <c r="AD46" s="445"/>
      <c r="AE46" s="334"/>
    </row>
    <row r="47" spans="1:31" s="73" customFormat="1">
      <c r="A47" s="241"/>
      <c r="B47" s="242" t="s">
        <v>88</v>
      </c>
      <c r="C47" s="243">
        <v>43967.291666666664</v>
      </c>
      <c r="D47" s="244">
        <v>3312.4166666666665</v>
      </c>
      <c r="E47" s="244">
        <v>4806.4375</v>
      </c>
      <c r="F47" s="244">
        <v>938.375</v>
      </c>
      <c r="G47" s="244"/>
      <c r="H47" s="244">
        <v>0</v>
      </c>
      <c r="I47" s="243">
        <v>53024.520833333328</v>
      </c>
      <c r="J47" s="243">
        <v>0</v>
      </c>
      <c r="K47" s="244">
        <v>0</v>
      </c>
      <c r="L47" s="244">
        <v>0</v>
      </c>
      <c r="M47" s="244">
        <v>0</v>
      </c>
      <c r="N47" s="243">
        <v>0</v>
      </c>
      <c r="O47" s="314"/>
      <c r="P47" s="244"/>
      <c r="Q47" s="243"/>
      <c r="R47" s="243"/>
      <c r="S47" s="243"/>
      <c r="T47" s="312"/>
      <c r="U47" s="312"/>
      <c r="V47" s="312"/>
      <c r="W47" s="312"/>
      <c r="X47" s="312"/>
      <c r="Y47" s="312"/>
      <c r="Z47" s="312"/>
      <c r="AA47" s="360"/>
      <c r="AB47" s="444"/>
      <c r="AC47" s="444"/>
      <c r="AD47" s="444"/>
      <c r="AE47" s="334"/>
    </row>
    <row r="48" spans="1:31" s="73" customFormat="1">
      <c r="A48" s="241"/>
      <c r="B48" s="242" t="s">
        <v>90</v>
      </c>
      <c r="C48" s="243">
        <v>43668.833333333328</v>
      </c>
      <c r="D48" s="244">
        <v>3219.4583333333335</v>
      </c>
      <c r="E48" s="244">
        <v>4731.041666666667</v>
      </c>
      <c r="F48" s="244">
        <v>866.20833333333337</v>
      </c>
      <c r="G48" s="244"/>
      <c r="H48" s="244">
        <v>0</v>
      </c>
      <c r="I48" s="243">
        <v>52485.541666666664</v>
      </c>
      <c r="J48" s="243">
        <v>0</v>
      </c>
      <c r="K48" s="244">
        <v>0</v>
      </c>
      <c r="L48" s="244">
        <v>0</v>
      </c>
      <c r="M48" s="244">
        <v>0</v>
      </c>
      <c r="N48" s="243">
        <v>0</v>
      </c>
      <c r="O48" s="314"/>
      <c r="P48" s="244"/>
      <c r="Q48" s="243"/>
      <c r="R48" s="243"/>
      <c r="S48" s="243"/>
      <c r="T48" s="312"/>
      <c r="U48" s="312"/>
      <c r="V48" s="312"/>
      <c r="W48" s="312"/>
      <c r="X48" s="312"/>
      <c r="Y48" s="312"/>
      <c r="Z48" s="312"/>
      <c r="AA48" s="360"/>
      <c r="AB48" s="444"/>
      <c r="AC48" s="444"/>
      <c r="AD48" s="444"/>
      <c r="AE48" s="334"/>
    </row>
    <row r="49" spans="1:31" s="73" customFormat="1">
      <c r="A49" s="241"/>
      <c r="B49" s="245" t="s">
        <v>92</v>
      </c>
      <c r="C49" s="253">
        <v>-6.7881900844852083E-3</v>
      </c>
      <c r="D49" s="254">
        <v>-2.8063599084253602E-2</v>
      </c>
      <c r="E49" s="254">
        <v>-1.5686427490908397E-2</v>
      </c>
      <c r="F49" s="254">
        <v>-7.690599884552192E-2</v>
      </c>
      <c r="G49" s="254">
        <v>0</v>
      </c>
      <c r="H49" s="254">
        <v>0</v>
      </c>
      <c r="I49" s="253">
        <v>-1.0164715459867775E-2</v>
      </c>
      <c r="J49" s="253">
        <v>0</v>
      </c>
      <c r="K49" s="254">
        <v>0</v>
      </c>
      <c r="L49" s="254">
        <v>0</v>
      </c>
      <c r="M49" s="254">
        <v>0</v>
      </c>
      <c r="N49" s="253">
        <v>0</v>
      </c>
      <c r="O49" s="356">
        <v>0</v>
      </c>
      <c r="P49" s="254">
        <v>0</v>
      </c>
      <c r="Q49" s="253">
        <v>0</v>
      </c>
      <c r="R49" s="253">
        <v>0</v>
      </c>
      <c r="S49" s="253">
        <v>0</v>
      </c>
      <c r="T49" s="313">
        <v>0</v>
      </c>
      <c r="U49" s="313">
        <v>0</v>
      </c>
      <c r="V49" s="313">
        <v>0</v>
      </c>
      <c r="W49" s="313">
        <v>0</v>
      </c>
      <c r="X49" s="313">
        <v>0</v>
      </c>
      <c r="Y49" s="313">
        <v>0</v>
      </c>
      <c r="Z49" s="313">
        <v>0</v>
      </c>
      <c r="AA49" s="359">
        <v>0</v>
      </c>
      <c r="AB49" s="445"/>
      <c r="AC49" s="445"/>
      <c r="AD49" s="445"/>
      <c r="AE49" s="334"/>
    </row>
    <row r="50" spans="1:31" s="73" customFormat="1">
      <c r="A50" s="241"/>
      <c r="B50" s="242" t="s">
        <v>8</v>
      </c>
      <c r="C50" s="243">
        <v>223426.89166666666</v>
      </c>
      <c r="D50" s="244">
        <v>23872.583333333336</v>
      </c>
      <c r="E50" s="244">
        <v>36164.337499999994</v>
      </c>
      <c r="F50" s="244">
        <v>11085.408333333333</v>
      </c>
      <c r="G50" s="244"/>
      <c r="H50" s="244">
        <v>950.66666666666663</v>
      </c>
      <c r="I50" s="243">
        <v>295499.88750000001</v>
      </c>
      <c r="J50" s="243">
        <v>218782.73444444445</v>
      </c>
      <c r="K50" s="244">
        <v>126150.89555555556</v>
      </c>
      <c r="L50" s="244">
        <v>12293.132222222222</v>
      </c>
      <c r="M50" s="244">
        <v>1777.8177777777778</v>
      </c>
      <c r="N50" s="243">
        <v>359004.58</v>
      </c>
      <c r="O50" s="314"/>
      <c r="P50" s="244"/>
      <c r="Q50" s="243"/>
      <c r="R50" s="243"/>
      <c r="S50" s="243"/>
      <c r="T50" s="312"/>
      <c r="U50" s="312"/>
      <c r="V50" s="312"/>
      <c r="W50" s="312"/>
      <c r="X50" s="312"/>
      <c r="Y50" s="312"/>
      <c r="Z50" s="312"/>
      <c r="AA50" s="360"/>
      <c r="AB50" s="444"/>
      <c r="AC50" s="444"/>
      <c r="AD50" s="444"/>
      <c r="AE50" s="334"/>
    </row>
    <row r="51" spans="1:31" s="73" customFormat="1">
      <c r="A51" s="241"/>
      <c r="B51" s="242" t="s">
        <v>94</v>
      </c>
      <c r="C51" s="243">
        <v>220737.23333333334</v>
      </c>
      <c r="D51" s="244">
        <v>24135.091666666667</v>
      </c>
      <c r="E51" s="244">
        <v>35207.175000000003</v>
      </c>
      <c r="F51" s="244">
        <v>11543.941666666668</v>
      </c>
      <c r="G51" s="244"/>
      <c r="H51" s="244">
        <v>925.2</v>
      </c>
      <c r="I51" s="243">
        <v>292548.64166666666</v>
      </c>
      <c r="J51" s="243">
        <v>212066.73444444445</v>
      </c>
      <c r="K51" s="244">
        <v>120199.23333333332</v>
      </c>
      <c r="L51" s="244">
        <v>11548.334444444445</v>
      </c>
      <c r="M51" s="244">
        <v>1644.6388888888887</v>
      </c>
      <c r="N51" s="243">
        <v>345458.94111111108</v>
      </c>
      <c r="O51" s="314"/>
      <c r="P51" s="244"/>
      <c r="Q51" s="243"/>
      <c r="R51" s="243"/>
      <c r="S51" s="243"/>
      <c r="T51" s="312"/>
      <c r="U51" s="312"/>
      <c r="V51" s="312"/>
      <c r="W51" s="312"/>
      <c r="X51" s="312"/>
      <c r="Y51" s="312"/>
      <c r="Z51" s="312"/>
      <c r="AA51" s="360"/>
      <c r="AB51" s="444"/>
      <c r="AC51" s="444"/>
      <c r="AD51" s="444"/>
      <c r="AE51" s="334"/>
    </row>
    <row r="52" spans="1:31" s="73" customFormat="1">
      <c r="A52" s="246"/>
      <c r="B52" s="311" t="s">
        <v>96</v>
      </c>
      <c r="C52" s="253">
        <v>-1.2038203249705769E-2</v>
      </c>
      <c r="D52" s="254">
        <v>1.0996226494130214E-2</v>
      </c>
      <c r="E52" s="254">
        <v>-2.646702708158255E-2</v>
      </c>
      <c r="F52" s="254">
        <v>4.1363684543269844E-2</v>
      </c>
      <c r="G52" s="254">
        <v>0</v>
      </c>
      <c r="H52" s="254">
        <v>-2.6788218793828804E-2</v>
      </c>
      <c r="I52" s="253">
        <v>-9.9872993465466159E-3</v>
      </c>
      <c r="J52" s="253">
        <v>-3.0697120671125882E-2</v>
      </c>
      <c r="K52" s="254">
        <v>-4.7178913760474929E-2</v>
      </c>
      <c r="L52" s="254">
        <v>-6.0586493687215963E-2</v>
      </c>
      <c r="M52" s="254">
        <v>-7.4911439492611531E-2</v>
      </c>
      <c r="N52" s="253">
        <v>-3.7731103288122528E-2</v>
      </c>
      <c r="O52" s="356">
        <v>0</v>
      </c>
      <c r="P52" s="254">
        <v>0</v>
      </c>
      <c r="Q52" s="253">
        <v>0</v>
      </c>
      <c r="R52" s="253">
        <v>0</v>
      </c>
      <c r="S52" s="253">
        <v>0</v>
      </c>
      <c r="T52" s="313">
        <v>0</v>
      </c>
      <c r="U52" s="313">
        <v>0</v>
      </c>
      <c r="V52" s="313">
        <v>0</v>
      </c>
      <c r="W52" s="313">
        <v>0</v>
      </c>
      <c r="X52" s="313">
        <v>0</v>
      </c>
      <c r="Y52" s="313">
        <v>0</v>
      </c>
      <c r="Z52" s="313">
        <v>0</v>
      </c>
      <c r="AA52" s="359">
        <v>0</v>
      </c>
      <c r="AB52" s="445"/>
      <c r="AC52" s="445"/>
      <c r="AD52" s="445"/>
      <c r="AE52" s="334"/>
    </row>
    <row r="53" spans="1:31" s="73" customFormat="1">
      <c r="A53" s="342" t="s">
        <v>142</v>
      </c>
      <c r="B53" s="340" t="s">
        <v>86</v>
      </c>
      <c r="C53" s="337">
        <v>46819.28</v>
      </c>
      <c r="D53" s="341">
        <v>14130.933333333332</v>
      </c>
      <c r="E53" s="341">
        <v>55741.133333333331</v>
      </c>
      <c r="F53" s="341">
        <v>37893.416666666672</v>
      </c>
      <c r="G53" s="341">
        <v>15210.300000000001</v>
      </c>
      <c r="H53" s="341">
        <v>18748.966666666667</v>
      </c>
      <c r="I53" s="337">
        <v>188544.03</v>
      </c>
      <c r="J53" s="337">
        <v>8559.2000000000007</v>
      </c>
      <c r="K53" s="341">
        <v>18381.833333333332</v>
      </c>
      <c r="L53" s="341">
        <v>19535.983333333334</v>
      </c>
      <c r="M53" s="341"/>
      <c r="N53" s="337">
        <v>46477.016666666663</v>
      </c>
      <c r="O53" s="337"/>
      <c r="P53" s="341"/>
      <c r="Q53" s="337">
        <v>77975.723333333342</v>
      </c>
      <c r="R53" s="337"/>
      <c r="S53" s="337">
        <v>77975.723333333342</v>
      </c>
      <c r="T53" s="349"/>
      <c r="U53" s="349"/>
      <c r="V53" s="349"/>
      <c r="W53" s="349"/>
      <c r="X53" s="349"/>
      <c r="Y53" s="349"/>
      <c r="Z53" s="349"/>
      <c r="AA53" s="357"/>
      <c r="AB53" s="444"/>
      <c r="AC53" s="444"/>
      <c r="AD53" s="444"/>
      <c r="AE53" s="334"/>
    </row>
    <row r="54" spans="1:31" s="73" customFormat="1">
      <c r="A54" s="241"/>
      <c r="B54" s="242" t="s">
        <v>84</v>
      </c>
      <c r="C54" s="243">
        <v>47084.899999999994</v>
      </c>
      <c r="D54" s="244">
        <v>14387.866666666667</v>
      </c>
      <c r="E54" s="244">
        <v>54760.333333333328</v>
      </c>
      <c r="F54" s="244">
        <v>37719.800000000003</v>
      </c>
      <c r="G54" s="244">
        <v>14929.466666666667</v>
      </c>
      <c r="H54" s="244">
        <v>18620.099999999999</v>
      </c>
      <c r="I54" s="243">
        <v>187502.46666666667</v>
      </c>
      <c r="J54" s="243">
        <v>8326.9666666666672</v>
      </c>
      <c r="K54" s="244">
        <v>15720.066666666668</v>
      </c>
      <c r="L54" s="244">
        <v>18111.633333333335</v>
      </c>
      <c r="M54" s="244"/>
      <c r="N54" s="243">
        <v>42158.666666666672</v>
      </c>
      <c r="O54" s="243"/>
      <c r="P54" s="244"/>
      <c r="Q54" s="243">
        <v>76720.666666666672</v>
      </c>
      <c r="R54" s="243"/>
      <c r="S54" s="243">
        <v>76720.666666666672</v>
      </c>
      <c r="T54" s="312"/>
      <c r="U54" s="312"/>
      <c r="V54" s="312"/>
      <c r="W54" s="312"/>
      <c r="X54" s="312"/>
      <c r="Y54" s="312"/>
      <c r="Z54" s="312"/>
      <c r="AA54" s="358"/>
      <c r="AB54" s="444"/>
      <c r="AC54" s="444"/>
      <c r="AD54" s="444"/>
      <c r="AE54" s="334"/>
    </row>
    <row r="55" spans="1:31" s="73" customFormat="1">
      <c r="A55" s="241"/>
      <c r="B55" s="245" t="s">
        <v>98</v>
      </c>
      <c r="C55" s="253">
        <v>5.6733038184268395E-3</v>
      </c>
      <c r="D55" s="254">
        <v>1.8182332848974424E-2</v>
      </c>
      <c r="E55" s="254">
        <v>-1.7595623578996772E-2</v>
      </c>
      <c r="F55" s="254">
        <v>-4.5817105433881939E-3</v>
      </c>
      <c r="G55" s="254">
        <v>-1.8463365833240233E-2</v>
      </c>
      <c r="H55" s="254">
        <v>-6.8732676823079287E-3</v>
      </c>
      <c r="I55" s="253">
        <v>-5.5242445668170744E-3</v>
      </c>
      <c r="J55" s="253">
        <v>-2.7132598062124213E-2</v>
      </c>
      <c r="K55" s="510">
        <v>-0.1448041997987142</v>
      </c>
      <c r="L55" s="254">
        <v>-7.2909050734584563E-2</v>
      </c>
      <c r="M55" s="254">
        <v>0</v>
      </c>
      <c r="N55" s="253">
        <v>-9.2913665930221406E-2</v>
      </c>
      <c r="O55" s="356">
        <v>0</v>
      </c>
      <c r="P55" s="254">
        <v>0</v>
      </c>
      <c r="Q55" s="253">
        <v>-1.6095479631545204E-2</v>
      </c>
      <c r="R55" s="253">
        <v>0</v>
      </c>
      <c r="S55" s="253">
        <v>-1.6095479631545204E-2</v>
      </c>
      <c r="T55" s="313">
        <v>0</v>
      </c>
      <c r="U55" s="313">
        <v>0</v>
      </c>
      <c r="V55" s="313">
        <v>0</v>
      </c>
      <c r="W55" s="313">
        <v>0</v>
      </c>
      <c r="X55" s="313">
        <v>0</v>
      </c>
      <c r="Y55" s="313">
        <v>0</v>
      </c>
      <c r="Z55" s="313">
        <v>0</v>
      </c>
      <c r="AA55" s="359">
        <v>0</v>
      </c>
      <c r="AB55" s="445"/>
      <c r="AC55" s="445"/>
      <c r="AD55" s="445"/>
      <c r="AE55" s="334"/>
    </row>
    <row r="56" spans="1:31" s="73" customFormat="1">
      <c r="A56" s="241"/>
      <c r="B56" s="242" t="s">
        <v>82</v>
      </c>
      <c r="C56" s="243">
        <v>0</v>
      </c>
      <c r="D56" s="244">
        <v>0</v>
      </c>
      <c r="E56" s="244">
        <v>0</v>
      </c>
      <c r="F56" s="244">
        <v>0</v>
      </c>
      <c r="G56" s="244">
        <v>0</v>
      </c>
      <c r="H56" s="244">
        <v>0</v>
      </c>
      <c r="I56" s="243">
        <v>0</v>
      </c>
      <c r="J56" s="243">
        <v>0</v>
      </c>
      <c r="K56" s="244">
        <v>0</v>
      </c>
      <c r="L56" s="244">
        <v>0</v>
      </c>
      <c r="M56" s="244"/>
      <c r="N56" s="243">
        <v>0</v>
      </c>
      <c r="O56" s="314"/>
      <c r="P56" s="244"/>
      <c r="Q56" s="243">
        <v>0</v>
      </c>
      <c r="R56" s="243"/>
      <c r="S56" s="243">
        <v>0</v>
      </c>
      <c r="T56" s="312"/>
      <c r="U56" s="312"/>
      <c r="V56" s="312"/>
      <c r="W56" s="312"/>
      <c r="X56" s="312"/>
      <c r="Y56" s="312"/>
      <c r="Z56" s="312"/>
      <c r="AA56" s="360"/>
      <c r="AB56" s="444"/>
      <c r="AC56" s="444"/>
      <c r="AD56" s="444"/>
      <c r="AE56" s="334"/>
    </row>
    <row r="57" spans="1:31" s="73" customFormat="1">
      <c r="A57" s="241"/>
      <c r="B57" s="242" t="s">
        <v>80</v>
      </c>
      <c r="C57" s="243">
        <v>0</v>
      </c>
      <c r="D57" s="244">
        <v>0</v>
      </c>
      <c r="E57" s="244">
        <v>0</v>
      </c>
      <c r="F57" s="244">
        <v>0</v>
      </c>
      <c r="G57" s="244">
        <v>0</v>
      </c>
      <c r="H57" s="244">
        <v>0</v>
      </c>
      <c r="I57" s="243">
        <v>0</v>
      </c>
      <c r="J57" s="243">
        <v>0</v>
      </c>
      <c r="K57" s="244">
        <v>0</v>
      </c>
      <c r="L57" s="244">
        <v>0</v>
      </c>
      <c r="M57" s="244"/>
      <c r="N57" s="243">
        <v>0</v>
      </c>
      <c r="O57" s="314"/>
      <c r="P57" s="244"/>
      <c r="Q57" s="243">
        <v>0</v>
      </c>
      <c r="R57" s="243"/>
      <c r="S57" s="243">
        <v>0</v>
      </c>
      <c r="T57" s="312"/>
      <c r="U57" s="312"/>
      <c r="V57" s="312"/>
      <c r="W57" s="312"/>
      <c r="X57" s="312"/>
      <c r="Y57" s="312"/>
      <c r="Z57" s="312"/>
      <c r="AA57" s="360"/>
      <c r="AB57" s="444"/>
      <c r="AC57" s="444"/>
      <c r="AD57" s="444"/>
      <c r="AE57" s="334"/>
    </row>
    <row r="58" spans="1:31" s="73" customFormat="1">
      <c r="A58" s="241"/>
      <c r="B58" s="245" t="s">
        <v>100</v>
      </c>
      <c r="C58" s="253">
        <v>0</v>
      </c>
      <c r="D58" s="254">
        <v>0</v>
      </c>
      <c r="E58" s="254">
        <v>0</v>
      </c>
      <c r="F58" s="254">
        <v>0</v>
      </c>
      <c r="G58" s="254">
        <v>0</v>
      </c>
      <c r="H58" s="254">
        <v>0</v>
      </c>
      <c r="I58" s="253">
        <v>0</v>
      </c>
      <c r="J58" s="253">
        <v>0</v>
      </c>
      <c r="K58" s="254">
        <v>0</v>
      </c>
      <c r="L58" s="254">
        <v>0</v>
      </c>
      <c r="M58" s="254">
        <v>0</v>
      </c>
      <c r="N58" s="253">
        <v>0</v>
      </c>
      <c r="O58" s="356">
        <v>0</v>
      </c>
      <c r="P58" s="254">
        <v>0</v>
      </c>
      <c r="Q58" s="253">
        <v>0</v>
      </c>
      <c r="R58" s="253">
        <v>0</v>
      </c>
      <c r="S58" s="253">
        <v>0</v>
      </c>
      <c r="T58" s="313">
        <v>0</v>
      </c>
      <c r="U58" s="313">
        <v>0</v>
      </c>
      <c r="V58" s="313">
        <v>0</v>
      </c>
      <c r="W58" s="313">
        <v>0</v>
      </c>
      <c r="X58" s="313">
        <v>0</v>
      </c>
      <c r="Y58" s="313">
        <v>0</v>
      </c>
      <c r="Z58" s="313">
        <v>0</v>
      </c>
      <c r="AA58" s="359">
        <v>0</v>
      </c>
      <c r="AB58" s="445"/>
      <c r="AC58" s="445"/>
      <c r="AD58" s="445"/>
      <c r="AE58" s="334"/>
    </row>
    <row r="59" spans="1:31" s="73" customFormat="1">
      <c r="A59" s="241"/>
      <c r="B59" s="242" t="s">
        <v>88</v>
      </c>
      <c r="C59" s="243">
        <v>19525.5</v>
      </c>
      <c r="D59" s="244">
        <v>9755.6458333333339</v>
      </c>
      <c r="E59" s="244">
        <v>6297.916666666667</v>
      </c>
      <c r="F59" s="244">
        <v>3577.8333333333335</v>
      </c>
      <c r="G59" s="244">
        <v>825.50000000000011</v>
      </c>
      <c r="H59" s="244">
        <v>0</v>
      </c>
      <c r="I59" s="243">
        <v>39982.395833333336</v>
      </c>
      <c r="J59" s="243">
        <v>0</v>
      </c>
      <c r="K59" s="244">
        <v>0</v>
      </c>
      <c r="L59" s="244">
        <v>0</v>
      </c>
      <c r="M59" s="244"/>
      <c r="N59" s="243">
        <v>0</v>
      </c>
      <c r="O59" s="314"/>
      <c r="P59" s="244"/>
      <c r="Q59" s="243">
        <v>0</v>
      </c>
      <c r="R59" s="243"/>
      <c r="S59" s="243">
        <v>0</v>
      </c>
      <c r="T59" s="312"/>
      <c r="U59" s="312"/>
      <c r="V59" s="312"/>
      <c r="W59" s="312"/>
      <c r="X59" s="312"/>
      <c r="Y59" s="312"/>
      <c r="Z59" s="312"/>
      <c r="AA59" s="360"/>
      <c r="AB59" s="444"/>
      <c r="AC59" s="444"/>
      <c r="AD59" s="444"/>
      <c r="AE59" s="334"/>
    </row>
    <row r="60" spans="1:31" s="73" customFormat="1">
      <c r="A60" s="241"/>
      <c r="B60" s="242" t="s">
        <v>90</v>
      </c>
      <c r="C60" s="243">
        <v>19588.833333333332</v>
      </c>
      <c r="D60" s="244">
        <v>9657.375</v>
      </c>
      <c r="E60" s="244">
        <v>6409.6250000000009</v>
      </c>
      <c r="F60" s="244">
        <v>4770.375</v>
      </c>
      <c r="G60" s="244">
        <v>840.375</v>
      </c>
      <c r="H60" s="244">
        <v>0</v>
      </c>
      <c r="I60" s="243">
        <v>41266.583333333336</v>
      </c>
      <c r="J60" s="243">
        <v>0</v>
      </c>
      <c r="K60" s="244">
        <v>0</v>
      </c>
      <c r="L60" s="244">
        <v>0</v>
      </c>
      <c r="M60" s="244"/>
      <c r="N60" s="243">
        <v>0</v>
      </c>
      <c r="O60" s="314"/>
      <c r="P60" s="244"/>
      <c r="Q60" s="243">
        <v>0</v>
      </c>
      <c r="R60" s="243"/>
      <c r="S60" s="243">
        <v>0</v>
      </c>
      <c r="T60" s="312"/>
      <c r="U60" s="312"/>
      <c r="V60" s="312"/>
      <c r="W60" s="312"/>
      <c r="X60" s="312"/>
      <c r="Y60" s="312"/>
      <c r="Z60" s="312"/>
      <c r="AA60" s="360"/>
      <c r="AB60" s="444"/>
      <c r="AC60" s="444"/>
      <c r="AD60" s="444"/>
      <c r="AE60" s="334"/>
    </row>
    <row r="61" spans="1:31" s="73" customFormat="1">
      <c r="A61" s="241"/>
      <c r="B61" s="245" t="s">
        <v>92</v>
      </c>
      <c r="C61" s="253">
        <v>3.2436215888623655E-3</v>
      </c>
      <c r="D61" s="254">
        <v>-1.0073226828054756E-2</v>
      </c>
      <c r="E61" s="254">
        <v>1.7737347006285244E-2</v>
      </c>
      <c r="F61" s="510">
        <v>0.33331392369683693</v>
      </c>
      <c r="G61" s="254">
        <v>1.80193821926104E-2</v>
      </c>
      <c r="H61" s="254">
        <v>0</v>
      </c>
      <c r="I61" s="253">
        <v>3.2118823127886643E-2</v>
      </c>
      <c r="J61" s="253">
        <v>0</v>
      </c>
      <c r="K61" s="254">
        <v>0</v>
      </c>
      <c r="L61" s="254">
        <v>0</v>
      </c>
      <c r="M61" s="254">
        <v>0</v>
      </c>
      <c r="N61" s="253">
        <v>0</v>
      </c>
      <c r="O61" s="356">
        <v>0</v>
      </c>
      <c r="P61" s="254">
        <v>0</v>
      </c>
      <c r="Q61" s="253">
        <v>0</v>
      </c>
      <c r="R61" s="253">
        <v>0</v>
      </c>
      <c r="S61" s="253">
        <v>0</v>
      </c>
      <c r="T61" s="313">
        <v>0</v>
      </c>
      <c r="U61" s="313">
        <v>0</v>
      </c>
      <c r="V61" s="313">
        <v>0</v>
      </c>
      <c r="W61" s="313">
        <v>0</v>
      </c>
      <c r="X61" s="313">
        <v>0</v>
      </c>
      <c r="Y61" s="313">
        <v>0</v>
      </c>
      <c r="Z61" s="313">
        <v>0</v>
      </c>
      <c r="AA61" s="359">
        <v>0</v>
      </c>
      <c r="AB61" s="445"/>
      <c r="AC61" s="445"/>
      <c r="AD61" s="445"/>
      <c r="AE61" s="334"/>
    </row>
    <row r="62" spans="1:31" s="73" customFormat="1">
      <c r="A62" s="241"/>
      <c r="B62" s="242" t="s">
        <v>8</v>
      </c>
      <c r="C62" s="243">
        <v>66344.78</v>
      </c>
      <c r="D62" s="244">
        <v>23886.579166666666</v>
      </c>
      <c r="E62" s="244">
        <v>62039.049999999996</v>
      </c>
      <c r="F62" s="244">
        <v>41471.25</v>
      </c>
      <c r="G62" s="244">
        <v>16035.800000000001</v>
      </c>
      <c r="H62" s="244">
        <v>18748.966666666667</v>
      </c>
      <c r="I62" s="243">
        <v>228526.42583333331</v>
      </c>
      <c r="J62" s="243">
        <v>8559.2000000000007</v>
      </c>
      <c r="K62" s="244">
        <v>18381.833333333332</v>
      </c>
      <c r="L62" s="244">
        <v>19535.983333333334</v>
      </c>
      <c r="M62" s="244"/>
      <c r="N62" s="243">
        <v>46477.016666666663</v>
      </c>
      <c r="O62" s="314"/>
      <c r="P62" s="244"/>
      <c r="Q62" s="243">
        <v>77975.723333333342</v>
      </c>
      <c r="R62" s="243"/>
      <c r="S62" s="243">
        <v>77975.723333333342</v>
      </c>
      <c r="T62" s="312"/>
      <c r="U62" s="312"/>
      <c r="V62" s="312"/>
      <c r="W62" s="312"/>
      <c r="X62" s="312"/>
      <c r="Y62" s="312"/>
      <c r="Z62" s="312"/>
      <c r="AA62" s="360"/>
      <c r="AB62" s="444"/>
      <c r="AC62" s="444"/>
      <c r="AD62" s="444"/>
      <c r="AE62" s="334"/>
    </row>
    <row r="63" spans="1:31" s="73" customFormat="1">
      <c r="A63" s="241"/>
      <c r="B63" s="242" t="s">
        <v>94</v>
      </c>
      <c r="C63" s="243">
        <v>66673.733333333337</v>
      </c>
      <c r="D63" s="244">
        <v>24045.241666666669</v>
      </c>
      <c r="E63" s="244">
        <v>61169.958333333336</v>
      </c>
      <c r="F63" s="244">
        <v>42490.175000000003</v>
      </c>
      <c r="G63" s="244">
        <v>15769.841666666667</v>
      </c>
      <c r="H63" s="244">
        <v>18620.099999999999</v>
      </c>
      <c r="I63" s="243">
        <v>228769.05000000002</v>
      </c>
      <c r="J63" s="243">
        <v>8326.9666666666672</v>
      </c>
      <c r="K63" s="244">
        <v>15720.066666666668</v>
      </c>
      <c r="L63" s="244">
        <v>18111.633333333335</v>
      </c>
      <c r="M63" s="244"/>
      <c r="N63" s="243">
        <v>42158.666666666672</v>
      </c>
      <c r="O63" s="314"/>
      <c r="P63" s="244"/>
      <c r="Q63" s="243">
        <v>76720.666666666672</v>
      </c>
      <c r="R63" s="243"/>
      <c r="S63" s="243">
        <v>76720.666666666672</v>
      </c>
      <c r="T63" s="312"/>
      <c r="U63" s="312"/>
      <c r="V63" s="312"/>
      <c r="W63" s="312"/>
      <c r="X63" s="312"/>
      <c r="Y63" s="312"/>
      <c r="Z63" s="312"/>
      <c r="AA63" s="360"/>
      <c r="AB63" s="444"/>
      <c r="AC63" s="444"/>
      <c r="AD63" s="444"/>
      <c r="AE63" s="334"/>
    </row>
    <row r="64" spans="1:31" s="73" customFormat="1">
      <c r="A64" s="246"/>
      <c r="B64" s="311" t="s">
        <v>96</v>
      </c>
      <c r="C64" s="253">
        <v>4.958239869562283E-3</v>
      </c>
      <c r="D64" s="254">
        <v>6.6423282669714851E-3</v>
      </c>
      <c r="E64" s="254">
        <v>-1.4008784252284004E-2</v>
      </c>
      <c r="F64" s="254">
        <v>2.4569430629653142E-2</v>
      </c>
      <c r="G64" s="254">
        <v>-1.6585286255337055E-2</v>
      </c>
      <c r="H64" s="254">
        <v>-6.8732676823079287E-3</v>
      </c>
      <c r="I64" s="253">
        <v>1.0616897620567692E-3</v>
      </c>
      <c r="J64" s="253">
        <v>-2.7132598062124213E-2</v>
      </c>
      <c r="K64" s="254">
        <v>-0.1448041997987142</v>
      </c>
      <c r="L64" s="254">
        <v>-7.2909050734584563E-2</v>
      </c>
      <c r="M64" s="254">
        <v>0</v>
      </c>
      <c r="N64" s="253">
        <v>-9.2913665930221406E-2</v>
      </c>
      <c r="O64" s="356">
        <v>0</v>
      </c>
      <c r="P64" s="254">
        <v>0</v>
      </c>
      <c r="Q64" s="253">
        <v>-1.6095479631545204E-2</v>
      </c>
      <c r="R64" s="253">
        <v>0</v>
      </c>
      <c r="S64" s="253">
        <v>-1.6095479631545204E-2</v>
      </c>
      <c r="T64" s="313">
        <v>0</v>
      </c>
      <c r="U64" s="313">
        <v>0</v>
      </c>
      <c r="V64" s="313">
        <v>0</v>
      </c>
      <c r="W64" s="313">
        <v>0</v>
      </c>
      <c r="X64" s="313">
        <v>0</v>
      </c>
      <c r="Y64" s="313">
        <v>0</v>
      </c>
      <c r="Z64" s="313">
        <v>0</v>
      </c>
      <c r="AA64" s="359">
        <v>0</v>
      </c>
      <c r="AB64" s="445"/>
      <c r="AC64" s="445"/>
      <c r="AD64" s="445"/>
      <c r="AE64" s="334"/>
    </row>
    <row r="65" spans="1:31" s="73" customFormat="1">
      <c r="A65" s="342" t="s">
        <v>219</v>
      </c>
      <c r="B65" s="340" t="s">
        <v>86</v>
      </c>
      <c r="C65" s="337">
        <v>32257.599999999999</v>
      </c>
      <c r="D65" s="341"/>
      <c r="E65" s="341">
        <v>41413.300000000003</v>
      </c>
      <c r="F65" s="341">
        <v>13086.9</v>
      </c>
      <c r="G65" s="341"/>
      <c r="H65" s="341"/>
      <c r="I65" s="337">
        <v>86757.799999999988</v>
      </c>
      <c r="J65" s="337"/>
      <c r="K65" s="341">
        <v>17112</v>
      </c>
      <c r="L65" s="341">
        <v>32833.599999999999</v>
      </c>
      <c r="M65" s="341">
        <v>1273.7666666666667</v>
      </c>
      <c r="N65" s="337">
        <v>51219.366666666669</v>
      </c>
      <c r="O65" s="337"/>
      <c r="P65" s="341"/>
      <c r="Q65" s="337">
        <v>5047.0666666666666</v>
      </c>
      <c r="R65" s="337"/>
      <c r="S65" s="337">
        <v>5047.0666666666666</v>
      </c>
      <c r="T65" s="349"/>
      <c r="U65" s="349"/>
      <c r="V65" s="349"/>
      <c r="W65" s="349"/>
      <c r="X65" s="349"/>
      <c r="Y65" s="349"/>
      <c r="Z65" s="349"/>
      <c r="AA65" s="357"/>
      <c r="AB65" s="444"/>
      <c r="AC65" s="444"/>
      <c r="AD65" s="444"/>
      <c r="AE65" s="334"/>
    </row>
    <row r="66" spans="1:31" s="73" customFormat="1">
      <c r="A66" s="241"/>
      <c r="B66" s="242" t="s">
        <v>84</v>
      </c>
      <c r="C66" s="243">
        <v>33109.266666666663</v>
      </c>
      <c r="D66" s="244"/>
      <c r="E66" s="244">
        <v>41215.466666666667</v>
      </c>
      <c r="F66" s="244">
        <v>12903.7</v>
      </c>
      <c r="G66" s="244"/>
      <c r="H66" s="244"/>
      <c r="I66" s="243">
        <v>87228.433333333334</v>
      </c>
      <c r="J66" s="243"/>
      <c r="K66" s="244">
        <v>15588.466666666667</v>
      </c>
      <c r="L66" s="244">
        <v>31886.366666666665</v>
      </c>
      <c r="M66" s="244">
        <v>1303.7666666666667</v>
      </c>
      <c r="N66" s="243">
        <v>48778.6</v>
      </c>
      <c r="O66" s="243"/>
      <c r="P66" s="244"/>
      <c r="Q66" s="243">
        <v>5377.2</v>
      </c>
      <c r="R66" s="243"/>
      <c r="S66" s="243">
        <v>5377.2</v>
      </c>
      <c r="T66" s="312"/>
      <c r="U66" s="312"/>
      <c r="V66" s="312"/>
      <c r="W66" s="312"/>
      <c r="X66" s="312"/>
      <c r="Y66" s="312"/>
      <c r="Z66" s="312"/>
      <c r="AA66" s="358"/>
      <c r="AB66" s="444"/>
      <c r="AC66" s="444"/>
      <c r="AD66" s="444"/>
      <c r="AE66" s="334"/>
    </row>
    <row r="67" spans="1:31" s="73" customFormat="1">
      <c r="A67" s="241"/>
      <c r="B67" s="245" t="s">
        <v>98</v>
      </c>
      <c r="C67" s="253">
        <v>2.6402046856141319E-2</v>
      </c>
      <c r="D67" s="254">
        <v>0</v>
      </c>
      <c r="E67" s="254">
        <v>-4.7770482751515993E-3</v>
      </c>
      <c r="F67" s="254">
        <v>-1.3998731555983381E-2</v>
      </c>
      <c r="G67" s="254">
        <v>0</v>
      </c>
      <c r="H67" s="254">
        <v>0</v>
      </c>
      <c r="I67" s="253">
        <v>5.4246803553493908E-3</v>
      </c>
      <c r="J67" s="253">
        <v>0</v>
      </c>
      <c r="K67" s="510">
        <v>-8.9033037244818425E-2</v>
      </c>
      <c r="L67" s="254">
        <v>-2.8849511882137007E-2</v>
      </c>
      <c r="M67" s="254">
        <v>2.35521942794337E-2</v>
      </c>
      <c r="N67" s="253">
        <v>-4.765319888766012E-2</v>
      </c>
      <c r="O67" s="356">
        <v>0</v>
      </c>
      <c r="P67" s="254">
        <v>0</v>
      </c>
      <c r="Q67" s="253">
        <v>6.5410931762343777E-2</v>
      </c>
      <c r="R67" s="253">
        <v>0</v>
      </c>
      <c r="S67" s="253">
        <v>6.5410931762343777E-2</v>
      </c>
      <c r="T67" s="313">
        <v>0</v>
      </c>
      <c r="U67" s="313">
        <v>0</v>
      </c>
      <c r="V67" s="313">
        <v>0</v>
      </c>
      <c r="W67" s="313">
        <v>0</v>
      </c>
      <c r="X67" s="313">
        <v>0</v>
      </c>
      <c r="Y67" s="313">
        <v>0</v>
      </c>
      <c r="Z67" s="313">
        <v>0</v>
      </c>
      <c r="AA67" s="359">
        <v>0</v>
      </c>
      <c r="AB67" s="445"/>
      <c r="AC67" s="445"/>
      <c r="AD67" s="445"/>
      <c r="AE67" s="334"/>
    </row>
    <row r="68" spans="1:31" s="73" customFormat="1">
      <c r="A68" s="241"/>
      <c r="B68" s="242" t="s">
        <v>82</v>
      </c>
      <c r="C68" s="243">
        <v>0</v>
      </c>
      <c r="D68" s="244"/>
      <c r="E68" s="244">
        <v>0</v>
      </c>
      <c r="F68" s="244">
        <v>0</v>
      </c>
      <c r="G68" s="244"/>
      <c r="H68" s="244"/>
      <c r="I68" s="243">
        <v>0</v>
      </c>
      <c r="J68" s="243"/>
      <c r="K68" s="244">
        <v>0</v>
      </c>
      <c r="L68" s="244">
        <v>0</v>
      </c>
      <c r="M68" s="244">
        <v>0</v>
      </c>
      <c r="N68" s="243">
        <v>0</v>
      </c>
      <c r="O68" s="314"/>
      <c r="P68" s="244"/>
      <c r="Q68" s="243">
        <v>0</v>
      </c>
      <c r="R68" s="243"/>
      <c r="S68" s="243">
        <v>0</v>
      </c>
      <c r="T68" s="312"/>
      <c r="U68" s="312"/>
      <c r="V68" s="312"/>
      <c r="W68" s="312"/>
      <c r="X68" s="312"/>
      <c r="Y68" s="312"/>
      <c r="Z68" s="312"/>
      <c r="AA68" s="360"/>
      <c r="AB68" s="444"/>
      <c r="AC68" s="444"/>
      <c r="AD68" s="444"/>
      <c r="AE68" s="334"/>
    </row>
    <row r="69" spans="1:31" s="73" customFormat="1">
      <c r="A69" s="241"/>
      <c r="B69" s="242" t="s">
        <v>80</v>
      </c>
      <c r="C69" s="243">
        <v>0</v>
      </c>
      <c r="D69" s="244"/>
      <c r="E69" s="244">
        <v>0</v>
      </c>
      <c r="F69" s="244">
        <v>0</v>
      </c>
      <c r="G69" s="244"/>
      <c r="H69" s="244"/>
      <c r="I69" s="243">
        <v>0</v>
      </c>
      <c r="J69" s="243"/>
      <c r="K69" s="244">
        <v>0</v>
      </c>
      <c r="L69" s="244">
        <v>0</v>
      </c>
      <c r="M69" s="244">
        <v>0</v>
      </c>
      <c r="N69" s="243">
        <v>0</v>
      </c>
      <c r="O69" s="314"/>
      <c r="P69" s="244"/>
      <c r="Q69" s="243">
        <v>0</v>
      </c>
      <c r="R69" s="243"/>
      <c r="S69" s="243">
        <v>0</v>
      </c>
      <c r="T69" s="312"/>
      <c r="U69" s="312"/>
      <c r="V69" s="312"/>
      <c r="W69" s="312"/>
      <c r="X69" s="312"/>
      <c r="Y69" s="312"/>
      <c r="Z69" s="312"/>
      <c r="AA69" s="360"/>
      <c r="AB69" s="444"/>
      <c r="AC69" s="444"/>
      <c r="AD69" s="444"/>
      <c r="AE69" s="334"/>
    </row>
    <row r="70" spans="1:31" s="73" customFormat="1">
      <c r="A70" s="241"/>
      <c r="B70" s="245" t="s">
        <v>100</v>
      </c>
      <c r="C70" s="253">
        <v>0</v>
      </c>
      <c r="D70" s="254">
        <v>0</v>
      </c>
      <c r="E70" s="254">
        <v>0</v>
      </c>
      <c r="F70" s="254">
        <v>0</v>
      </c>
      <c r="G70" s="254">
        <v>0</v>
      </c>
      <c r="H70" s="254">
        <v>0</v>
      </c>
      <c r="I70" s="253">
        <v>0</v>
      </c>
      <c r="J70" s="253">
        <v>0</v>
      </c>
      <c r="K70" s="254">
        <v>0</v>
      </c>
      <c r="L70" s="254">
        <v>0</v>
      </c>
      <c r="M70" s="254">
        <v>0</v>
      </c>
      <c r="N70" s="253">
        <v>0</v>
      </c>
      <c r="O70" s="356">
        <v>0</v>
      </c>
      <c r="P70" s="254">
        <v>0</v>
      </c>
      <c r="Q70" s="253">
        <v>0</v>
      </c>
      <c r="R70" s="253">
        <v>0</v>
      </c>
      <c r="S70" s="253">
        <v>0</v>
      </c>
      <c r="T70" s="313">
        <v>0</v>
      </c>
      <c r="U70" s="313">
        <v>0</v>
      </c>
      <c r="V70" s="313">
        <v>0</v>
      </c>
      <c r="W70" s="313">
        <v>0</v>
      </c>
      <c r="X70" s="313">
        <v>0</v>
      </c>
      <c r="Y70" s="313">
        <v>0</v>
      </c>
      <c r="Z70" s="313">
        <v>0</v>
      </c>
      <c r="AA70" s="359">
        <v>0</v>
      </c>
      <c r="AB70" s="445"/>
      <c r="AC70" s="445"/>
      <c r="AD70" s="445"/>
      <c r="AE70" s="334"/>
    </row>
    <row r="71" spans="1:31" s="73" customFormat="1">
      <c r="A71" s="241"/>
      <c r="B71" s="242" t="s">
        <v>88</v>
      </c>
      <c r="C71" s="243">
        <v>6743.958333333333</v>
      </c>
      <c r="D71" s="244"/>
      <c r="E71" s="244">
        <v>5717.25</v>
      </c>
      <c r="F71" s="244">
        <v>1811.0416666666667</v>
      </c>
      <c r="G71" s="244"/>
      <c r="H71" s="244"/>
      <c r="I71" s="243">
        <v>14272.249999999998</v>
      </c>
      <c r="J71" s="243"/>
      <c r="K71" s="244">
        <v>0</v>
      </c>
      <c r="L71" s="244">
        <v>0</v>
      </c>
      <c r="M71" s="244">
        <v>0</v>
      </c>
      <c r="N71" s="243">
        <v>0</v>
      </c>
      <c r="O71" s="314"/>
      <c r="P71" s="244"/>
      <c r="Q71" s="243">
        <v>0</v>
      </c>
      <c r="R71" s="243"/>
      <c r="S71" s="243">
        <v>0</v>
      </c>
      <c r="T71" s="312"/>
      <c r="U71" s="312"/>
      <c r="V71" s="312"/>
      <c r="W71" s="312"/>
      <c r="X71" s="312"/>
      <c r="Y71" s="312"/>
      <c r="Z71" s="312"/>
      <c r="AA71" s="360"/>
      <c r="AB71" s="444"/>
      <c r="AC71" s="444"/>
      <c r="AD71" s="444"/>
      <c r="AE71" s="334"/>
    </row>
    <row r="72" spans="1:31" s="73" customFormat="1">
      <c r="A72" s="241"/>
      <c r="B72" s="242" t="s">
        <v>90</v>
      </c>
      <c r="C72" s="243">
        <v>6651.208333333333</v>
      </c>
      <c r="D72" s="244"/>
      <c r="E72" s="244">
        <v>5522.625</v>
      </c>
      <c r="F72" s="244">
        <v>1735.4583333333335</v>
      </c>
      <c r="G72" s="244"/>
      <c r="H72" s="244"/>
      <c r="I72" s="243">
        <v>13909.291666666666</v>
      </c>
      <c r="J72" s="243"/>
      <c r="K72" s="244">
        <v>0</v>
      </c>
      <c r="L72" s="244">
        <v>0</v>
      </c>
      <c r="M72" s="244">
        <v>0</v>
      </c>
      <c r="N72" s="243">
        <v>0</v>
      </c>
      <c r="O72" s="314"/>
      <c r="P72" s="244"/>
      <c r="Q72" s="243">
        <v>0</v>
      </c>
      <c r="R72" s="243"/>
      <c r="S72" s="243">
        <v>0</v>
      </c>
      <c r="T72" s="312"/>
      <c r="U72" s="312"/>
      <c r="V72" s="312"/>
      <c r="W72" s="312"/>
      <c r="X72" s="312"/>
      <c r="Y72" s="312"/>
      <c r="Z72" s="312"/>
      <c r="AA72" s="360"/>
      <c r="AB72" s="444"/>
      <c r="AC72" s="444"/>
      <c r="AD72" s="444"/>
      <c r="AE72" s="334"/>
    </row>
    <row r="73" spans="1:31" s="73" customFormat="1">
      <c r="A73" s="241"/>
      <c r="B73" s="245" t="s">
        <v>92</v>
      </c>
      <c r="C73" s="253">
        <v>-1.375305056995459E-2</v>
      </c>
      <c r="D73" s="254">
        <v>0</v>
      </c>
      <c r="E73" s="254">
        <v>-3.4041715859897681E-2</v>
      </c>
      <c r="F73" s="254">
        <v>-4.1734729092373128E-2</v>
      </c>
      <c r="G73" s="254">
        <v>0</v>
      </c>
      <c r="H73" s="254">
        <v>0</v>
      </c>
      <c r="I73" s="253">
        <v>-2.5431052099937696E-2</v>
      </c>
      <c r="J73" s="253">
        <v>0</v>
      </c>
      <c r="K73" s="254">
        <v>0</v>
      </c>
      <c r="L73" s="254">
        <v>0</v>
      </c>
      <c r="M73" s="254">
        <v>0</v>
      </c>
      <c r="N73" s="253">
        <v>0</v>
      </c>
      <c r="O73" s="356">
        <v>0</v>
      </c>
      <c r="P73" s="254">
        <v>0</v>
      </c>
      <c r="Q73" s="253">
        <v>0</v>
      </c>
      <c r="R73" s="253">
        <v>0</v>
      </c>
      <c r="S73" s="253">
        <v>0</v>
      </c>
      <c r="T73" s="313">
        <v>0</v>
      </c>
      <c r="U73" s="313">
        <v>0</v>
      </c>
      <c r="V73" s="313">
        <v>0</v>
      </c>
      <c r="W73" s="313">
        <v>0</v>
      </c>
      <c r="X73" s="313">
        <v>0</v>
      </c>
      <c r="Y73" s="313">
        <v>0</v>
      </c>
      <c r="Z73" s="313">
        <v>0</v>
      </c>
      <c r="AA73" s="359">
        <v>0</v>
      </c>
      <c r="AB73" s="445"/>
      <c r="AC73" s="445"/>
      <c r="AD73" s="445"/>
      <c r="AE73" s="334"/>
    </row>
    <row r="74" spans="1:31" s="73" customFormat="1">
      <c r="A74" s="241"/>
      <c r="B74" s="242" t="s">
        <v>8</v>
      </c>
      <c r="C74" s="243">
        <v>39001.558333333334</v>
      </c>
      <c r="D74" s="244"/>
      <c r="E74" s="244">
        <v>47130.55</v>
      </c>
      <c r="F74" s="244">
        <v>14897.941666666666</v>
      </c>
      <c r="G74" s="244"/>
      <c r="H74" s="244"/>
      <c r="I74" s="243">
        <v>101030.05</v>
      </c>
      <c r="J74" s="243"/>
      <c r="K74" s="244">
        <v>17112</v>
      </c>
      <c r="L74" s="244">
        <v>32833.599999999999</v>
      </c>
      <c r="M74" s="244">
        <v>1273.7666666666667</v>
      </c>
      <c r="N74" s="243">
        <v>51219.366666666669</v>
      </c>
      <c r="O74" s="314"/>
      <c r="P74" s="244"/>
      <c r="Q74" s="243">
        <v>5047.0666666666666</v>
      </c>
      <c r="R74" s="243"/>
      <c r="S74" s="243">
        <v>5047.0666666666666</v>
      </c>
      <c r="T74" s="312"/>
      <c r="U74" s="312"/>
      <c r="V74" s="312"/>
      <c r="W74" s="312"/>
      <c r="X74" s="312"/>
      <c r="Y74" s="312"/>
      <c r="Z74" s="312"/>
      <c r="AA74" s="360"/>
      <c r="AB74" s="444"/>
      <c r="AC74" s="444"/>
      <c r="AD74" s="444"/>
      <c r="AE74" s="334"/>
    </row>
    <row r="75" spans="1:31" s="73" customFormat="1">
      <c r="A75" s="241"/>
      <c r="B75" s="242" t="s">
        <v>94</v>
      </c>
      <c r="C75" s="243">
        <v>39760.475000000006</v>
      </c>
      <c r="D75" s="244"/>
      <c r="E75" s="244">
        <v>46738.091666666667</v>
      </c>
      <c r="F75" s="244">
        <v>14639.158333333333</v>
      </c>
      <c r="G75" s="244"/>
      <c r="H75" s="244"/>
      <c r="I75" s="243">
        <v>101137.72500000001</v>
      </c>
      <c r="J75" s="243"/>
      <c r="K75" s="244">
        <v>15588.466666666667</v>
      </c>
      <c r="L75" s="244">
        <v>31886.366666666665</v>
      </c>
      <c r="M75" s="244">
        <v>1303.7666666666667</v>
      </c>
      <c r="N75" s="243">
        <v>48778.6</v>
      </c>
      <c r="O75" s="314"/>
      <c r="P75" s="244"/>
      <c r="Q75" s="243">
        <v>5377.2</v>
      </c>
      <c r="R75" s="243"/>
      <c r="S75" s="243">
        <v>5377.2</v>
      </c>
      <c r="T75" s="312"/>
      <c r="U75" s="312"/>
      <c r="V75" s="312"/>
      <c r="W75" s="312"/>
      <c r="X75" s="312"/>
      <c r="Y75" s="312"/>
      <c r="Z75" s="312"/>
      <c r="AA75" s="360"/>
      <c r="AB75" s="444"/>
      <c r="AC75" s="444"/>
      <c r="AD75" s="444"/>
      <c r="AE75" s="334"/>
    </row>
    <row r="76" spans="1:31" s="73" customFormat="1">
      <c r="A76" s="246"/>
      <c r="B76" s="311" t="s">
        <v>96</v>
      </c>
      <c r="C76" s="253">
        <v>1.9458624195999131E-2</v>
      </c>
      <c r="D76" s="254">
        <v>0</v>
      </c>
      <c r="E76" s="254">
        <v>-8.3270476014673227E-3</v>
      </c>
      <c r="F76" s="254">
        <v>-1.7370408551964363E-2</v>
      </c>
      <c r="G76" s="254">
        <v>0</v>
      </c>
      <c r="H76" s="254">
        <v>0</v>
      </c>
      <c r="I76" s="253">
        <v>1.0657720153558561E-3</v>
      </c>
      <c r="J76" s="253">
        <v>0</v>
      </c>
      <c r="K76" s="254">
        <v>-8.9033037244818425E-2</v>
      </c>
      <c r="L76" s="254">
        <v>-2.8849511882137007E-2</v>
      </c>
      <c r="M76" s="254">
        <v>2.35521942794337E-2</v>
      </c>
      <c r="N76" s="253">
        <v>-4.765319888766012E-2</v>
      </c>
      <c r="O76" s="356">
        <v>0</v>
      </c>
      <c r="P76" s="254">
        <v>0</v>
      </c>
      <c r="Q76" s="253">
        <v>6.5410931762343777E-2</v>
      </c>
      <c r="R76" s="253">
        <v>0</v>
      </c>
      <c r="S76" s="253">
        <v>6.5410931762343777E-2</v>
      </c>
      <c r="T76" s="313">
        <v>0</v>
      </c>
      <c r="U76" s="313">
        <v>0</v>
      </c>
      <c r="V76" s="313">
        <v>0</v>
      </c>
      <c r="W76" s="313">
        <v>0</v>
      </c>
      <c r="X76" s="313">
        <v>0</v>
      </c>
      <c r="Y76" s="313">
        <v>0</v>
      </c>
      <c r="Z76" s="313">
        <v>0</v>
      </c>
      <c r="AA76" s="359">
        <v>0</v>
      </c>
      <c r="AB76" s="445"/>
      <c r="AC76" s="445"/>
      <c r="AD76" s="445"/>
      <c r="AE76" s="334"/>
    </row>
    <row r="77" spans="1:31" s="73" customFormat="1">
      <c r="A77" s="342" t="s">
        <v>267</v>
      </c>
      <c r="B77" s="340" t="s">
        <v>86</v>
      </c>
      <c r="C77" s="337">
        <v>24166.9</v>
      </c>
      <c r="D77" s="341">
        <v>28101.1</v>
      </c>
      <c r="E77" s="341">
        <v>23235.633333333331</v>
      </c>
      <c r="F77" s="341">
        <v>29616.366666666665</v>
      </c>
      <c r="G77" s="341"/>
      <c r="H77" s="341">
        <v>1724.3</v>
      </c>
      <c r="I77" s="337">
        <v>106844.3</v>
      </c>
      <c r="J77" s="337"/>
      <c r="K77" s="341">
        <v>25183.533333333333</v>
      </c>
      <c r="L77" s="341">
        <v>12686.916666666666</v>
      </c>
      <c r="M77" s="341">
        <v>3201.7</v>
      </c>
      <c r="N77" s="337">
        <v>41072.149999999994</v>
      </c>
      <c r="O77" s="337"/>
      <c r="P77" s="341"/>
      <c r="Q77" s="337">
        <v>13718.133333333333</v>
      </c>
      <c r="R77" s="337"/>
      <c r="S77" s="337">
        <v>13718.133333333333</v>
      </c>
      <c r="T77" s="349"/>
      <c r="U77" s="349"/>
      <c r="V77" s="349"/>
      <c r="W77" s="349"/>
      <c r="X77" s="349"/>
      <c r="Y77" s="349"/>
      <c r="Z77" s="349"/>
      <c r="AA77" s="357"/>
      <c r="AB77" s="444"/>
      <c r="AC77" s="444"/>
      <c r="AD77" s="444"/>
      <c r="AE77" s="334"/>
    </row>
    <row r="78" spans="1:31" s="73" customFormat="1">
      <c r="A78" s="241"/>
      <c r="B78" s="242" t="s">
        <v>84</v>
      </c>
      <c r="C78" s="243">
        <v>23878.066666666666</v>
      </c>
      <c r="D78" s="244">
        <v>27187.133333333331</v>
      </c>
      <c r="E78" s="244">
        <v>22508.033333333333</v>
      </c>
      <c r="F78" s="244">
        <v>28124.699999999997</v>
      </c>
      <c r="G78" s="244"/>
      <c r="H78" s="244">
        <v>1640.1666666666667</v>
      </c>
      <c r="I78" s="243">
        <v>103338.1</v>
      </c>
      <c r="J78" s="243"/>
      <c r="K78" s="244">
        <v>25187.666666666664</v>
      </c>
      <c r="L78" s="244">
        <v>11762.866666666667</v>
      </c>
      <c r="M78" s="244">
        <v>3108.2333333333331</v>
      </c>
      <c r="N78" s="243">
        <v>40058.766666666663</v>
      </c>
      <c r="O78" s="243"/>
      <c r="P78" s="244"/>
      <c r="Q78" s="243">
        <v>10321.833333333334</v>
      </c>
      <c r="R78" s="243"/>
      <c r="S78" s="243">
        <v>10321.833333333334</v>
      </c>
      <c r="T78" s="312"/>
      <c r="U78" s="312"/>
      <c r="V78" s="312"/>
      <c r="W78" s="312"/>
      <c r="X78" s="312"/>
      <c r="Y78" s="312"/>
      <c r="Z78" s="312"/>
      <c r="AA78" s="358"/>
      <c r="AB78" s="444"/>
      <c r="AC78" s="444"/>
      <c r="AD78" s="444"/>
      <c r="AE78" s="334"/>
    </row>
    <row r="79" spans="1:31" s="73" customFormat="1">
      <c r="A79" s="241"/>
      <c r="B79" s="245" t="s">
        <v>98</v>
      </c>
      <c r="C79" s="253">
        <v>-1.1951608743088097E-2</v>
      </c>
      <c r="D79" s="254">
        <v>-3.2524230961302837E-2</v>
      </c>
      <c r="E79" s="254">
        <v>-3.1313973222163026E-2</v>
      </c>
      <c r="F79" s="254">
        <v>-5.0366295212894714E-2</v>
      </c>
      <c r="G79" s="254">
        <v>0</v>
      </c>
      <c r="H79" s="254">
        <v>-4.879274681513264E-2</v>
      </c>
      <c r="I79" s="253">
        <v>-3.2815976144726318E-2</v>
      </c>
      <c r="J79" s="253">
        <v>0</v>
      </c>
      <c r="K79" s="254">
        <v>1.6412841195164802E-4</v>
      </c>
      <c r="L79" s="510">
        <v>-7.2834875823518927E-2</v>
      </c>
      <c r="M79" s="254">
        <v>-2.9192824645240562E-2</v>
      </c>
      <c r="N79" s="253">
        <v>-2.4673247768459444E-2</v>
      </c>
      <c r="O79" s="356">
        <v>0</v>
      </c>
      <c r="P79" s="254">
        <v>0</v>
      </c>
      <c r="Q79" s="509">
        <v>-0.24757741578057263</v>
      </c>
      <c r="R79" s="253">
        <v>0</v>
      </c>
      <c r="S79" s="253">
        <v>-0.24757741578057263</v>
      </c>
      <c r="T79" s="313">
        <v>0</v>
      </c>
      <c r="U79" s="313">
        <v>0</v>
      </c>
      <c r="V79" s="313">
        <v>0</v>
      </c>
      <c r="W79" s="313">
        <v>0</v>
      </c>
      <c r="X79" s="313">
        <v>0</v>
      </c>
      <c r="Y79" s="313">
        <v>0</v>
      </c>
      <c r="Z79" s="313">
        <v>0</v>
      </c>
      <c r="AA79" s="359">
        <v>0</v>
      </c>
      <c r="AB79" s="445"/>
      <c r="AC79" s="445"/>
      <c r="AD79" s="445"/>
      <c r="AE79" s="334"/>
    </row>
    <row r="80" spans="1:31" s="73" customFormat="1">
      <c r="A80" s="241"/>
      <c r="B80" s="242" t="s">
        <v>82</v>
      </c>
      <c r="C80" s="243">
        <v>0</v>
      </c>
      <c r="D80" s="244">
        <v>0</v>
      </c>
      <c r="E80" s="244">
        <v>0</v>
      </c>
      <c r="F80" s="244">
        <v>0</v>
      </c>
      <c r="G80" s="244"/>
      <c r="H80" s="244">
        <v>0</v>
      </c>
      <c r="I80" s="243">
        <v>0</v>
      </c>
      <c r="J80" s="243"/>
      <c r="K80" s="244">
        <v>0</v>
      </c>
      <c r="L80" s="822">
        <v>1.2222222222222223E-2</v>
      </c>
      <c r="M80" s="244">
        <v>0</v>
      </c>
      <c r="N80" s="823">
        <v>1.2222222222222223E-2</v>
      </c>
      <c r="O80" s="314"/>
      <c r="P80" s="244"/>
      <c r="Q80" s="243">
        <v>136.60999999999999</v>
      </c>
      <c r="R80" s="243"/>
      <c r="S80" s="243">
        <v>136.60999999999999</v>
      </c>
      <c r="T80" s="312"/>
      <c r="U80" s="312"/>
      <c r="V80" s="312"/>
      <c r="W80" s="312"/>
      <c r="X80" s="312"/>
      <c r="Y80" s="312"/>
      <c r="Z80" s="312"/>
      <c r="AA80" s="360"/>
      <c r="AB80" s="444"/>
      <c r="AC80" s="444"/>
      <c r="AD80" s="444"/>
      <c r="AE80" s="334"/>
    </row>
    <row r="81" spans="1:31" s="73" customFormat="1">
      <c r="A81" s="241"/>
      <c r="B81" s="242" t="s">
        <v>80</v>
      </c>
      <c r="C81" s="243">
        <v>0</v>
      </c>
      <c r="D81" s="244">
        <v>0</v>
      </c>
      <c r="E81" s="244">
        <v>0</v>
      </c>
      <c r="F81" s="244">
        <v>0</v>
      </c>
      <c r="G81" s="244"/>
      <c r="H81" s="244">
        <v>0</v>
      </c>
      <c r="I81" s="243">
        <v>0</v>
      </c>
      <c r="J81" s="243"/>
      <c r="K81" s="244">
        <v>0</v>
      </c>
      <c r="L81" s="244">
        <v>0</v>
      </c>
      <c r="M81" s="244">
        <v>0</v>
      </c>
      <c r="N81" s="243">
        <v>0</v>
      </c>
      <c r="O81" s="314"/>
      <c r="P81" s="244"/>
      <c r="Q81" s="243">
        <v>107.50333333333333</v>
      </c>
      <c r="R81" s="243"/>
      <c r="S81" s="243">
        <v>107.50333333333333</v>
      </c>
      <c r="T81" s="312"/>
      <c r="U81" s="312"/>
      <c r="V81" s="312"/>
      <c r="W81" s="312"/>
      <c r="X81" s="312"/>
      <c r="Y81" s="312"/>
      <c r="Z81" s="312"/>
      <c r="AA81" s="360"/>
      <c r="AB81" s="444"/>
      <c r="AC81" s="444"/>
      <c r="AD81" s="444"/>
      <c r="AE81" s="334"/>
    </row>
    <row r="82" spans="1:31" s="73" customFormat="1">
      <c r="A82" s="241"/>
      <c r="B82" s="245" t="s">
        <v>100</v>
      </c>
      <c r="C82" s="253">
        <v>0</v>
      </c>
      <c r="D82" s="254">
        <v>0</v>
      </c>
      <c r="E82" s="254">
        <v>0</v>
      </c>
      <c r="F82" s="254">
        <v>0</v>
      </c>
      <c r="G82" s="254">
        <v>0</v>
      </c>
      <c r="H82" s="254">
        <v>0</v>
      </c>
      <c r="I82" s="253">
        <v>0</v>
      </c>
      <c r="J82" s="253">
        <v>0</v>
      </c>
      <c r="K82" s="254">
        <v>0</v>
      </c>
      <c r="L82" s="254">
        <v>-1</v>
      </c>
      <c r="M82" s="254">
        <v>0</v>
      </c>
      <c r="N82" s="253">
        <v>-1</v>
      </c>
      <c r="O82" s="356">
        <v>0</v>
      </c>
      <c r="P82" s="254">
        <v>0</v>
      </c>
      <c r="Q82" s="509">
        <v>-0.21306395334650946</v>
      </c>
      <c r="R82" s="253">
        <v>0</v>
      </c>
      <c r="S82" s="253">
        <v>-0.21306395334650946</v>
      </c>
      <c r="T82" s="313">
        <v>0</v>
      </c>
      <c r="U82" s="313">
        <v>0</v>
      </c>
      <c r="V82" s="313">
        <v>0</v>
      </c>
      <c r="W82" s="313">
        <v>0</v>
      </c>
      <c r="X82" s="313">
        <v>0</v>
      </c>
      <c r="Y82" s="313">
        <v>0</v>
      </c>
      <c r="Z82" s="313">
        <v>0</v>
      </c>
      <c r="AA82" s="359">
        <v>0</v>
      </c>
      <c r="AB82" s="445"/>
      <c r="AC82" s="445"/>
      <c r="AD82" s="445"/>
      <c r="AE82" s="334"/>
    </row>
    <row r="83" spans="1:31" s="73" customFormat="1">
      <c r="A83" s="241"/>
      <c r="B83" s="242" t="s">
        <v>88</v>
      </c>
      <c r="C83" s="243">
        <v>5620.166666666667</v>
      </c>
      <c r="D83" s="244">
        <v>4100.083333333333</v>
      </c>
      <c r="E83" s="244">
        <v>4149.541666666667</v>
      </c>
      <c r="F83" s="244">
        <v>2713.708333333333</v>
      </c>
      <c r="G83" s="244"/>
      <c r="H83" s="244">
        <v>0</v>
      </c>
      <c r="I83" s="243">
        <v>16583.5</v>
      </c>
      <c r="J83" s="243"/>
      <c r="K83" s="244">
        <v>0</v>
      </c>
      <c r="L83" s="244">
        <v>0</v>
      </c>
      <c r="M83" s="244">
        <v>0</v>
      </c>
      <c r="N83" s="243">
        <v>0</v>
      </c>
      <c r="O83" s="314"/>
      <c r="P83" s="244"/>
      <c r="Q83" s="243">
        <v>0</v>
      </c>
      <c r="R83" s="243"/>
      <c r="S83" s="243">
        <v>0</v>
      </c>
      <c r="T83" s="312"/>
      <c r="U83" s="312"/>
      <c r="V83" s="312"/>
      <c r="W83" s="312"/>
      <c r="X83" s="312"/>
      <c r="Y83" s="312"/>
      <c r="Z83" s="312"/>
      <c r="AA83" s="360"/>
      <c r="AB83" s="444"/>
      <c r="AC83" s="444"/>
      <c r="AD83" s="444"/>
      <c r="AE83" s="334"/>
    </row>
    <row r="84" spans="1:31" s="73" customFormat="1">
      <c r="A84" s="241"/>
      <c r="B84" s="242" t="s">
        <v>90</v>
      </c>
      <c r="C84" s="243">
        <v>5533.541666666667</v>
      </c>
      <c r="D84" s="244">
        <v>3835.958333333333</v>
      </c>
      <c r="E84" s="244">
        <v>3984.791666666667</v>
      </c>
      <c r="F84" s="244">
        <v>2744.7916666666665</v>
      </c>
      <c r="G84" s="244"/>
      <c r="H84" s="244">
        <v>0</v>
      </c>
      <c r="I84" s="243">
        <v>16099.083333333334</v>
      </c>
      <c r="J84" s="243"/>
      <c r="K84" s="244">
        <v>0</v>
      </c>
      <c r="L84" s="244">
        <v>0</v>
      </c>
      <c r="M84" s="244">
        <v>0</v>
      </c>
      <c r="N84" s="243">
        <v>0</v>
      </c>
      <c r="O84" s="314"/>
      <c r="P84" s="244"/>
      <c r="Q84" s="243">
        <v>0</v>
      </c>
      <c r="R84" s="243"/>
      <c r="S84" s="243">
        <v>0</v>
      </c>
      <c r="T84" s="312"/>
      <c r="U84" s="312"/>
      <c r="V84" s="312"/>
      <c r="W84" s="312"/>
      <c r="X84" s="312"/>
      <c r="Y84" s="312"/>
      <c r="Z84" s="312"/>
      <c r="AA84" s="360"/>
      <c r="AB84" s="444"/>
      <c r="AC84" s="444"/>
      <c r="AD84" s="444"/>
      <c r="AE84" s="334"/>
    </row>
    <row r="85" spans="1:31" s="73" customFormat="1">
      <c r="A85" s="241"/>
      <c r="B85" s="245" t="s">
        <v>92</v>
      </c>
      <c r="C85" s="253">
        <v>-1.5413243972598677E-2</v>
      </c>
      <c r="D85" s="254">
        <v>-6.4419422369464047E-2</v>
      </c>
      <c r="E85" s="254">
        <v>-3.9703180070088058E-2</v>
      </c>
      <c r="F85" s="254">
        <v>1.1454190913418044E-2</v>
      </c>
      <c r="G85" s="254">
        <v>0</v>
      </c>
      <c r="H85" s="254">
        <v>0</v>
      </c>
      <c r="I85" s="253">
        <v>-2.9210761700887392E-2</v>
      </c>
      <c r="J85" s="253">
        <v>0</v>
      </c>
      <c r="K85" s="254">
        <v>0</v>
      </c>
      <c r="L85" s="254">
        <v>0</v>
      </c>
      <c r="M85" s="254">
        <v>0</v>
      </c>
      <c r="N85" s="253">
        <v>0</v>
      </c>
      <c r="O85" s="356">
        <v>0</v>
      </c>
      <c r="P85" s="254">
        <v>0</v>
      </c>
      <c r="Q85" s="253">
        <v>0</v>
      </c>
      <c r="R85" s="253">
        <v>0</v>
      </c>
      <c r="S85" s="253">
        <v>0</v>
      </c>
      <c r="T85" s="313">
        <v>0</v>
      </c>
      <c r="U85" s="313">
        <v>0</v>
      </c>
      <c r="V85" s="313">
        <v>0</v>
      </c>
      <c r="W85" s="313">
        <v>0</v>
      </c>
      <c r="X85" s="313">
        <v>0</v>
      </c>
      <c r="Y85" s="313">
        <v>0</v>
      </c>
      <c r="Z85" s="313">
        <v>0</v>
      </c>
      <c r="AA85" s="359">
        <v>0</v>
      </c>
      <c r="AB85" s="445"/>
      <c r="AC85" s="445"/>
      <c r="AD85" s="445"/>
      <c r="AE85" s="334"/>
    </row>
    <row r="86" spans="1:31" s="73" customFormat="1">
      <c r="A86" s="241"/>
      <c r="B86" s="242" t="s">
        <v>8</v>
      </c>
      <c r="C86" s="243">
        <v>29787.066666666669</v>
      </c>
      <c r="D86" s="244">
        <v>32201.183333333334</v>
      </c>
      <c r="E86" s="244">
        <v>27385.174999999999</v>
      </c>
      <c r="F86" s="244">
        <v>32330.075000000001</v>
      </c>
      <c r="G86" s="244"/>
      <c r="H86" s="244">
        <v>1724.3</v>
      </c>
      <c r="I86" s="243">
        <v>123427.8</v>
      </c>
      <c r="J86" s="243"/>
      <c r="K86" s="244">
        <v>25183.533333333333</v>
      </c>
      <c r="L86" s="244">
        <v>12686.928888888888</v>
      </c>
      <c r="M86" s="244">
        <v>3201.7</v>
      </c>
      <c r="N86" s="243">
        <v>41072.162222222221</v>
      </c>
      <c r="O86" s="314"/>
      <c r="P86" s="244"/>
      <c r="Q86" s="243">
        <v>13854.743333333332</v>
      </c>
      <c r="R86" s="243"/>
      <c r="S86" s="243">
        <v>13854.743333333332</v>
      </c>
      <c r="T86" s="312"/>
      <c r="U86" s="312"/>
      <c r="V86" s="312"/>
      <c r="W86" s="312"/>
      <c r="X86" s="312"/>
      <c r="Y86" s="312"/>
      <c r="Z86" s="312"/>
      <c r="AA86" s="360"/>
      <c r="AB86" s="444"/>
      <c r="AC86" s="444"/>
      <c r="AD86" s="444"/>
      <c r="AE86" s="334"/>
    </row>
    <row r="87" spans="1:31" s="73" customFormat="1">
      <c r="A87" s="241"/>
      <c r="B87" s="242" t="s">
        <v>94</v>
      </c>
      <c r="C87" s="243">
        <v>29411.608333333334</v>
      </c>
      <c r="D87" s="244">
        <v>31023.091666666671</v>
      </c>
      <c r="E87" s="244">
        <v>26492.824999999997</v>
      </c>
      <c r="F87" s="244">
        <v>30869.491666666669</v>
      </c>
      <c r="G87" s="244"/>
      <c r="H87" s="244">
        <v>1640.1666666666667</v>
      </c>
      <c r="I87" s="243">
        <v>119437.18333333333</v>
      </c>
      <c r="J87" s="243"/>
      <c r="K87" s="244">
        <v>25187.666666666664</v>
      </c>
      <c r="L87" s="244">
        <v>11762.866666666667</v>
      </c>
      <c r="M87" s="244">
        <v>3108.2333333333331</v>
      </c>
      <c r="N87" s="243">
        <v>40058.766666666663</v>
      </c>
      <c r="O87" s="314"/>
      <c r="P87" s="244"/>
      <c r="Q87" s="243">
        <v>10429.336666666666</v>
      </c>
      <c r="R87" s="243"/>
      <c r="S87" s="243">
        <v>10429.336666666666</v>
      </c>
      <c r="T87" s="312"/>
      <c r="U87" s="312"/>
      <c r="V87" s="312"/>
      <c r="W87" s="312"/>
      <c r="X87" s="312"/>
      <c r="Y87" s="312"/>
      <c r="Z87" s="312"/>
      <c r="AA87" s="360"/>
      <c r="AB87" s="444"/>
      <c r="AC87" s="444"/>
      <c r="AD87" s="444"/>
      <c r="AE87" s="334"/>
    </row>
    <row r="88" spans="1:31" s="73" customFormat="1">
      <c r="A88" s="246"/>
      <c r="B88" s="311" t="s">
        <v>96</v>
      </c>
      <c r="C88" s="253">
        <v>-1.2604743445701347E-2</v>
      </c>
      <c r="D88" s="254">
        <v>-3.6585353229772515E-2</v>
      </c>
      <c r="E88" s="254">
        <v>-3.2585148716413249E-2</v>
      </c>
      <c r="F88" s="254">
        <v>-4.5177233066528058E-2</v>
      </c>
      <c r="G88" s="254">
        <v>0</v>
      </c>
      <c r="H88" s="254">
        <v>-4.879274681513264E-2</v>
      </c>
      <c r="I88" s="253">
        <v>-3.2331587103283724E-2</v>
      </c>
      <c r="J88" s="253">
        <v>0</v>
      </c>
      <c r="K88" s="254">
        <v>1.6412841195164802E-4</v>
      </c>
      <c r="L88" s="254">
        <v>-7.2835769027720126E-2</v>
      </c>
      <c r="M88" s="254">
        <v>-2.9192824645240562E-2</v>
      </c>
      <c r="N88" s="253">
        <v>-2.4673538005439064E-2</v>
      </c>
      <c r="O88" s="356">
        <v>0</v>
      </c>
      <c r="P88" s="254">
        <v>0</v>
      </c>
      <c r="Q88" s="253">
        <v>-0.24723710748400723</v>
      </c>
      <c r="R88" s="253">
        <v>0</v>
      </c>
      <c r="S88" s="253">
        <v>-0.24723710748400723</v>
      </c>
      <c r="T88" s="313">
        <v>0</v>
      </c>
      <c r="U88" s="313">
        <v>0</v>
      </c>
      <c r="V88" s="313">
        <v>0</v>
      </c>
      <c r="W88" s="313">
        <v>0</v>
      </c>
      <c r="X88" s="313">
        <v>0</v>
      </c>
      <c r="Y88" s="313">
        <v>0</v>
      </c>
      <c r="Z88" s="313">
        <v>0</v>
      </c>
      <c r="AA88" s="359">
        <v>0</v>
      </c>
      <c r="AB88" s="445"/>
      <c r="AC88" s="445"/>
      <c r="AD88" s="445"/>
      <c r="AE88" s="334"/>
    </row>
    <row r="89" spans="1:31" s="73" customFormat="1">
      <c r="A89" s="342" t="s">
        <v>286</v>
      </c>
      <c r="B89" s="340" t="s">
        <v>86</v>
      </c>
      <c r="C89" s="337">
        <v>26352.5</v>
      </c>
      <c r="D89" s="341">
        <v>16456</v>
      </c>
      <c r="E89" s="341">
        <v>17208.033333333333</v>
      </c>
      <c r="F89" s="341">
        <v>22451.833333333332</v>
      </c>
      <c r="G89" s="341">
        <v>2856.4333333333334</v>
      </c>
      <c r="H89" s="341">
        <v>2122.2333333333331</v>
      </c>
      <c r="I89" s="337">
        <v>87447.03333333334</v>
      </c>
      <c r="J89" s="337"/>
      <c r="K89" s="341">
        <v>77461.149999999994</v>
      </c>
      <c r="L89" s="341">
        <v>22938.799999999999</v>
      </c>
      <c r="M89" s="341">
        <v>4085.5666666666666</v>
      </c>
      <c r="N89" s="337">
        <v>104485.51666666666</v>
      </c>
      <c r="O89" s="337"/>
      <c r="P89" s="341"/>
      <c r="Q89" s="337"/>
      <c r="R89" s="337"/>
      <c r="S89" s="337"/>
      <c r="T89" s="349"/>
      <c r="U89" s="349"/>
      <c r="V89" s="349"/>
      <c r="W89" s="349"/>
      <c r="X89" s="349"/>
      <c r="Y89" s="349"/>
      <c r="Z89" s="349"/>
      <c r="AA89" s="357"/>
      <c r="AB89" s="444"/>
      <c r="AC89" s="444"/>
      <c r="AD89" s="444"/>
      <c r="AE89" s="334"/>
    </row>
    <row r="90" spans="1:31" s="73" customFormat="1">
      <c r="A90" s="241"/>
      <c r="B90" s="242" t="s">
        <v>84</v>
      </c>
      <c r="C90" s="243">
        <v>26229.133333333335</v>
      </c>
      <c r="D90" s="244">
        <v>16510.583333333332</v>
      </c>
      <c r="E90" s="244">
        <v>17750.099999999999</v>
      </c>
      <c r="F90" s="244">
        <v>22334.683333333334</v>
      </c>
      <c r="G90" s="244">
        <v>2689.0333333333333</v>
      </c>
      <c r="H90" s="244">
        <v>1865.8666666666666</v>
      </c>
      <c r="I90" s="243">
        <v>87379.400000000009</v>
      </c>
      <c r="J90" s="243"/>
      <c r="K90" s="244">
        <v>67256.116666666669</v>
      </c>
      <c r="L90" s="244">
        <v>22083.983333333334</v>
      </c>
      <c r="M90" s="244">
        <v>3801.0166666666664</v>
      </c>
      <c r="N90" s="243">
        <v>93141.116666666669</v>
      </c>
      <c r="O90" s="243"/>
      <c r="P90" s="244"/>
      <c r="Q90" s="243"/>
      <c r="R90" s="243"/>
      <c r="S90" s="243"/>
      <c r="T90" s="312"/>
      <c r="U90" s="312"/>
      <c r="V90" s="312"/>
      <c r="W90" s="312"/>
      <c r="X90" s="312"/>
      <c r="Y90" s="312"/>
      <c r="Z90" s="312"/>
      <c r="AA90" s="358"/>
      <c r="AB90" s="444"/>
      <c r="AC90" s="444"/>
      <c r="AD90" s="444"/>
      <c r="AE90" s="334"/>
    </row>
    <row r="91" spans="1:31" s="73" customFormat="1">
      <c r="A91" s="241"/>
      <c r="B91" s="245" t="s">
        <v>98</v>
      </c>
      <c r="C91" s="253">
        <v>-4.6814027764601066E-3</v>
      </c>
      <c r="D91" s="254">
        <v>3.316925943931218E-3</v>
      </c>
      <c r="E91" s="254">
        <v>3.1500791297087931E-2</v>
      </c>
      <c r="F91" s="254">
        <v>-5.2178367022736594E-3</v>
      </c>
      <c r="G91" s="254">
        <v>-5.8604553464110282E-2</v>
      </c>
      <c r="H91" s="510">
        <v>-0.12080041465751484</v>
      </c>
      <c r="I91" s="253">
        <v>-7.7342055819675426E-4</v>
      </c>
      <c r="J91" s="253">
        <v>0</v>
      </c>
      <c r="K91" s="510">
        <v>-0.13174389140018353</v>
      </c>
      <c r="L91" s="254">
        <v>-3.7265099598351517E-2</v>
      </c>
      <c r="M91" s="254">
        <v>-6.9647621301002757E-2</v>
      </c>
      <c r="N91" s="253">
        <v>-0.10857389963616949</v>
      </c>
      <c r="O91" s="356">
        <v>0</v>
      </c>
      <c r="P91" s="254">
        <v>0</v>
      </c>
      <c r="Q91" s="253">
        <v>0</v>
      </c>
      <c r="R91" s="253">
        <v>0</v>
      </c>
      <c r="S91" s="253">
        <v>0</v>
      </c>
      <c r="T91" s="313">
        <v>0</v>
      </c>
      <c r="U91" s="313">
        <v>0</v>
      </c>
      <c r="V91" s="313">
        <v>0</v>
      </c>
      <c r="W91" s="313">
        <v>0</v>
      </c>
      <c r="X91" s="313">
        <v>0</v>
      </c>
      <c r="Y91" s="313">
        <v>0</v>
      </c>
      <c r="Z91" s="313">
        <v>0</v>
      </c>
      <c r="AA91" s="359">
        <v>0</v>
      </c>
      <c r="AB91" s="445"/>
      <c r="AC91" s="445"/>
      <c r="AD91" s="445"/>
      <c r="AE91" s="334"/>
    </row>
    <row r="92" spans="1:31" s="73" customFormat="1">
      <c r="A92" s="241"/>
      <c r="B92" s="242" t="s">
        <v>82</v>
      </c>
      <c r="C92" s="243">
        <v>0</v>
      </c>
      <c r="D92" s="244">
        <v>0</v>
      </c>
      <c r="E92" s="244">
        <v>0</v>
      </c>
      <c r="F92" s="244">
        <v>0</v>
      </c>
      <c r="G92" s="244">
        <v>0</v>
      </c>
      <c r="H92" s="244">
        <v>0</v>
      </c>
      <c r="I92" s="243">
        <v>0</v>
      </c>
      <c r="J92" s="243"/>
      <c r="K92" s="244">
        <v>0</v>
      </c>
      <c r="L92" s="244">
        <v>0</v>
      </c>
      <c r="M92" s="244">
        <v>0</v>
      </c>
      <c r="N92" s="243">
        <v>0</v>
      </c>
      <c r="O92" s="314"/>
      <c r="P92" s="244"/>
      <c r="Q92" s="243"/>
      <c r="R92" s="243"/>
      <c r="S92" s="243"/>
      <c r="T92" s="312"/>
      <c r="U92" s="312"/>
      <c r="V92" s="312"/>
      <c r="W92" s="312"/>
      <c r="X92" s="312"/>
      <c r="Y92" s="312"/>
      <c r="Z92" s="312"/>
      <c r="AA92" s="360"/>
      <c r="AB92" s="444"/>
      <c r="AC92" s="444"/>
      <c r="AD92" s="444"/>
      <c r="AE92" s="334"/>
    </row>
    <row r="93" spans="1:31" s="73" customFormat="1">
      <c r="A93" s="241"/>
      <c r="B93" s="242" t="s">
        <v>80</v>
      </c>
      <c r="C93" s="243">
        <v>0</v>
      </c>
      <c r="D93" s="244">
        <v>0</v>
      </c>
      <c r="E93" s="244">
        <v>0</v>
      </c>
      <c r="F93" s="244">
        <v>0</v>
      </c>
      <c r="G93" s="244">
        <v>0</v>
      </c>
      <c r="H93" s="244">
        <v>0</v>
      </c>
      <c r="I93" s="243">
        <v>0</v>
      </c>
      <c r="J93" s="243"/>
      <c r="K93" s="244">
        <v>0</v>
      </c>
      <c r="L93" s="244">
        <v>0</v>
      </c>
      <c r="M93" s="244">
        <v>0</v>
      </c>
      <c r="N93" s="243">
        <v>0</v>
      </c>
      <c r="O93" s="314"/>
      <c r="P93" s="244"/>
      <c r="Q93" s="243"/>
      <c r="R93" s="243"/>
      <c r="S93" s="243"/>
      <c r="T93" s="312"/>
      <c r="U93" s="312"/>
      <c r="V93" s="312"/>
      <c r="W93" s="312"/>
      <c r="X93" s="312"/>
      <c r="Y93" s="312"/>
      <c r="Z93" s="312"/>
      <c r="AA93" s="360"/>
      <c r="AB93" s="444"/>
      <c r="AC93" s="444"/>
      <c r="AD93" s="444"/>
      <c r="AE93" s="334"/>
    </row>
    <row r="94" spans="1:31" s="73" customFormat="1">
      <c r="A94" s="241"/>
      <c r="B94" s="245" t="s">
        <v>100</v>
      </c>
      <c r="C94" s="253">
        <v>0</v>
      </c>
      <c r="D94" s="254">
        <v>0</v>
      </c>
      <c r="E94" s="254">
        <v>0</v>
      </c>
      <c r="F94" s="254">
        <v>0</v>
      </c>
      <c r="G94" s="254">
        <v>0</v>
      </c>
      <c r="H94" s="254">
        <v>0</v>
      </c>
      <c r="I94" s="253">
        <v>0</v>
      </c>
      <c r="J94" s="253">
        <v>0</v>
      </c>
      <c r="K94" s="254">
        <v>0</v>
      </c>
      <c r="L94" s="254">
        <v>0</v>
      </c>
      <c r="M94" s="254">
        <v>0</v>
      </c>
      <c r="N94" s="253">
        <v>0</v>
      </c>
      <c r="O94" s="356">
        <v>0</v>
      </c>
      <c r="P94" s="254">
        <v>0</v>
      </c>
      <c r="Q94" s="253">
        <v>0</v>
      </c>
      <c r="R94" s="253">
        <v>0</v>
      </c>
      <c r="S94" s="253">
        <v>0</v>
      </c>
      <c r="T94" s="313">
        <v>0</v>
      </c>
      <c r="U94" s="313">
        <v>0</v>
      </c>
      <c r="V94" s="313">
        <v>0</v>
      </c>
      <c r="W94" s="313">
        <v>0</v>
      </c>
      <c r="X94" s="313">
        <v>0</v>
      </c>
      <c r="Y94" s="313">
        <v>0</v>
      </c>
      <c r="Z94" s="313">
        <v>0</v>
      </c>
      <c r="AA94" s="359">
        <v>0</v>
      </c>
      <c r="AB94" s="445"/>
      <c r="AC94" s="445"/>
      <c r="AD94" s="445"/>
      <c r="AE94" s="334"/>
    </row>
    <row r="95" spans="1:31" s="73" customFormat="1">
      <c r="A95" s="241"/>
      <c r="B95" s="242" t="s">
        <v>88</v>
      </c>
      <c r="C95" s="243">
        <v>6631.75</v>
      </c>
      <c r="D95" s="244">
        <v>2358.8333333333335</v>
      </c>
      <c r="E95" s="244">
        <v>2368.6666666666665</v>
      </c>
      <c r="F95" s="244">
        <v>4655.916666666667</v>
      </c>
      <c r="G95" s="244">
        <v>261.04166666666669</v>
      </c>
      <c r="H95" s="244">
        <v>47.208333333333336</v>
      </c>
      <c r="I95" s="243">
        <v>16323.416666666668</v>
      </c>
      <c r="J95" s="243"/>
      <c r="K95" s="244">
        <v>0</v>
      </c>
      <c r="L95" s="244">
        <v>0</v>
      </c>
      <c r="M95" s="244">
        <v>0</v>
      </c>
      <c r="N95" s="243">
        <v>0</v>
      </c>
      <c r="O95" s="314"/>
      <c r="P95" s="244"/>
      <c r="Q95" s="243"/>
      <c r="R95" s="243"/>
      <c r="S95" s="243"/>
      <c r="T95" s="312"/>
      <c r="U95" s="312"/>
      <c r="V95" s="312"/>
      <c r="W95" s="312"/>
      <c r="X95" s="312"/>
      <c r="Y95" s="312"/>
      <c r="Z95" s="312"/>
      <c r="AA95" s="360"/>
      <c r="AB95" s="444"/>
      <c r="AC95" s="444"/>
      <c r="AD95" s="444"/>
      <c r="AE95" s="334"/>
    </row>
    <row r="96" spans="1:31" s="73" customFormat="1">
      <c r="A96" s="241"/>
      <c r="B96" s="242" t="s">
        <v>90</v>
      </c>
      <c r="C96" s="243">
        <v>6570.916666666667</v>
      </c>
      <c r="D96" s="244">
        <v>2320.75</v>
      </c>
      <c r="E96" s="244">
        <v>2242.8958333333335</v>
      </c>
      <c r="F96" s="244">
        <v>4651.8125</v>
      </c>
      <c r="G96" s="244">
        <v>261.5</v>
      </c>
      <c r="H96" s="244">
        <v>58.875</v>
      </c>
      <c r="I96" s="243">
        <v>16106.750000000002</v>
      </c>
      <c r="J96" s="243"/>
      <c r="K96" s="244">
        <v>0</v>
      </c>
      <c r="L96" s="244">
        <v>0</v>
      </c>
      <c r="M96" s="244">
        <v>0</v>
      </c>
      <c r="N96" s="243">
        <v>0</v>
      </c>
      <c r="O96" s="314"/>
      <c r="P96" s="244"/>
      <c r="Q96" s="243"/>
      <c r="R96" s="243"/>
      <c r="S96" s="243"/>
      <c r="T96" s="312"/>
      <c r="U96" s="312"/>
      <c r="V96" s="312"/>
      <c r="W96" s="312"/>
      <c r="X96" s="312"/>
      <c r="Y96" s="312"/>
      <c r="Z96" s="312"/>
      <c r="AA96" s="360"/>
      <c r="AB96" s="444"/>
      <c r="AC96" s="444"/>
      <c r="AD96" s="444"/>
      <c r="AE96" s="334"/>
    </row>
    <row r="97" spans="1:31" s="73" customFormat="1">
      <c r="A97" s="241"/>
      <c r="B97" s="245" t="s">
        <v>92</v>
      </c>
      <c r="C97" s="253">
        <v>-9.1730438169914472E-3</v>
      </c>
      <c r="D97" s="254">
        <v>-1.6144986928566446E-2</v>
      </c>
      <c r="E97" s="254">
        <v>-5.3097734309034493E-2</v>
      </c>
      <c r="F97" s="254">
        <v>-8.8149487211618973E-4</v>
      </c>
      <c r="G97" s="254">
        <v>1.75578611332794E-3</v>
      </c>
      <c r="H97" s="510">
        <v>0.24713150926743155</v>
      </c>
      <c r="I97" s="253">
        <v>-1.3273364951169183E-2</v>
      </c>
      <c r="J97" s="253">
        <v>0</v>
      </c>
      <c r="K97" s="254">
        <v>0</v>
      </c>
      <c r="L97" s="254">
        <v>0</v>
      </c>
      <c r="M97" s="254">
        <v>0</v>
      </c>
      <c r="N97" s="253">
        <v>0</v>
      </c>
      <c r="O97" s="356">
        <v>0</v>
      </c>
      <c r="P97" s="254">
        <v>0</v>
      </c>
      <c r="Q97" s="253">
        <v>0</v>
      </c>
      <c r="R97" s="253">
        <v>0</v>
      </c>
      <c r="S97" s="253">
        <v>0</v>
      </c>
      <c r="T97" s="313">
        <v>0</v>
      </c>
      <c r="U97" s="313">
        <v>0</v>
      </c>
      <c r="V97" s="313">
        <v>0</v>
      </c>
      <c r="W97" s="313">
        <v>0</v>
      </c>
      <c r="X97" s="313">
        <v>0</v>
      </c>
      <c r="Y97" s="313">
        <v>0</v>
      </c>
      <c r="Z97" s="313">
        <v>0</v>
      </c>
      <c r="AA97" s="359">
        <v>0</v>
      </c>
      <c r="AB97" s="445"/>
      <c r="AC97" s="445"/>
      <c r="AD97" s="445"/>
      <c r="AE97" s="334"/>
    </row>
    <row r="98" spans="1:31" s="73" customFormat="1">
      <c r="A98" s="241"/>
      <c r="B98" s="242" t="s">
        <v>8</v>
      </c>
      <c r="C98" s="243">
        <v>32984.25</v>
      </c>
      <c r="D98" s="244">
        <v>18814.833333333336</v>
      </c>
      <c r="E98" s="244">
        <v>19576.7</v>
      </c>
      <c r="F98" s="244">
        <v>27107.75</v>
      </c>
      <c r="G98" s="244">
        <v>3117.4749999999999</v>
      </c>
      <c r="H98" s="244">
        <v>2169.4416666666666</v>
      </c>
      <c r="I98" s="243">
        <v>103770.45000000001</v>
      </c>
      <c r="J98" s="243"/>
      <c r="K98" s="244">
        <v>77461.149999999994</v>
      </c>
      <c r="L98" s="244">
        <v>22938.799999999999</v>
      </c>
      <c r="M98" s="244">
        <v>4085.5666666666666</v>
      </c>
      <c r="N98" s="243">
        <v>104485.51666666666</v>
      </c>
      <c r="O98" s="314"/>
      <c r="P98" s="244"/>
      <c r="Q98" s="243"/>
      <c r="R98" s="243"/>
      <c r="S98" s="243"/>
      <c r="T98" s="312"/>
      <c r="U98" s="312"/>
      <c r="V98" s="312"/>
      <c r="W98" s="312"/>
      <c r="X98" s="312"/>
      <c r="Y98" s="312"/>
      <c r="Z98" s="312"/>
      <c r="AA98" s="360"/>
      <c r="AB98" s="444"/>
      <c r="AC98" s="444"/>
      <c r="AD98" s="444"/>
      <c r="AE98" s="334"/>
    </row>
    <row r="99" spans="1:31" s="73" customFormat="1">
      <c r="A99" s="241"/>
      <c r="B99" s="242" t="s">
        <v>94</v>
      </c>
      <c r="C99" s="243">
        <v>32800.050000000003</v>
      </c>
      <c r="D99" s="244">
        <v>18831.333333333332</v>
      </c>
      <c r="E99" s="244">
        <v>19992.995833333331</v>
      </c>
      <c r="F99" s="244">
        <v>26986.495833333334</v>
      </c>
      <c r="G99" s="244">
        <v>2950.5333333333333</v>
      </c>
      <c r="H99" s="244">
        <v>1924.7416666666666</v>
      </c>
      <c r="I99" s="243">
        <v>103486.15000000001</v>
      </c>
      <c r="J99" s="243"/>
      <c r="K99" s="244">
        <v>67256.116666666669</v>
      </c>
      <c r="L99" s="244">
        <v>22083.983333333334</v>
      </c>
      <c r="M99" s="244">
        <v>3801.0166666666664</v>
      </c>
      <c r="N99" s="243">
        <v>93141.116666666669</v>
      </c>
      <c r="O99" s="314"/>
      <c r="P99" s="244"/>
      <c r="Q99" s="243"/>
      <c r="R99" s="243"/>
      <c r="S99" s="243"/>
      <c r="T99" s="312"/>
      <c r="U99" s="312"/>
      <c r="V99" s="312"/>
      <c r="W99" s="312"/>
      <c r="X99" s="312"/>
      <c r="Y99" s="312"/>
      <c r="Z99" s="312"/>
      <c r="AA99" s="360"/>
      <c r="AB99" s="444"/>
      <c r="AC99" s="444"/>
      <c r="AD99" s="444"/>
      <c r="AE99" s="334"/>
    </row>
    <row r="100" spans="1:31" s="73" customFormat="1">
      <c r="A100" s="246"/>
      <c r="B100" s="311" t="s">
        <v>96</v>
      </c>
      <c r="C100" s="253">
        <v>-5.5844835034902143E-3</v>
      </c>
      <c r="D100" s="254">
        <v>8.7696764077968765E-4</v>
      </c>
      <c r="E100" s="254">
        <v>2.1264862481078523E-2</v>
      </c>
      <c r="F100" s="254">
        <v>-4.4730443015988308E-3</v>
      </c>
      <c r="G100" s="254">
        <v>-5.3550282413384748E-2</v>
      </c>
      <c r="H100" s="254">
        <v>-0.11279399845582391</v>
      </c>
      <c r="I100" s="253">
        <v>-2.7397009456927223E-3</v>
      </c>
      <c r="J100" s="253">
        <v>0</v>
      </c>
      <c r="K100" s="254">
        <v>-0.13174389140018353</v>
      </c>
      <c r="L100" s="254">
        <v>-3.7265099598351517E-2</v>
      </c>
      <c r="M100" s="254">
        <v>-6.9647621301002757E-2</v>
      </c>
      <c r="N100" s="253">
        <v>-0.10857389963616949</v>
      </c>
      <c r="O100" s="356">
        <v>0</v>
      </c>
      <c r="P100" s="254">
        <v>0</v>
      </c>
      <c r="Q100" s="253">
        <v>0</v>
      </c>
      <c r="R100" s="253">
        <v>0</v>
      </c>
      <c r="S100" s="253">
        <v>0</v>
      </c>
      <c r="T100" s="313">
        <v>0</v>
      </c>
      <c r="U100" s="313">
        <v>0</v>
      </c>
      <c r="V100" s="313">
        <v>0</v>
      </c>
      <c r="W100" s="313">
        <v>0</v>
      </c>
      <c r="X100" s="313">
        <v>0</v>
      </c>
      <c r="Y100" s="313">
        <v>0</v>
      </c>
      <c r="Z100" s="313">
        <v>0</v>
      </c>
      <c r="AA100" s="359">
        <v>0</v>
      </c>
      <c r="AB100" s="445"/>
      <c r="AC100" s="445"/>
      <c r="AD100" s="445"/>
      <c r="AE100" s="334"/>
    </row>
    <row r="101" spans="1:31" s="73" customFormat="1">
      <c r="A101" s="342" t="s">
        <v>270</v>
      </c>
      <c r="B101" s="340" t="s">
        <v>86</v>
      </c>
      <c r="C101" s="337">
        <v>26669</v>
      </c>
      <c r="D101" s="341">
        <v>20950.45</v>
      </c>
      <c r="E101" s="341"/>
      <c r="F101" s="341">
        <v>7223.4666666666672</v>
      </c>
      <c r="G101" s="341">
        <v>2277.3000000000002</v>
      </c>
      <c r="H101" s="341"/>
      <c r="I101" s="337">
        <v>57120.216666666667</v>
      </c>
      <c r="J101" s="337"/>
      <c r="K101" s="341">
        <v>30718.933333333334</v>
      </c>
      <c r="L101" s="341">
        <v>31317.4</v>
      </c>
      <c r="M101" s="341">
        <v>3813.9333333333334</v>
      </c>
      <c r="N101" s="337">
        <v>65850.266666666663</v>
      </c>
      <c r="O101" s="337"/>
      <c r="P101" s="341"/>
      <c r="Q101" s="337"/>
      <c r="R101" s="337"/>
      <c r="S101" s="337"/>
      <c r="T101" s="349"/>
      <c r="U101" s="349"/>
      <c r="V101" s="349"/>
      <c r="W101" s="349"/>
      <c r="X101" s="349"/>
      <c r="Y101" s="349"/>
      <c r="Z101" s="349"/>
      <c r="AA101" s="357"/>
      <c r="AB101" s="444"/>
      <c r="AC101" s="444"/>
      <c r="AD101" s="444"/>
      <c r="AE101" s="334"/>
    </row>
    <row r="102" spans="1:31" s="73" customFormat="1">
      <c r="A102" s="241"/>
      <c r="B102" s="242" t="s">
        <v>84</v>
      </c>
      <c r="C102" s="243">
        <v>27037.533333333333</v>
      </c>
      <c r="D102" s="244">
        <v>21215.766666666666</v>
      </c>
      <c r="E102" s="244"/>
      <c r="F102" s="244">
        <v>6972.1666666666661</v>
      </c>
      <c r="G102" s="244">
        <v>2269.3000000000002</v>
      </c>
      <c r="H102" s="244"/>
      <c r="I102" s="243">
        <v>57494.76666666667</v>
      </c>
      <c r="J102" s="243"/>
      <c r="K102" s="244">
        <v>29283.366666666669</v>
      </c>
      <c r="L102" s="244">
        <v>30095.266666666666</v>
      </c>
      <c r="M102" s="244">
        <v>3255.9666666666667</v>
      </c>
      <c r="N102" s="243">
        <v>62634.6</v>
      </c>
      <c r="O102" s="243"/>
      <c r="P102" s="244"/>
      <c r="Q102" s="243"/>
      <c r="R102" s="243"/>
      <c r="S102" s="243"/>
      <c r="T102" s="312"/>
      <c r="U102" s="312"/>
      <c r="V102" s="312"/>
      <c r="W102" s="312"/>
      <c r="X102" s="312"/>
      <c r="Y102" s="312"/>
      <c r="Z102" s="312"/>
      <c r="AA102" s="358"/>
      <c r="AB102" s="444"/>
      <c r="AC102" s="444"/>
      <c r="AD102" s="444"/>
      <c r="AE102" s="334"/>
    </row>
    <row r="103" spans="1:31" s="73" customFormat="1">
      <c r="A103" s="241"/>
      <c r="B103" s="245" t="s">
        <v>98</v>
      </c>
      <c r="C103" s="253">
        <v>1.38187908558001E-2</v>
      </c>
      <c r="D103" s="254">
        <v>1.2664008012556564E-2</v>
      </c>
      <c r="E103" s="254">
        <v>0</v>
      </c>
      <c r="F103" s="254">
        <v>-3.4789390135853665E-2</v>
      </c>
      <c r="G103" s="254">
        <v>-3.5129319808545204E-3</v>
      </c>
      <c r="H103" s="254">
        <v>0</v>
      </c>
      <c r="I103" s="253">
        <v>6.5572230264066382E-3</v>
      </c>
      <c r="J103" s="253">
        <v>0</v>
      </c>
      <c r="K103" s="254">
        <v>-4.6732308413486544E-2</v>
      </c>
      <c r="L103" s="254">
        <v>-3.9024099488889082E-2</v>
      </c>
      <c r="M103" s="510">
        <v>-0.14629691132514117</v>
      </c>
      <c r="N103" s="253">
        <v>-4.8833009028563759E-2</v>
      </c>
      <c r="O103" s="356">
        <v>0</v>
      </c>
      <c r="P103" s="254">
        <v>0</v>
      </c>
      <c r="Q103" s="253">
        <v>0</v>
      </c>
      <c r="R103" s="253">
        <v>0</v>
      </c>
      <c r="S103" s="253">
        <v>0</v>
      </c>
      <c r="T103" s="313">
        <v>0</v>
      </c>
      <c r="U103" s="313">
        <v>0</v>
      </c>
      <c r="V103" s="313">
        <v>0</v>
      </c>
      <c r="W103" s="313">
        <v>0</v>
      </c>
      <c r="X103" s="313">
        <v>0</v>
      </c>
      <c r="Y103" s="313">
        <v>0</v>
      </c>
      <c r="Z103" s="313">
        <v>0</v>
      </c>
      <c r="AA103" s="359">
        <v>0</v>
      </c>
      <c r="AB103" s="445"/>
      <c r="AC103" s="445"/>
      <c r="AD103" s="445"/>
      <c r="AE103" s="334"/>
    </row>
    <row r="104" spans="1:31" s="73" customFormat="1">
      <c r="A104" s="241"/>
      <c r="B104" s="242" t="s">
        <v>82</v>
      </c>
      <c r="C104" s="243">
        <v>0</v>
      </c>
      <c r="D104" s="244">
        <v>0</v>
      </c>
      <c r="E104" s="244"/>
      <c r="F104" s="244">
        <v>0</v>
      </c>
      <c r="G104" s="244">
        <v>0</v>
      </c>
      <c r="H104" s="244"/>
      <c r="I104" s="243">
        <v>0</v>
      </c>
      <c r="J104" s="243"/>
      <c r="K104" s="244">
        <v>0</v>
      </c>
      <c r="L104" s="244">
        <v>0</v>
      </c>
      <c r="M104" s="244">
        <v>0</v>
      </c>
      <c r="N104" s="243">
        <v>0</v>
      </c>
      <c r="O104" s="314"/>
      <c r="P104" s="244"/>
      <c r="Q104" s="243"/>
      <c r="R104" s="243"/>
      <c r="S104" s="243"/>
      <c r="T104" s="312"/>
      <c r="U104" s="312"/>
      <c r="V104" s="312"/>
      <c r="W104" s="312"/>
      <c r="X104" s="312"/>
      <c r="Y104" s="312"/>
      <c r="Z104" s="312"/>
      <c r="AA104" s="360"/>
      <c r="AB104" s="444"/>
      <c r="AC104" s="444"/>
      <c r="AD104" s="444"/>
      <c r="AE104" s="334"/>
    </row>
    <row r="105" spans="1:31" s="73" customFormat="1">
      <c r="A105" s="241"/>
      <c r="B105" s="242" t="s">
        <v>80</v>
      </c>
      <c r="C105" s="243">
        <v>0</v>
      </c>
      <c r="D105" s="244">
        <v>0</v>
      </c>
      <c r="E105" s="244"/>
      <c r="F105" s="244">
        <v>0</v>
      </c>
      <c r="G105" s="244">
        <v>0</v>
      </c>
      <c r="H105" s="244"/>
      <c r="I105" s="243">
        <v>0</v>
      </c>
      <c r="J105" s="243"/>
      <c r="K105" s="244">
        <v>0</v>
      </c>
      <c r="L105" s="244">
        <v>0</v>
      </c>
      <c r="M105" s="244">
        <v>0</v>
      </c>
      <c r="N105" s="243">
        <v>0</v>
      </c>
      <c r="O105" s="314"/>
      <c r="P105" s="244"/>
      <c r="Q105" s="243"/>
      <c r="R105" s="243"/>
      <c r="S105" s="243"/>
      <c r="T105" s="312"/>
      <c r="U105" s="312"/>
      <c r="V105" s="312"/>
      <c r="W105" s="312"/>
      <c r="X105" s="312"/>
      <c r="Y105" s="312"/>
      <c r="Z105" s="312"/>
      <c r="AA105" s="360"/>
      <c r="AB105" s="444"/>
      <c r="AC105" s="444"/>
      <c r="AD105" s="444"/>
      <c r="AE105" s="334"/>
    </row>
    <row r="106" spans="1:31" s="73" customFormat="1">
      <c r="A106" s="241"/>
      <c r="B106" s="245" t="s">
        <v>100</v>
      </c>
      <c r="C106" s="253">
        <v>0</v>
      </c>
      <c r="D106" s="254">
        <v>0</v>
      </c>
      <c r="E106" s="254">
        <v>0</v>
      </c>
      <c r="F106" s="254">
        <v>0</v>
      </c>
      <c r="G106" s="254">
        <v>0</v>
      </c>
      <c r="H106" s="254">
        <v>0</v>
      </c>
      <c r="I106" s="253">
        <v>0</v>
      </c>
      <c r="J106" s="253">
        <v>0</v>
      </c>
      <c r="K106" s="254">
        <v>0</v>
      </c>
      <c r="L106" s="254">
        <v>0</v>
      </c>
      <c r="M106" s="254">
        <v>0</v>
      </c>
      <c r="N106" s="253">
        <v>0</v>
      </c>
      <c r="O106" s="356">
        <v>0</v>
      </c>
      <c r="P106" s="254">
        <v>0</v>
      </c>
      <c r="Q106" s="253">
        <v>0</v>
      </c>
      <c r="R106" s="253">
        <v>0</v>
      </c>
      <c r="S106" s="253">
        <v>0</v>
      </c>
      <c r="T106" s="313">
        <v>0</v>
      </c>
      <c r="U106" s="313">
        <v>0</v>
      </c>
      <c r="V106" s="313">
        <v>0</v>
      </c>
      <c r="W106" s="313">
        <v>0</v>
      </c>
      <c r="X106" s="313">
        <v>0</v>
      </c>
      <c r="Y106" s="313">
        <v>0</v>
      </c>
      <c r="Z106" s="313">
        <v>0</v>
      </c>
      <c r="AA106" s="359">
        <v>0</v>
      </c>
      <c r="AB106" s="445"/>
      <c r="AC106" s="445"/>
      <c r="AD106" s="445"/>
      <c r="AE106" s="334"/>
    </row>
    <row r="107" spans="1:31" s="73" customFormat="1">
      <c r="A107" s="241"/>
      <c r="B107" s="242" t="s">
        <v>88</v>
      </c>
      <c r="C107" s="243">
        <v>4886.8333333333339</v>
      </c>
      <c r="D107" s="244">
        <v>3819.083333333333</v>
      </c>
      <c r="E107" s="244"/>
      <c r="F107" s="244">
        <v>1893.5416666666665</v>
      </c>
      <c r="G107" s="244">
        <v>162.25</v>
      </c>
      <c r="H107" s="244"/>
      <c r="I107" s="243">
        <v>10761.708333333334</v>
      </c>
      <c r="J107" s="243"/>
      <c r="K107" s="244">
        <v>0</v>
      </c>
      <c r="L107" s="244">
        <v>0</v>
      </c>
      <c r="M107" s="244">
        <v>0</v>
      </c>
      <c r="N107" s="243">
        <v>0</v>
      </c>
      <c r="O107" s="314"/>
      <c r="P107" s="244"/>
      <c r="Q107" s="243"/>
      <c r="R107" s="243"/>
      <c r="S107" s="243"/>
      <c r="T107" s="312"/>
      <c r="U107" s="312"/>
      <c r="V107" s="312"/>
      <c r="W107" s="312"/>
      <c r="X107" s="312"/>
      <c r="Y107" s="312"/>
      <c r="Z107" s="312"/>
      <c r="AA107" s="360"/>
      <c r="AB107" s="444"/>
      <c r="AC107" s="444"/>
      <c r="AD107" s="444"/>
      <c r="AE107" s="334"/>
    </row>
    <row r="108" spans="1:31" s="73" customFormat="1">
      <c r="A108" s="241"/>
      <c r="B108" s="242" t="s">
        <v>90</v>
      </c>
      <c r="C108" s="243">
        <v>4752.25</v>
      </c>
      <c r="D108" s="244">
        <v>4118</v>
      </c>
      <c r="E108" s="244"/>
      <c r="F108" s="244">
        <v>1929.7083333333335</v>
      </c>
      <c r="G108" s="244">
        <v>174.625</v>
      </c>
      <c r="H108" s="244"/>
      <c r="I108" s="243">
        <v>10974.583333333334</v>
      </c>
      <c r="J108" s="243"/>
      <c r="K108" s="244">
        <v>0</v>
      </c>
      <c r="L108" s="244">
        <v>0</v>
      </c>
      <c r="M108" s="244">
        <v>0</v>
      </c>
      <c r="N108" s="243">
        <v>0</v>
      </c>
      <c r="O108" s="314"/>
      <c r="P108" s="244"/>
      <c r="Q108" s="243"/>
      <c r="R108" s="243"/>
      <c r="S108" s="243"/>
      <c r="T108" s="312"/>
      <c r="U108" s="312"/>
      <c r="V108" s="312"/>
      <c r="W108" s="312"/>
      <c r="X108" s="312"/>
      <c r="Y108" s="312"/>
      <c r="Z108" s="312"/>
      <c r="AA108" s="360"/>
      <c r="AB108" s="444"/>
      <c r="AC108" s="444"/>
      <c r="AD108" s="444"/>
      <c r="AE108" s="334"/>
    </row>
    <row r="109" spans="1:31" s="73" customFormat="1">
      <c r="A109" s="241"/>
      <c r="B109" s="245" t="s">
        <v>92</v>
      </c>
      <c r="C109" s="253">
        <v>-2.753998840421553E-2</v>
      </c>
      <c r="D109" s="254">
        <v>7.826921818062807E-2</v>
      </c>
      <c r="E109" s="254">
        <v>0</v>
      </c>
      <c r="F109" s="254">
        <v>1.9100011002310648E-2</v>
      </c>
      <c r="G109" s="254">
        <v>7.6271186440677971E-2</v>
      </c>
      <c r="H109" s="254">
        <v>0</v>
      </c>
      <c r="I109" s="253">
        <v>1.9780781397005245E-2</v>
      </c>
      <c r="J109" s="253">
        <v>0</v>
      </c>
      <c r="K109" s="254">
        <v>0</v>
      </c>
      <c r="L109" s="254">
        <v>0</v>
      </c>
      <c r="M109" s="254">
        <v>0</v>
      </c>
      <c r="N109" s="253">
        <v>0</v>
      </c>
      <c r="O109" s="356">
        <v>0</v>
      </c>
      <c r="P109" s="254">
        <v>0</v>
      </c>
      <c r="Q109" s="253">
        <v>0</v>
      </c>
      <c r="R109" s="253">
        <v>0</v>
      </c>
      <c r="S109" s="253">
        <v>0</v>
      </c>
      <c r="T109" s="313">
        <v>0</v>
      </c>
      <c r="U109" s="313">
        <v>0</v>
      </c>
      <c r="V109" s="313">
        <v>0</v>
      </c>
      <c r="W109" s="313">
        <v>0</v>
      </c>
      <c r="X109" s="313">
        <v>0</v>
      </c>
      <c r="Y109" s="313">
        <v>0</v>
      </c>
      <c r="Z109" s="313">
        <v>0</v>
      </c>
      <c r="AA109" s="359">
        <v>0</v>
      </c>
      <c r="AB109" s="445"/>
      <c r="AC109" s="445"/>
      <c r="AD109" s="445"/>
      <c r="AE109" s="334"/>
    </row>
    <row r="110" spans="1:31" s="73" customFormat="1">
      <c r="A110" s="241"/>
      <c r="B110" s="242" t="s">
        <v>8</v>
      </c>
      <c r="C110" s="243">
        <v>31555.833333333336</v>
      </c>
      <c r="D110" s="244">
        <v>24769.533333333336</v>
      </c>
      <c r="E110" s="244"/>
      <c r="F110" s="244">
        <v>9117.0083333333332</v>
      </c>
      <c r="G110" s="244">
        <v>2439.5500000000002</v>
      </c>
      <c r="H110" s="244"/>
      <c r="I110" s="243">
        <v>67881.925000000003</v>
      </c>
      <c r="J110" s="243"/>
      <c r="K110" s="244">
        <v>30718.933333333334</v>
      </c>
      <c r="L110" s="244">
        <v>31317.4</v>
      </c>
      <c r="M110" s="244">
        <v>3813.9333333333334</v>
      </c>
      <c r="N110" s="243">
        <v>65850.266666666663</v>
      </c>
      <c r="O110" s="314"/>
      <c r="P110" s="244"/>
      <c r="Q110" s="243"/>
      <c r="R110" s="243"/>
      <c r="S110" s="243"/>
      <c r="T110" s="312"/>
      <c r="U110" s="312"/>
      <c r="V110" s="312"/>
      <c r="W110" s="312"/>
      <c r="X110" s="312"/>
      <c r="Y110" s="312"/>
      <c r="Z110" s="312"/>
      <c r="AA110" s="360"/>
      <c r="AB110" s="444"/>
      <c r="AC110" s="444"/>
      <c r="AD110" s="444"/>
      <c r="AE110" s="334"/>
    </row>
    <row r="111" spans="1:31" s="73" customFormat="1">
      <c r="A111" s="241"/>
      <c r="B111" s="242" t="s">
        <v>94</v>
      </c>
      <c r="C111" s="243">
        <v>31789.783333333333</v>
      </c>
      <c r="D111" s="244">
        <v>25333.766666666666</v>
      </c>
      <c r="E111" s="244"/>
      <c r="F111" s="244">
        <v>8901.875</v>
      </c>
      <c r="G111" s="244">
        <v>2443.9250000000002</v>
      </c>
      <c r="H111" s="244"/>
      <c r="I111" s="243">
        <v>68469.350000000006</v>
      </c>
      <c r="J111" s="243"/>
      <c r="K111" s="244">
        <v>29283.366666666669</v>
      </c>
      <c r="L111" s="244">
        <v>30095.266666666666</v>
      </c>
      <c r="M111" s="244">
        <v>3255.9666666666667</v>
      </c>
      <c r="N111" s="243">
        <v>62634.6</v>
      </c>
      <c r="O111" s="314"/>
      <c r="P111" s="244"/>
      <c r="Q111" s="243"/>
      <c r="R111" s="243"/>
      <c r="S111" s="243"/>
      <c r="T111" s="312"/>
      <c r="U111" s="312"/>
      <c r="V111" s="312"/>
      <c r="W111" s="312"/>
      <c r="X111" s="312"/>
      <c r="Y111" s="312"/>
      <c r="Z111" s="312"/>
      <c r="AA111" s="360"/>
      <c r="AB111" s="444"/>
      <c r="AC111" s="444"/>
      <c r="AD111" s="444"/>
      <c r="AE111" s="334"/>
    </row>
    <row r="112" spans="1:31" s="73" customFormat="1">
      <c r="A112" s="246"/>
      <c r="B112" s="311" t="s">
        <v>96</v>
      </c>
      <c r="C112" s="253">
        <v>7.4138431880000129E-3</v>
      </c>
      <c r="D112" s="254">
        <v>2.2779328368452503E-2</v>
      </c>
      <c r="E112" s="254">
        <v>0</v>
      </c>
      <c r="F112" s="254">
        <v>-2.3596921870386929E-2</v>
      </c>
      <c r="G112" s="254">
        <v>1.7933635301592506E-3</v>
      </c>
      <c r="H112" s="254">
        <v>0</v>
      </c>
      <c r="I112" s="253">
        <v>8.6536290772541921E-3</v>
      </c>
      <c r="J112" s="253">
        <v>0</v>
      </c>
      <c r="K112" s="254">
        <v>-4.6732308413486544E-2</v>
      </c>
      <c r="L112" s="254">
        <v>-3.9024099488889082E-2</v>
      </c>
      <c r="M112" s="254">
        <v>-0.14629691132514117</v>
      </c>
      <c r="N112" s="253">
        <v>-4.8833009028563759E-2</v>
      </c>
      <c r="O112" s="356">
        <v>0</v>
      </c>
      <c r="P112" s="254">
        <v>0</v>
      </c>
      <c r="Q112" s="253">
        <v>0</v>
      </c>
      <c r="R112" s="253">
        <v>0</v>
      </c>
      <c r="S112" s="253">
        <v>0</v>
      </c>
      <c r="T112" s="313">
        <v>0</v>
      </c>
      <c r="U112" s="313">
        <v>0</v>
      </c>
      <c r="V112" s="313">
        <v>0</v>
      </c>
      <c r="W112" s="313">
        <v>0</v>
      </c>
      <c r="X112" s="313">
        <v>0</v>
      </c>
      <c r="Y112" s="313">
        <v>0</v>
      </c>
      <c r="Z112" s="313">
        <v>0</v>
      </c>
      <c r="AA112" s="359">
        <v>0</v>
      </c>
      <c r="AB112" s="445"/>
      <c r="AC112" s="445"/>
      <c r="AD112" s="445"/>
      <c r="AE112" s="334"/>
    </row>
    <row r="113" spans="1:31" s="73" customFormat="1">
      <c r="A113" s="342" t="s">
        <v>268</v>
      </c>
      <c r="B113" s="340" t="s">
        <v>86</v>
      </c>
      <c r="C113" s="337">
        <v>54505.899999999994</v>
      </c>
      <c r="D113" s="341">
        <v>38421.9</v>
      </c>
      <c r="E113" s="341">
        <v>50076.833333333336</v>
      </c>
      <c r="F113" s="341">
        <v>4960.7333333333336</v>
      </c>
      <c r="G113" s="341">
        <v>10259.633333333333</v>
      </c>
      <c r="H113" s="341">
        <v>6084.1333333333332</v>
      </c>
      <c r="I113" s="337">
        <v>164309.13333333333</v>
      </c>
      <c r="J113" s="337"/>
      <c r="K113" s="341">
        <v>77490.566666666666</v>
      </c>
      <c r="L113" s="341">
        <v>64981.600000000006</v>
      </c>
      <c r="M113" s="341">
        <v>26829.033333333333</v>
      </c>
      <c r="N113" s="337">
        <v>169301.2</v>
      </c>
      <c r="O113" s="337"/>
      <c r="P113" s="341"/>
      <c r="Q113" s="337"/>
      <c r="R113" s="337"/>
      <c r="S113" s="337"/>
      <c r="T113" s="349"/>
      <c r="U113" s="349"/>
      <c r="V113" s="349"/>
      <c r="W113" s="349"/>
      <c r="X113" s="349"/>
      <c r="Y113" s="349"/>
      <c r="Z113" s="349"/>
      <c r="AA113" s="357"/>
      <c r="AB113" s="444"/>
      <c r="AC113" s="444"/>
      <c r="AD113" s="444"/>
      <c r="AE113" s="334"/>
    </row>
    <row r="114" spans="1:31" s="73" customFormat="1">
      <c r="A114" s="241"/>
      <c r="B114" s="242" t="s">
        <v>84</v>
      </c>
      <c r="C114" s="243">
        <v>54253.533333333333</v>
      </c>
      <c r="D114" s="244">
        <v>39325.599999999999</v>
      </c>
      <c r="E114" s="244">
        <v>50798.9</v>
      </c>
      <c r="F114" s="244">
        <v>4966.7</v>
      </c>
      <c r="G114" s="244">
        <v>9916.4</v>
      </c>
      <c r="H114" s="244">
        <v>5801.2000000000007</v>
      </c>
      <c r="I114" s="243">
        <v>165062.33333333334</v>
      </c>
      <c r="J114" s="243"/>
      <c r="K114" s="244">
        <v>78035.566666666651</v>
      </c>
      <c r="L114" s="244">
        <v>62451.599999999991</v>
      </c>
      <c r="M114" s="244">
        <v>25478.399999999998</v>
      </c>
      <c r="N114" s="243">
        <v>165965.56666666662</v>
      </c>
      <c r="O114" s="243"/>
      <c r="P114" s="244"/>
      <c r="Q114" s="243"/>
      <c r="R114" s="243"/>
      <c r="S114" s="243"/>
      <c r="T114" s="312"/>
      <c r="U114" s="312"/>
      <c r="V114" s="312"/>
      <c r="W114" s="312"/>
      <c r="X114" s="312"/>
      <c r="Y114" s="312"/>
      <c r="Z114" s="312"/>
      <c r="AA114" s="358"/>
      <c r="AB114" s="444"/>
      <c r="AC114" s="444"/>
      <c r="AD114" s="444"/>
      <c r="AE114" s="334"/>
    </row>
    <row r="115" spans="1:31" s="73" customFormat="1">
      <c r="A115" s="241"/>
      <c r="B115" s="245" t="s">
        <v>98</v>
      </c>
      <c r="C115" s="253">
        <v>-4.6300798017583668E-3</v>
      </c>
      <c r="D115" s="254">
        <v>2.3520440165634628E-2</v>
      </c>
      <c r="E115" s="254">
        <v>1.4419175866418584E-2</v>
      </c>
      <c r="F115" s="254">
        <v>1.2027791589952243E-3</v>
      </c>
      <c r="G115" s="254">
        <v>-3.3454736848945246E-2</v>
      </c>
      <c r="H115" s="254">
        <v>-4.650347351581148E-2</v>
      </c>
      <c r="I115" s="253">
        <v>4.5840421936375105E-3</v>
      </c>
      <c r="J115" s="253">
        <v>0</v>
      </c>
      <c r="K115" s="254">
        <v>7.0331141381938375E-3</v>
      </c>
      <c r="L115" s="254">
        <v>-3.8934098267817574E-2</v>
      </c>
      <c r="M115" s="254">
        <v>-5.0342228754670065E-2</v>
      </c>
      <c r="N115" s="253">
        <v>-1.9702360841703029E-2</v>
      </c>
      <c r="O115" s="356">
        <v>0</v>
      </c>
      <c r="P115" s="254">
        <v>0</v>
      </c>
      <c r="Q115" s="253">
        <v>0</v>
      </c>
      <c r="R115" s="253">
        <v>0</v>
      </c>
      <c r="S115" s="253">
        <v>0</v>
      </c>
      <c r="T115" s="313">
        <v>0</v>
      </c>
      <c r="U115" s="313">
        <v>0</v>
      </c>
      <c r="V115" s="313">
        <v>0</v>
      </c>
      <c r="W115" s="313">
        <v>0</v>
      </c>
      <c r="X115" s="313">
        <v>0</v>
      </c>
      <c r="Y115" s="313">
        <v>0</v>
      </c>
      <c r="Z115" s="313">
        <v>0</v>
      </c>
      <c r="AA115" s="359">
        <v>0</v>
      </c>
      <c r="AB115" s="445"/>
      <c r="AC115" s="445"/>
      <c r="AD115" s="445"/>
      <c r="AE115" s="334"/>
    </row>
    <row r="116" spans="1:31" s="73" customFormat="1">
      <c r="A116" s="241"/>
      <c r="B116" s="242" t="s">
        <v>82</v>
      </c>
      <c r="C116" s="243">
        <v>0</v>
      </c>
      <c r="D116" s="244">
        <v>0</v>
      </c>
      <c r="E116" s="244">
        <v>0</v>
      </c>
      <c r="F116" s="244">
        <v>0</v>
      </c>
      <c r="G116" s="244">
        <v>0</v>
      </c>
      <c r="H116" s="244">
        <v>0</v>
      </c>
      <c r="I116" s="243">
        <v>0</v>
      </c>
      <c r="J116" s="243"/>
      <c r="K116" s="244">
        <v>13630.188888888888</v>
      </c>
      <c r="L116" s="244">
        <v>17005.330000000002</v>
      </c>
      <c r="M116" s="244">
        <v>9779.4077777777784</v>
      </c>
      <c r="N116" s="243">
        <v>40414.926666666666</v>
      </c>
      <c r="O116" s="314"/>
      <c r="P116" s="244"/>
      <c r="Q116" s="243"/>
      <c r="R116" s="243"/>
      <c r="S116" s="243"/>
      <c r="T116" s="312"/>
      <c r="U116" s="312"/>
      <c r="V116" s="312"/>
      <c r="W116" s="312"/>
      <c r="X116" s="312"/>
      <c r="Y116" s="312"/>
      <c r="Z116" s="312"/>
      <c r="AA116" s="360"/>
      <c r="AB116" s="444"/>
      <c r="AC116" s="444"/>
      <c r="AD116" s="444"/>
      <c r="AE116" s="334"/>
    </row>
    <row r="117" spans="1:31" s="73" customFormat="1">
      <c r="A117" s="241"/>
      <c r="B117" s="242" t="s">
        <v>80</v>
      </c>
      <c r="C117" s="243">
        <v>0</v>
      </c>
      <c r="D117" s="244">
        <v>0</v>
      </c>
      <c r="E117" s="244">
        <v>0</v>
      </c>
      <c r="F117" s="244">
        <v>0</v>
      </c>
      <c r="G117" s="244">
        <v>0</v>
      </c>
      <c r="H117" s="244">
        <v>0</v>
      </c>
      <c r="I117" s="243">
        <v>0</v>
      </c>
      <c r="J117" s="243"/>
      <c r="K117" s="244">
        <v>13726.247777777779</v>
      </c>
      <c r="L117" s="244">
        <v>16663.054444444446</v>
      </c>
      <c r="M117" s="244">
        <v>9594.8466666666664</v>
      </c>
      <c r="N117" s="243">
        <v>39984.148888888893</v>
      </c>
      <c r="O117" s="314"/>
      <c r="P117" s="244"/>
      <c r="Q117" s="243"/>
      <c r="R117" s="243"/>
      <c r="S117" s="243"/>
      <c r="T117" s="312"/>
      <c r="U117" s="312"/>
      <c r="V117" s="312"/>
      <c r="W117" s="312"/>
      <c r="X117" s="312"/>
      <c r="Y117" s="312"/>
      <c r="Z117" s="312"/>
      <c r="AA117" s="360"/>
      <c r="AB117" s="444"/>
      <c r="AC117" s="444"/>
      <c r="AD117" s="444"/>
      <c r="AE117" s="334"/>
    </row>
    <row r="118" spans="1:31" s="73" customFormat="1">
      <c r="A118" s="241"/>
      <c r="B118" s="245" t="s">
        <v>100</v>
      </c>
      <c r="C118" s="253">
        <v>0</v>
      </c>
      <c r="D118" s="254">
        <v>0</v>
      </c>
      <c r="E118" s="254">
        <v>0</v>
      </c>
      <c r="F118" s="254">
        <v>0</v>
      </c>
      <c r="G118" s="254">
        <v>0</v>
      </c>
      <c r="H118" s="254">
        <v>0</v>
      </c>
      <c r="I118" s="253">
        <v>0</v>
      </c>
      <c r="J118" s="253">
        <v>0</v>
      </c>
      <c r="K118" s="254">
        <v>7.0475097353343537E-3</v>
      </c>
      <c r="L118" s="254">
        <v>-2.01275456316082E-2</v>
      </c>
      <c r="M118" s="254">
        <v>-1.8872422063276592E-2</v>
      </c>
      <c r="N118" s="253">
        <v>-1.0658878125172066E-2</v>
      </c>
      <c r="O118" s="356">
        <v>0</v>
      </c>
      <c r="P118" s="254">
        <v>0</v>
      </c>
      <c r="Q118" s="253">
        <v>0</v>
      </c>
      <c r="R118" s="253">
        <v>0</v>
      </c>
      <c r="S118" s="253">
        <v>0</v>
      </c>
      <c r="T118" s="313">
        <v>0</v>
      </c>
      <c r="U118" s="313">
        <v>0</v>
      </c>
      <c r="V118" s="313">
        <v>0</v>
      </c>
      <c r="W118" s="313">
        <v>0</v>
      </c>
      <c r="X118" s="313">
        <v>0</v>
      </c>
      <c r="Y118" s="313">
        <v>0</v>
      </c>
      <c r="Z118" s="313">
        <v>0</v>
      </c>
      <c r="AA118" s="359">
        <v>0</v>
      </c>
      <c r="AB118" s="445"/>
      <c r="AC118" s="445"/>
      <c r="AD118" s="445"/>
      <c r="AE118" s="334"/>
    </row>
    <row r="119" spans="1:31" s="73" customFormat="1">
      <c r="A119" s="241"/>
      <c r="B119" s="242" t="s">
        <v>88</v>
      </c>
      <c r="C119" s="243">
        <v>16793.041666666668</v>
      </c>
      <c r="D119" s="244">
        <v>6800.916666666667</v>
      </c>
      <c r="E119" s="244">
        <v>6605.666666666667</v>
      </c>
      <c r="F119" s="244">
        <v>473.83333333333331</v>
      </c>
      <c r="G119" s="244">
        <v>952.91666666666674</v>
      </c>
      <c r="H119" s="244">
        <v>107.54166666666666</v>
      </c>
      <c r="I119" s="243">
        <v>31733.916666666672</v>
      </c>
      <c r="J119" s="243"/>
      <c r="K119" s="244">
        <v>0</v>
      </c>
      <c r="L119" s="244">
        <v>0</v>
      </c>
      <c r="M119" s="244">
        <v>0</v>
      </c>
      <c r="N119" s="243">
        <v>0</v>
      </c>
      <c r="O119" s="314"/>
      <c r="P119" s="244"/>
      <c r="Q119" s="243"/>
      <c r="R119" s="243"/>
      <c r="S119" s="243"/>
      <c r="T119" s="312"/>
      <c r="U119" s="312"/>
      <c r="V119" s="312"/>
      <c r="W119" s="312"/>
      <c r="X119" s="312"/>
      <c r="Y119" s="312"/>
      <c r="Z119" s="312"/>
      <c r="AA119" s="360"/>
      <c r="AB119" s="444"/>
      <c r="AC119" s="444"/>
      <c r="AD119" s="444"/>
      <c r="AE119" s="334"/>
    </row>
    <row r="120" spans="1:31" s="73" customFormat="1">
      <c r="A120" s="241"/>
      <c r="B120" s="242" t="s">
        <v>90</v>
      </c>
      <c r="C120" s="243">
        <v>16700.125</v>
      </c>
      <c r="D120" s="244">
        <v>6711</v>
      </c>
      <c r="E120" s="244">
        <v>6710.041666666667</v>
      </c>
      <c r="F120" s="244">
        <v>523.91666666666663</v>
      </c>
      <c r="G120" s="244">
        <v>977.08333333333326</v>
      </c>
      <c r="H120" s="244">
        <v>83.125</v>
      </c>
      <c r="I120" s="243">
        <v>31705.291666666668</v>
      </c>
      <c r="J120" s="243"/>
      <c r="K120" s="244">
        <v>0</v>
      </c>
      <c r="L120" s="244">
        <v>0</v>
      </c>
      <c r="M120" s="244">
        <v>0</v>
      </c>
      <c r="N120" s="243">
        <v>0</v>
      </c>
      <c r="O120" s="314"/>
      <c r="P120" s="244"/>
      <c r="Q120" s="243"/>
      <c r="R120" s="243"/>
      <c r="S120" s="243"/>
      <c r="T120" s="312"/>
      <c r="U120" s="312"/>
      <c r="V120" s="312"/>
      <c r="W120" s="312"/>
      <c r="X120" s="312"/>
      <c r="Y120" s="312"/>
      <c r="Z120" s="312"/>
      <c r="AA120" s="360"/>
      <c r="AB120" s="444"/>
      <c r="AC120" s="444"/>
      <c r="AD120" s="444"/>
      <c r="AE120" s="334"/>
    </row>
    <row r="121" spans="1:31" s="73" customFormat="1">
      <c r="A121" s="241"/>
      <c r="B121" s="245" t="s">
        <v>92</v>
      </c>
      <c r="C121" s="253">
        <v>-5.5330456811229578E-3</v>
      </c>
      <c r="D121" s="254">
        <v>-1.3221256938402955E-2</v>
      </c>
      <c r="E121" s="254">
        <v>1.580082757228642E-2</v>
      </c>
      <c r="F121" s="510">
        <v>0.10569820612029543</v>
      </c>
      <c r="G121" s="254">
        <v>2.5360734586794768E-2</v>
      </c>
      <c r="H121" s="510">
        <v>-0.22704378148004642</v>
      </c>
      <c r="I121" s="253">
        <v>-9.0203173786173251E-4</v>
      </c>
      <c r="J121" s="253">
        <v>0</v>
      </c>
      <c r="K121" s="254">
        <v>0</v>
      </c>
      <c r="L121" s="254">
        <v>0</v>
      </c>
      <c r="M121" s="254">
        <v>0</v>
      </c>
      <c r="N121" s="253">
        <v>0</v>
      </c>
      <c r="O121" s="356">
        <v>0</v>
      </c>
      <c r="P121" s="254">
        <v>0</v>
      </c>
      <c r="Q121" s="253">
        <v>0</v>
      </c>
      <c r="R121" s="253">
        <v>0</v>
      </c>
      <c r="S121" s="253">
        <v>0</v>
      </c>
      <c r="T121" s="313">
        <v>0</v>
      </c>
      <c r="U121" s="313">
        <v>0</v>
      </c>
      <c r="V121" s="313">
        <v>0</v>
      </c>
      <c r="W121" s="313">
        <v>0</v>
      </c>
      <c r="X121" s="313">
        <v>0</v>
      </c>
      <c r="Y121" s="313">
        <v>0</v>
      </c>
      <c r="Z121" s="313">
        <v>0</v>
      </c>
      <c r="AA121" s="359">
        <v>0</v>
      </c>
      <c r="AB121" s="445"/>
      <c r="AC121" s="445"/>
      <c r="AD121" s="445"/>
      <c r="AE121" s="334"/>
    </row>
    <row r="122" spans="1:31" s="73" customFormat="1">
      <c r="A122" s="241"/>
      <c r="B122" s="242" t="s">
        <v>8</v>
      </c>
      <c r="C122" s="243">
        <v>71298.94166666668</v>
      </c>
      <c r="D122" s="244">
        <v>45222.816666666666</v>
      </c>
      <c r="E122" s="244">
        <v>56682.5</v>
      </c>
      <c r="F122" s="244">
        <v>5434.5666666666666</v>
      </c>
      <c r="G122" s="244">
        <v>11212.55</v>
      </c>
      <c r="H122" s="244">
        <v>6191.6750000000002</v>
      </c>
      <c r="I122" s="243">
        <v>196043.05000000002</v>
      </c>
      <c r="J122" s="243"/>
      <c r="K122" s="244">
        <v>91120.755555555559</v>
      </c>
      <c r="L122" s="244">
        <v>81986.929999999993</v>
      </c>
      <c r="M122" s="244">
        <v>36608.441111111111</v>
      </c>
      <c r="N122" s="243">
        <v>209716.12666666668</v>
      </c>
      <c r="O122" s="314"/>
      <c r="P122" s="244"/>
      <c r="Q122" s="243"/>
      <c r="R122" s="243"/>
      <c r="S122" s="243"/>
      <c r="T122" s="312"/>
      <c r="U122" s="312"/>
      <c r="V122" s="312"/>
      <c r="W122" s="312"/>
      <c r="X122" s="312"/>
      <c r="Y122" s="312"/>
      <c r="Z122" s="312"/>
      <c r="AA122" s="360"/>
      <c r="AB122" s="444"/>
      <c r="AC122" s="444"/>
      <c r="AD122" s="444"/>
      <c r="AE122" s="334"/>
    </row>
    <row r="123" spans="1:31" s="73" customFormat="1">
      <c r="A123" s="241"/>
      <c r="B123" s="242" t="s">
        <v>94</v>
      </c>
      <c r="C123" s="243">
        <v>70953.65833333334</v>
      </c>
      <c r="D123" s="244">
        <v>46036.6</v>
      </c>
      <c r="E123" s="244">
        <v>57508.941666666666</v>
      </c>
      <c r="F123" s="244">
        <v>5490.6166666666668</v>
      </c>
      <c r="G123" s="244">
        <v>10893.483333333334</v>
      </c>
      <c r="H123" s="244">
        <v>5884.3250000000007</v>
      </c>
      <c r="I123" s="243">
        <v>196767.62500000003</v>
      </c>
      <c r="J123" s="243"/>
      <c r="K123" s="244">
        <v>91761.814444444433</v>
      </c>
      <c r="L123" s="244">
        <v>79114.65444444443</v>
      </c>
      <c r="M123" s="244">
        <v>35073.246666666666</v>
      </c>
      <c r="N123" s="243">
        <v>205949.71555555554</v>
      </c>
      <c r="O123" s="314"/>
      <c r="P123" s="244"/>
      <c r="Q123" s="243"/>
      <c r="R123" s="243"/>
      <c r="S123" s="243"/>
      <c r="T123" s="312"/>
      <c r="U123" s="312"/>
      <c r="V123" s="312"/>
      <c r="W123" s="312"/>
      <c r="X123" s="312"/>
      <c r="Y123" s="312"/>
      <c r="Z123" s="312"/>
      <c r="AA123" s="360"/>
      <c r="AB123" s="444"/>
      <c r="AC123" s="444"/>
      <c r="AD123" s="444"/>
      <c r="AE123" s="334"/>
    </row>
    <row r="124" spans="1:31" s="73" customFormat="1">
      <c r="A124" s="246"/>
      <c r="B124" s="311" t="s">
        <v>96</v>
      </c>
      <c r="C124" s="253">
        <v>-4.8427553798426892E-3</v>
      </c>
      <c r="D124" s="254">
        <v>1.7994972301961131E-2</v>
      </c>
      <c r="E124" s="254">
        <v>1.4580190829033047E-2</v>
      </c>
      <c r="F124" s="254">
        <v>1.0313609794095853E-2</v>
      </c>
      <c r="G124" s="254">
        <v>-2.8456209039573133E-2</v>
      </c>
      <c r="H124" s="254">
        <v>-4.9639233325392475E-2</v>
      </c>
      <c r="I124" s="253">
        <v>3.6959994246160855E-3</v>
      </c>
      <c r="J124" s="253">
        <v>0</v>
      </c>
      <c r="K124" s="254">
        <v>7.0352674863195797E-3</v>
      </c>
      <c r="L124" s="254">
        <v>-3.5033334649261332E-2</v>
      </c>
      <c r="M124" s="254">
        <v>-4.1935531747580884E-2</v>
      </c>
      <c r="N124" s="253">
        <v>-1.7959568350686083E-2</v>
      </c>
      <c r="O124" s="356">
        <v>0</v>
      </c>
      <c r="P124" s="254">
        <v>0</v>
      </c>
      <c r="Q124" s="253">
        <v>0</v>
      </c>
      <c r="R124" s="253">
        <v>0</v>
      </c>
      <c r="S124" s="253">
        <v>0</v>
      </c>
      <c r="T124" s="313">
        <v>0</v>
      </c>
      <c r="U124" s="313">
        <v>0</v>
      </c>
      <c r="V124" s="313">
        <v>0</v>
      </c>
      <c r="W124" s="313">
        <v>0</v>
      </c>
      <c r="X124" s="313">
        <v>0</v>
      </c>
      <c r="Y124" s="313">
        <v>0</v>
      </c>
      <c r="Z124" s="313">
        <v>0</v>
      </c>
      <c r="AA124" s="359">
        <v>0</v>
      </c>
      <c r="AB124" s="445"/>
      <c r="AC124" s="445"/>
      <c r="AD124" s="445"/>
      <c r="AE124" s="334"/>
    </row>
    <row r="125" spans="1:31" s="73" customFormat="1">
      <c r="A125" s="342" t="s">
        <v>272</v>
      </c>
      <c r="B125" s="340" t="s">
        <v>86</v>
      </c>
      <c r="C125" s="337">
        <v>43058</v>
      </c>
      <c r="D125" s="341"/>
      <c r="E125" s="341">
        <v>18878.166666666668</v>
      </c>
      <c r="F125" s="341">
        <v>3174.2</v>
      </c>
      <c r="G125" s="341">
        <v>15558.766666666666</v>
      </c>
      <c r="H125" s="341">
        <v>5902.5999999999995</v>
      </c>
      <c r="I125" s="337">
        <v>86571.733333333337</v>
      </c>
      <c r="J125" s="337">
        <v>8803.1333333333332</v>
      </c>
      <c r="K125" s="341">
        <v>26973.266666666663</v>
      </c>
      <c r="L125" s="341">
        <v>5663.7333333333336</v>
      </c>
      <c r="M125" s="341">
        <v>12528.933333333331</v>
      </c>
      <c r="N125" s="337">
        <v>53969.066666666666</v>
      </c>
      <c r="O125" s="337"/>
      <c r="P125" s="341"/>
      <c r="Q125" s="337">
        <v>0</v>
      </c>
      <c r="R125" s="337">
        <v>0</v>
      </c>
      <c r="S125" s="337">
        <v>0</v>
      </c>
      <c r="T125" s="349"/>
      <c r="U125" s="349"/>
      <c r="V125" s="349"/>
      <c r="W125" s="349"/>
      <c r="X125" s="349"/>
      <c r="Y125" s="349"/>
      <c r="Z125" s="349"/>
      <c r="AA125" s="357"/>
      <c r="AB125" s="444"/>
      <c r="AC125" s="444"/>
      <c r="AD125" s="444"/>
      <c r="AE125" s="334"/>
    </row>
    <row r="126" spans="1:31" s="73" customFormat="1">
      <c r="A126" s="241"/>
      <c r="B126" s="242" t="s">
        <v>84</v>
      </c>
      <c r="C126" s="243">
        <v>43883.5</v>
      </c>
      <c r="D126" s="244"/>
      <c r="E126" s="244">
        <v>18722.033333333333</v>
      </c>
      <c r="F126" s="244">
        <v>2992.2333333333331</v>
      </c>
      <c r="G126" s="244">
        <v>15082.033333333333</v>
      </c>
      <c r="H126" s="244">
        <v>5451.8333333333339</v>
      </c>
      <c r="I126" s="243">
        <v>86131.633333333317</v>
      </c>
      <c r="J126" s="243">
        <v>8309.2000000000007</v>
      </c>
      <c r="K126" s="244">
        <v>25175.566666666666</v>
      </c>
      <c r="L126" s="244">
        <v>5287.7</v>
      </c>
      <c r="M126" s="244">
        <v>10790.266666666665</v>
      </c>
      <c r="N126" s="243">
        <v>49562.733333333323</v>
      </c>
      <c r="O126" s="243"/>
      <c r="P126" s="244"/>
      <c r="Q126" s="243">
        <v>0</v>
      </c>
      <c r="R126" s="243">
        <v>0</v>
      </c>
      <c r="S126" s="243">
        <v>0</v>
      </c>
      <c r="T126" s="312"/>
      <c r="U126" s="312"/>
      <c r="V126" s="312"/>
      <c r="W126" s="312"/>
      <c r="X126" s="312"/>
      <c r="Y126" s="312"/>
      <c r="Z126" s="312"/>
      <c r="AA126" s="358"/>
      <c r="AB126" s="444"/>
      <c r="AC126" s="444"/>
      <c r="AD126" s="444"/>
      <c r="AE126" s="334"/>
    </row>
    <row r="127" spans="1:31" s="73" customFormat="1">
      <c r="A127" s="241"/>
      <c r="B127" s="245" t="s">
        <v>98</v>
      </c>
      <c r="C127" s="253">
        <v>1.917181476148451E-2</v>
      </c>
      <c r="D127" s="254">
        <v>0</v>
      </c>
      <c r="E127" s="254">
        <v>-8.2705771217191828E-3</v>
      </c>
      <c r="F127" s="254">
        <v>-5.7326780501123657E-2</v>
      </c>
      <c r="G127" s="254">
        <v>-3.0640817716914168E-2</v>
      </c>
      <c r="H127" s="254">
        <v>-7.636747647929143E-2</v>
      </c>
      <c r="I127" s="253">
        <v>-5.0836454701150236E-3</v>
      </c>
      <c r="J127" s="253">
        <v>-5.6108809741985712E-2</v>
      </c>
      <c r="K127" s="254">
        <v>-6.6647470705562692E-2</v>
      </c>
      <c r="L127" s="254">
        <v>-6.6393191769857404E-2</v>
      </c>
      <c r="M127" s="510">
        <v>-0.13877212212798107</v>
      </c>
      <c r="N127" s="253">
        <v>-8.164553522017555E-2</v>
      </c>
      <c r="O127" s="356">
        <v>0</v>
      </c>
      <c r="P127" s="254">
        <v>0</v>
      </c>
      <c r="Q127" s="253">
        <v>0</v>
      </c>
      <c r="R127" s="253">
        <v>0</v>
      </c>
      <c r="S127" s="253">
        <v>0</v>
      </c>
      <c r="T127" s="313">
        <v>0</v>
      </c>
      <c r="U127" s="313">
        <v>0</v>
      </c>
      <c r="V127" s="313">
        <v>0</v>
      </c>
      <c r="W127" s="313">
        <v>0</v>
      </c>
      <c r="X127" s="313">
        <v>0</v>
      </c>
      <c r="Y127" s="313">
        <v>0</v>
      </c>
      <c r="Z127" s="313">
        <v>0</v>
      </c>
      <c r="AA127" s="359">
        <v>0</v>
      </c>
      <c r="AB127" s="445"/>
      <c r="AC127" s="445"/>
      <c r="AD127" s="445"/>
      <c r="AE127" s="334"/>
    </row>
    <row r="128" spans="1:31" s="73" customFormat="1">
      <c r="A128" s="241"/>
      <c r="B128" s="242" t="s">
        <v>82</v>
      </c>
      <c r="C128" s="243">
        <v>0</v>
      </c>
      <c r="D128" s="244"/>
      <c r="E128" s="244">
        <v>0</v>
      </c>
      <c r="F128" s="244">
        <v>0</v>
      </c>
      <c r="G128" s="244">
        <v>0</v>
      </c>
      <c r="H128" s="244">
        <v>0</v>
      </c>
      <c r="I128" s="243">
        <v>0</v>
      </c>
      <c r="J128" s="243">
        <v>0</v>
      </c>
      <c r="K128" s="244">
        <v>0</v>
      </c>
      <c r="L128" s="244">
        <v>0</v>
      </c>
      <c r="M128" s="244">
        <v>0</v>
      </c>
      <c r="N128" s="243">
        <v>0</v>
      </c>
      <c r="O128" s="314"/>
      <c r="P128" s="244"/>
      <c r="Q128" s="243">
        <v>4046.5422222222219</v>
      </c>
      <c r="R128" s="243">
        <v>15930.953333333329</v>
      </c>
      <c r="S128" s="243">
        <v>19977.49555555555</v>
      </c>
      <c r="T128" s="312"/>
      <c r="U128" s="312"/>
      <c r="V128" s="312"/>
      <c r="W128" s="312"/>
      <c r="X128" s="312"/>
      <c r="Y128" s="312"/>
      <c r="Z128" s="312"/>
      <c r="AA128" s="360"/>
      <c r="AB128" s="444"/>
      <c r="AC128" s="444"/>
      <c r="AD128" s="444"/>
      <c r="AE128" s="334"/>
    </row>
    <row r="129" spans="1:31" s="73" customFormat="1">
      <c r="A129" s="241"/>
      <c r="B129" s="242" t="s">
        <v>80</v>
      </c>
      <c r="C129" s="243">
        <v>0</v>
      </c>
      <c r="D129" s="244"/>
      <c r="E129" s="244">
        <v>0</v>
      </c>
      <c r="F129" s="244">
        <v>0</v>
      </c>
      <c r="G129" s="244">
        <v>0</v>
      </c>
      <c r="H129" s="244">
        <v>0</v>
      </c>
      <c r="I129" s="243">
        <v>0</v>
      </c>
      <c r="J129" s="243">
        <v>0</v>
      </c>
      <c r="K129" s="244">
        <v>0</v>
      </c>
      <c r="L129" s="244">
        <v>0</v>
      </c>
      <c r="M129" s="244">
        <v>0</v>
      </c>
      <c r="N129" s="243">
        <v>0</v>
      </c>
      <c r="O129" s="314"/>
      <c r="P129" s="244"/>
      <c r="Q129" s="243">
        <v>3864.6067111111106</v>
      </c>
      <c r="R129" s="243">
        <v>16054.077488888888</v>
      </c>
      <c r="S129" s="243">
        <v>19918.6842</v>
      </c>
      <c r="T129" s="312"/>
      <c r="U129" s="312"/>
      <c r="V129" s="312"/>
      <c r="W129" s="312"/>
      <c r="X129" s="312"/>
      <c r="Y129" s="312"/>
      <c r="Z129" s="312"/>
      <c r="AA129" s="360"/>
      <c r="AB129" s="444"/>
      <c r="AC129" s="444"/>
      <c r="AD129" s="444"/>
      <c r="AE129" s="334"/>
    </row>
    <row r="130" spans="1:31" s="73" customFormat="1">
      <c r="A130" s="241"/>
      <c r="B130" s="245" t="s">
        <v>100</v>
      </c>
      <c r="C130" s="253">
        <v>0</v>
      </c>
      <c r="D130" s="254">
        <v>0</v>
      </c>
      <c r="E130" s="254">
        <v>0</v>
      </c>
      <c r="F130" s="254">
        <v>0</v>
      </c>
      <c r="G130" s="254">
        <v>0</v>
      </c>
      <c r="H130" s="254">
        <v>0</v>
      </c>
      <c r="I130" s="253">
        <v>0</v>
      </c>
      <c r="J130" s="253">
        <v>0</v>
      </c>
      <c r="K130" s="254">
        <v>0</v>
      </c>
      <c r="L130" s="254">
        <v>0</v>
      </c>
      <c r="M130" s="254">
        <v>0</v>
      </c>
      <c r="N130" s="253">
        <v>0</v>
      </c>
      <c r="O130" s="356">
        <v>0</v>
      </c>
      <c r="P130" s="254">
        <v>0</v>
      </c>
      <c r="Q130" s="253">
        <v>-4.4960734651916856E-2</v>
      </c>
      <c r="R130" s="253">
        <v>7.7286119028381391E-3</v>
      </c>
      <c r="S130" s="253">
        <v>-2.943880297308508E-3</v>
      </c>
      <c r="T130" s="313">
        <v>0</v>
      </c>
      <c r="U130" s="313">
        <v>0</v>
      </c>
      <c r="V130" s="313">
        <v>0</v>
      </c>
      <c r="W130" s="313">
        <v>0</v>
      </c>
      <c r="X130" s="313">
        <v>0</v>
      </c>
      <c r="Y130" s="313">
        <v>0</v>
      </c>
      <c r="Z130" s="313">
        <v>0</v>
      </c>
      <c r="AA130" s="359">
        <v>0</v>
      </c>
      <c r="AB130" s="445"/>
      <c r="AC130" s="445"/>
      <c r="AD130" s="445"/>
      <c r="AE130" s="334"/>
    </row>
    <row r="131" spans="1:31" s="73" customFormat="1">
      <c r="A131" s="241"/>
      <c r="B131" s="242" t="s">
        <v>88</v>
      </c>
      <c r="C131" s="243">
        <v>6118.75</v>
      </c>
      <c r="D131" s="244"/>
      <c r="E131" s="244">
        <v>1907.1666666666667</v>
      </c>
      <c r="F131" s="244">
        <v>254.75</v>
      </c>
      <c r="G131" s="244">
        <v>2035.0833333333333</v>
      </c>
      <c r="H131" s="244">
        <v>0</v>
      </c>
      <c r="I131" s="243">
        <v>10315.750000000002</v>
      </c>
      <c r="J131" s="243">
        <v>0</v>
      </c>
      <c r="K131" s="244">
        <v>0</v>
      </c>
      <c r="L131" s="244">
        <v>0</v>
      </c>
      <c r="M131" s="244">
        <v>0</v>
      </c>
      <c r="N131" s="243">
        <v>0</v>
      </c>
      <c r="O131" s="314"/>
      <c r="P131" s="244"/>
      <c r="Q131" s="243">
        <v>0</v>
      </c>
      <c r="R131" s="243">
        <v>0</v>
      </c>
      <c r="S131" s="243">
        <v>0</v>
      </c>
      <c r="T131" s="312"/>
      <c r="U131" s="312"/>
      <c r="V131" s="312"/>
      <c r="W131" s="312"/>
      <c r="X131" s="312"/>
      <c r="Y131" s="312"/>
      <c r="Z131" s="312"/>
      <c r="AA131" s="360"/>
      <c r="AB131" s="444"/>
      <c r="AC131" s="444"/>
      <c r="AD131" s="444"/>
      <c r="AE131" s="334"/>
    </row>
    <row r="132" spans="1:31" s="73" customFormat="1">
      <c r="A132" s="241"/>
      <c r="B132" s="242" t="s">
        <v>90</v>
      </c>
      <c r="C132" s="243">
        <v>12791.791666666666</v>
      </c>
      <c r="D132" s="244"/>
      <c r="E132" s="244">
        <v>2600.5416666666665</v>
      </c>
      <c r="F132" s="244">
        <v>239.375</v>
      </c>
      <c r="G132" s="244">
        <v>2271.625</v>
      </c>
      <c r="H132" s="244">
        <v>0</v>
      </c>
      <c r="I132" s="243">
        <v>17903.333333333332</v>
      </c>
      <c r="J132" s="243">
        <v>0</v>
      </c>
      <c r="K132" s="244">
        <v>0</v>
      </c>
      <c r="L132" s="244">
        <v>0</v>
      </c>
      <c r="M132" s="244">
        <v>0</v>
      </c>
      <c r="N132" s="243">
        <v>0</v>
      </c>
      <c r="O132" s="314"/>
      <c r="P132" s="244"/>
      <c r="Q132" s="243">
        <v>0</v>
      </c>
      <c r="R132" s="243">
        <v>0</v>
      </c>
      <c r="S132" s="243">
        <v>0</v>
      </c>
      <c r="T132" s="312"/>
      <c r="U132" s="312"/>
      <c r="V132" s="312"/>
      <c r="W132" s="312"/>
      <c r="X132" s="312"/>
      <c r="Y132" s="312"/>
      <c r="Z132" s="312"/>
      <c r="AA132" s="360"/>
      <c r="AB132" s="444"/>
      <c r="AC132" s="444"/>
      <c r="AD132" s="444"/>
      <c r="AE132" s="334"/>
    </row>
    <row r="133" spans="1:31" s="73" customFormat="1">
      <c r="A133" s="241"/>
      <c r="B133" s="245" t="s">
        <v>92</v>
      </c>
      <c r="C133" s="509">
        <v>1.090589036431733</v>
      </c>
      <c r="D133" s="254">
        <v>0</v>
      </c>
      <c r="E133" s="510">
        <v>0.36356287686795408</v>
      </c>
      <c r="F133" s="254">
        <v>-6.0353287536800783E-2</v>
      </c>
      <c r="G133" s="510">
        <v>0.11623193153433524</v>
      </c>
      <c r="H133" s="254">
        <v>0</v>
      </c>
      <c r="I133" s="253">
        <v>0.73553385195776677</v>
      </c>
      <c r="J133" s="253">
        <v>0</v>
      </c>
      <c r="K133" s="254">
        <v>0</v>
      </c>
      <c r="L133" s="254">
        <v>0</v>
      </c>
      <c r="M133" s="254">
        <v>0</v>
      </c>
      <c r="N133" s="253">
        <v>0</v>
      </c>
      <c r="O133" s="356">
        <v>0</v>
      </c>
      <c r="P133" s="254">
        <v>0</v>
      </c>
      <c r="Q133" s="253">
        <v>0</v>
      </c>
      <c r="R133" s="253">
        <v>0</v>
      </c>
      <c r="S133" s="253">
        <v>0</v>
      </c>
      <c r="T133" s="313">
        <v>0</v>
      </c>
      <c r="U133" s="313">
        <v>0</v>
      </c>
      <c r="V133" s="313">
        <v>0</v>
      </c>
      <c r="W133" s="313">
        <v>0</v>
      </c>
      <c r="X133" s="313">
        <v>0</v>
      </c>
      <c r="Y133" s="313">
        <v>0</v>
      </c>
      <c r="Z133" s="313">
        <v>0</v>
      </c>
      <c r="AA133" s="359">
        <v>0</v>
      </c>
      <c r="AB133" s="445"/>
      <c r="AC133" s="445"/>
      <c r="AD133" s="445"/>
      <c r="AE133" s="334"/>
    </row>
    <row r="134" spans="1:31" s="73" customFormat="1">
      <c r="A134" s="241"/>
      <c r="B134" s="242" t="s">
        <v>8</v>
      </c>
      <c r="C134" s="243">
        <v>49176.75</v>
      </c>
      <c r="D134" s="244"/>
      <c r="E134" s="244">
        <v>20785.333333333332</v>
      </c>
      <c r="F134" s="244">
        <v>3428.95</v>
      </c>
      <c r="G134" s="244">
        <v>17593.849999999999</v>
      </c>
      <c r="H134" s="244">
        <v>5902.5999999999995</v>
      </c>
      <c r="I134" s="243">
        <v>96887.483333333337</v>
      </c>
      <c r="J134" s="243">
        <v>8803.1333333333332</v>
      </c>
      <c r="K134" s="244">
        <v>26973.266666666663</v>
      </c>
      <c r="L134" s="244">
        <v>5663.7333333333336</v>
      </c>
      <c r="M134" s="244">
        <v>12528.933333333331</v>
      </c>
      <c r="N134" s="243">
        <v>53969.066666666666</v>
      </c>
      <c r="O134" s="314"/>
      <c r="P134" s="244"/>
      <c r="Q134" s="243">
        <v>4046.5422222222219</v>
      </c>
      <c r="R134" s="243">
        <v>15930.953333333329</v>
      </c>
      <c r="S134" s="243">
        <v>19977.49555555555</v>
      </c>
      <c r="T134" s="312"/>
      <c r="U134" s="312"/>
      <c r="V134" s="312"/>
      <c r="W134" s="312"/>
      <c r="X134" s="312"/>
      <c r="Y134" s="312"/>
      <c r="Z134" s="312"/>
      <c r="AA134" s="360"/>
      <c r="AB134" s="444"/>
      <c r="AC134" s="444"/>
      <c r="AD134" s="444"/>
      <c r="AE134" s="334"/>
    </row>
    <row r="135" spans="1:31" s="73" customFormat="1">
      <c r="A135" s="241"/>
      <c r="B135" s="242" t="s">
        <v>94</v>
      </c>
      <c r="C135" s="243">
        <v>56675.291666666664</v>
      </c>
      <c r="D135" s="244"/>
      <c r="E135" s="244">
        <v>21322.575000000001</v>
      </c>
      <c r="F135" s="244">
        <v>3231.6083333333331</v>
      </c>
      <c r="G135" s="244">
        <v>17353.658333333333</v>
      </c>
      <c r="H135" s="244">
        <v>5451.8333333333339</v>
      </c>
      <c r="I135" s="243">
        <v>104034.96666666666</v>
      </c>
      <c r="J135" s="243">
        <v>8309.2000000000007</v>
      </c>
      <c r="K135" s="244">
        <v>25175.566666666666</v>
      </c>
      <c r="L135" s="244">
        <v>5287.7</v>
      </c>
      <c r="M135" s="244">
        <v>10790.266666666665</v>
      </c>
      <c r="N135" s="243">
        <v>49562.733333333323</v>
      </c>
      <c r="O135" s="314"/>
      <c r="P135" s="244"/>
      <c r="Q135" s="243">
        <v>3864.6067111111106</v>
      </c>
      <c r="R135" s="243">
        <v>16054.077488888888</v>
      </c>
      <c r="S135" s="243">
        <v>19918.6842</v>
      </c>
      <c r="T135" s="312"/>
      <c r="U135" s="312"/>
      <c r="V135" s="312"/>
      <c r="W135" s="312"/>
      <c r="X135" s="312"/>
      <c r="Y135" s="312"/>
      <c r="Z135" s="312"/>
      <c r="AA135" s="360"/>
      <c r="AB135" s="444"/>
      <c r="AC135" s="444"/>
      <c r="AD135" s="444"/>
      <c r="AE135" s="334"/>
    </row>
    <row r="136" spans="1:31" s="73" customFormat="1">
      <c r="A136" s="246"/>
      <c r="B136" s="311" t="s">
        <v>96</v>
      </c>
      <c r="C136" s="253">
        <v>0.15248144024700014</v>
      </c>
      <c r="D136" s="254">
        <v>0</v>
      </c>
      <c r="E136" s="254">
        <v>2.5847151837834464E-2</v>
      </c>
      <c r="F136" s="254">
        <v>-5.7551631451804988E-2</v>
      </c>
      <c r="G136" s="254">
        <v>-1.3652024239530615E-2</v>
      </c>
      <c r="H136" s="254">
        <v>-7.636747647929143E-2</v>
      </c>
      <c r="I136" s="253">
        <v>7.3770966975610405E-2</v>
      </c>
      <c r="J136" s="253">
        <v>-5.6108809741985712E-2</v>
      </c>
      <c r="K136" s="254">
        <v>-6.6647470705562692E-2</v>
      </c>
      <c r="L136" s="254">
        <v>-6.6393191769857404E-2</v>
      </c>
      <c r="M136" s="254">
        <v>-0.13877212212798107</v>
      </c>
      <c r="N136" s="253">
        <v>-8.164553522017555E-2</v>
      </c>
      <c r="O136" s="356">
        <v>0</v>
      </c>
      <c r="P136" s="254">
        <v>0</v>
      </c>
      <c r="Q136" s="253">
        <v>-4.4960734651916856E-2</v>
      </c>
      <c r="R136" s="253">
        <v>7.7286119028381391E-3</v>
      </c>
      <c r="S136" s="253">
        <v>-2.943880297308508E-3</v>
      </c>
      <c r="T136" s="313">
        <v>0</v>
      </c>
      <c r="U136" s="313">
        <v>0</v>
      </c>
      <c r="V136" s="313">
        <v>0</v>
      </c>
      <c r="W136" s="313">
        <v>0</v>
      </c>
      <c r="X136" s="313">
        <v>0</v>
      </c>
      <c r="Y136" s="313">
        <v>0</v>
      </c>
      <c r="Z136" s="313">
        <v>0</v>
      </c>
      <c r="AA136" s="359">
        <v>0</v>
      </c>
      <c r="AB136" s="445"/>
      <c r="AC136" s="445"/>
      <c r="AD136" s="445"/>
      <c r="AE136" s="334"/>
    </row>
    <row r="137" spans="1:31" s="73" customFormat="1">
      <c r="A137" s="342" t="s">
        <v>287</v>
      </c>
      <c r="B137" s="340" t="s">
        <v>86</v>
      </c>
      <c r="C137" s="337">
        <v>39419.300000000003</v>
      </c>
      <c r="D137" s="341"/>
      <c r="E137" s="341">
        <v>18050.516666666666</v>
      </c>
      <c r="F137" s="341"/>
      <c r="G137" s="341">
        <v>15258.5</v>
      </c>
      <c r="H137" s="341">
        <v>12117.800333333333</v>
      </c>
      <c r="I137" s="337">
        <v>84846.116999999998</v>
      </c>
      <c r="J137" s="337"/>
      <c r="K137" s="341">
        <v>57001.922666666665</v>
      </c>
      <c r="L137" s="341">
        <v>16852.201000000001</v>
      </c>
      <c r="M137" s="341">
        <v>8725.2860000000001</v>
      </c>
      <c r="N137" s="337">
        <v>82579.409666666674</v>
      </c>
      <c r="O137" s="337"/>
      <c r="P137" s="341"/>
      <c r="Q137" s="337"/>
      <c r="R137" s="337"/>
      <c r="S137" s="337"/>
      <c r="T137" s="349"/>
      <c r="U137" s="349"/>
      <c r="V137" s="349"/>
      <c r="W137" s="349"/>
      <c r="X137" s="349"/>
      <c r="Y137" s="349"/>
      <c r="Z137" s="349"/>
      <c r="AA137" s="357"/>
      <c r="AB137" s="444"/>
      <c r="AC137" s="444"/>
      <c r="AD137" s="444"/>
      <c r="AE137" s="334"/>
    </row>
    <row r="138" spans="1:31" s="73" customFormat="1">
      <c r="A138" s="241"/>
      <c r="B138" s="242" t="s">
        <v>84</v>
      </c>
      <c r="C138" s="243">
        <v>40585.600000000006</v>
      </c>
      <c r="D138" s="244"/>
      <c r="E138" s="244">
        <v>18188.5</v>
      </c>
      <c r="F138" s="244"/>
      <c r="G138" s="244">
        <v>14730.966666666665</v>
      </c>
      <c r="H138" s="244">
        <v>12017.166666666668</v>
      </c>
      <c r="I138" s="243">
        <v>85522.233333333337</v>
      </c>
      <c r="J138" s="243"/>
      <c r="K138" s="244">
        <v>54844.26666666667</v>
      </c>
      <c r="L138" s="244">
        <v>15909.833333333334</v>
      </c>
      <c r="M138" s="244">
        <v>8241.6666666666679</v>
      </c>
      <c r="N138" s="243">
        <v>78995.766666666677</v>
      </c>
      <c r="O138" s="243"/>
      <c r="P138" s="244"/>
      <c r="Q138" s="243"/>
      <c r="R138" s="243"/>
      <c r="S138" s="243"/>
      <c r="T138" s="312"/>
      <c r="U138" s="312"/>
      <c r="V138" s="312"/>
      <c r="W138" s="312"/>
      <c r="X138" s="312"/>
      <c r="Y138" s="312"/>
      <c r="Z138" s="312"/>
      <c r="AA138" s="358"/>
      <c r="AB138" s="444"/>
      <c r="AC138" s="444"/>
      <c r="AD138" s="444"/>
      <c r="AE138" s="334"/>
    </row>
    <row r="139" spans="1:31" s="73" customFormat="1">
      <c r="A139" s="241"/>
      <c r="B139" s="245" t="s">
        <v>98</v>
      </c>
      <c r="C139" s="253">
        <v>2.9587029703723882E-2</v>
      </c>
      <c r="D139" s="254">
        <v>0</v>
      </c>
      <c r="E139" s="254">
        <v>7.6442871903020454E-3</v>
      </c>
      <c r="F139" s="254">
        <v>0</v>
      </c>
      <c r="G139" s="254">
        <v>-3.4573079485751196E-2</v>
      </c>
      <c r="H139" s="254">
        <v>-8.3046150207512735E-3</v>
      </c>
      <c r="I139" s="253">
        <v>7.968736310388292E-3</v>
      </c>
      <c r="J139" s="253">
        <v>0</v>
      </c>
      <c r="K139" s="254">
        <v>-3.7852337238121619E-2</v>
      </c>
      <c r="L139" s="254">
        <v>-5.5919560101773465E-2</v>
      </c>
      <c r="M139" s="254">
        <v>-5.5427333079205908E-2</v>
      </c>
      <c r="N139" s="253">
        <v>-4.3396326208499827E-2</v>
      </c>
      <c r="O139" s="356">
        <v>0</v>
      </c>
      <c r="P139" s="254">
        <v>0</v>
      </c>
      <c r="Q139" s="253">
        <v>0</v>
      </c>
      <c r="R139" s="253">
        <v>0</v>
      </c>
      <c r="S139" s="253">
        <v>0</v>
      </c>
      <c r="T139" s="313">
        <v>0</v>
      </c>
      <c r="U139" s="313">
        <v>0</v>
      </c>
      <c r="V139" s="313">
        <v>0</v>
      </c>
      <c r="W139" s="313">
        <v>0</v>
      </c>
      <c r="X139" s="313">
        <v>0</v>
      </c>
      <c r="Y139" s="313">
        <v>0</v>
      </c>
      <c r="Z139" s="313">
        <v>0</v>
      </c>
      <c r="AA139" s="359">
        <v>0</v>
      </c>
      <c r="AB139" s="445"/>
      <c r="AC139" s="445"/>
      <c r="AD139" s="445"/>
      <c r="AE139" s="334"/>
    </row>
    <row r="140" spans="1:31" s="73" customFormat="1">
      <c r="A140" s="241"/>
      <c r="B140" s="242" t="s">
        <v>82</v>
      </c>
      <c r="C140" s="243">
        <v>0</v>
      </c>
      <c r="D140" s="244"/>
      <c r="E140" s="244">
        <v>0</v>
      </c>
      <c r="F140" s="244"/>
      <c r="G140" s="244">
        <v>0</v>
      </c>
      <c r="H140" s="244">
        <v>0</v>
      </c>
      <c r="I140" s="243">
        <v>0</v>
      </c>
      <c r="J140" s="243"/>
      <c r="K140" s="244">
        <v>0</v>
      </c>
      <c r="L140" s="244">
        <v>0</v>
      </c>
      <c r="M140" s="244">
        <v>0</v>
      </c>
      <c r="N140" s="243">
        <v>0</v>
      </c>
      <c r="O140" s="314"/>
      <c r="P140" s="244"/>
      <c r="Q140" s="243"/>
      <c r="R140" s="243"/>
      <c r="S140" s="243"/>
      <c r="T140" s="312"/>
      <c r="U140" s="312"/>
      <c r="V140" s="312"/>
      <c r="W140" s="312"/>
      <c r="X140" s="312"/>
      <c r="Y140" s="312"/>
      <c r="Z140" s="312"/>
      <c r="AA140" s="360"/>
      <c r="AB140" s="444"/>
      <c r="AC140" s="444"/>
      <c r="AD140" s="444"/>
      <c r="AE140" s="334"/>
    </row>
    <row r="141" spans="1:31" s="73" customFormat="1">
      <c r="A141" s="241"/>
      <c r="B141" s="242" t="s">
        <v>80</v>
      </c>
      <c r="C141" s="243">
        <v>0</v>
      </c>
      <c r="D141" s="244"/>
      <c r="E141" s="244">
        <v>0</v>
      </c>
      <c r="F141" s="244"/>
      <c r="G141" s="244">
        <v>0</v>
      </c>
      <c r="H141" s="244">
        <v>0</v>
      </c>
      <c r="I141" s="243">
        <v>0</v>
      </c>
      <c r="J141" s="243"/>
      <c r="K141" s="244">
        <v>0</v>
      </c>
      <c r="L141" s="244">
        <v>0</v>
      </c>
      <c r="M141" s="244">
        <v>0</v>
      </c>
      <c r="N141" s="243">
        <v>0</v>
      </c>
      <c r="O141" s="314"/>
      <c r="P141" s="244"/>
      <c r="Q141" s="243"/>
      <c r="R141" s="243"/>
      <c r="S141" s="243"/>
      <c r="T141" s="312"/>
      <c r="U141" s="312"/>
      <c r="V141" s="312"/>
      <c r="W141" s="312"/>
      <c r="X141" s="312"/>
      <c r="Y141" s="312"/>
      <c r="Z141" s="312"/>
      <c r="AA141" s="360"/>
      <c r="AB141" s="444"/>
      <c r="AC141" s="444"/>
      <c r="AD141" s="444"/>
      <c r="AE141" s="334"/>
    </row>
    <row r="142" spans="1:31" s="73" customFormat="1">
      <c r="A142" s="241"/>
      <c r="B142" s="245" t="s">
        <v>100</v>
      </c>
      <c r="C142" s="253">
        <v>0</v>
      </c>
      <c r="D142" s="254">
        <v>0</v>
      </c>
      <c r="E142" s="254">
        <v>0</v>
      </c>
      <c r="F142" s="254">
        <v>0</v>
      </c>
      <c r="G142" s="254">
        <v>0</v>
      </c>
      <c r="H142" s="254">
        <v>0</v>
      </c>
      <c r="I142" s="253">
        <v>0</v>
      </c>
      <c r="J142" s="253">
        <v>0</v>
      </c>
      <c r="K142" s="254">
        <v>0</v>
      </c>
      <c r="L142" s="254">
        <v>0</v>
      </c>
      <c r="M142" s="254">
        <v>0</v>
      </c>
      <c r="N142" s="253">
        <v>0</v>
      </c>
      <c r="O142" s="356">
        <v>0</v>
      </c>
      <c r="P142" s="254">
        <v>0</v>
      </c>
      <c r="Q142" s="253">
        <v>0</v>
      </c>
      <c r="R142" s="253">
        <v>0</v>
      </c>
      <c r="S142" s="253">
        <v>0</v>
      </c>
      <c r="T142" s="313">
        <v>0</v>
      </c>
      <c r="U142" s="313">
        <v>0</v>
      </c>
      <c r="V142" s="313">
        <v>0</v>
      </c>
      <c r="W142" s="313">
        <v>0</v>
      </c>
      <c r="X142" s="313">
        <v>0</v>
      </c>
      <c r="Y142" s="313">
        <v>0</v>
      </c>
      <c r="Z142" s="313">
        <v>0</v>
      </c>
      <c r="AA142" s="359">
        <v>0</v>
      </c>
      <c r="AB142" s="445"/>
      <c r="AC142" s="445"/>
      <c r="AD142" s="445"/>
      <c r="AE142" s="334"/>
    </row>
    <row r="143" spans="1:31" s="73" customFormat="1">
      <c r="A143" s="241"/>
      <c r="B143" s="242" t="s">
        <v>88</v>
      </c>
      <c r="C143" s="243">
        <v>8018.458333333333</v>
      </c>
      <c r="D143" s="244"/>
      <c r="E143" s="244">
        <v>2111.1458333333335</v>
      </c>
      <c r="F143" s="244"/>
      <c r="G143" s="244">
        <v>1016.8333333333333</v>
      </c>
      <c r="H143" s="244">
        <v>203.04166666666669</v>
      </c>
      <c r="I143" s="243">
        <v>11349.479166666666</v>
      </c>
      <c r="J143" s="243"/>
      <c r="K143" s="244">
        <v>0</v>
      </c>
      <c r="L143" s="244">
        <v>0</v>
      </c>
      <c r="M143" s="244">
        <v>0</v>
      </c>
      <c r="N143" s="243">
        <v>0</v>
      </c>
      <c r="O143" s="314"/>
      <c r="P143" s="244"/>
      <c r="Q143" s="243"/>
      <c r="R143" s="243"/>
      <c r="S143" s="243"/>
      <c r="T143" s="312"/>
      <c r="U143" s="312"/>
      <c r="V143" s="312"/>
      <c r="W143" s="312"/>
      <c r="X143" s="312"/>
      <c r="Y143" s="312"/>
      <c r="Z143" s="312"/>
      <c r="AA143" s="360"/>
      <c r="AB143" s="444"/>
      <c r="AC143" s="444"/>
      <c r="AD143" s="444"/>
      <c r="AE143" s="334"/>
    </row>
    <row r="144" spans="1:31" s="73" customFormat="1">
      <c r="A144" s="241"/>
      <c r="B144" s="242" t="s">
        <v>90</v>
      </c>
      <c r="C144" s="243">
        <v>8011.541666666667</v>
      </c>
      <c r="D144" s="244"/>
      <c r="E144" s="244">
        <v>2038.9166666666665</v>
      </c>
      <c r="F144" s="244"/>
      <c r="G144" s="244">
        <v>1102.2083333333335</v>
      </c>
      <c r="H144" s="244">
        <v>216.5</v>
      </c>
      <c r="I144" s="243">
        <v>11369.166666666668</v>
      </c>
      <c r="J144" s="243"/>
      <c r="K144" s="244">
        <v>0</v>
      </c>
      <c r="L144" s="244">
        <v>0</v>
      </c>
      <c r="M144" s="244">
        <v>0</v>
      </c>
      <c r="N144" s="243">
        <v>0</v>
      </c>
      <c r="O144" s="314"/>
      <c r="P144" s="244"/>
      <c r="Q144" s="243"/>
      <c r="R144" s="243"/>
      <c r="S144" s="243"/>
      <c r="T144" s="312"/>
      <c r="U144" s="312"/>
      <c r="V144" s="312"/>
      <c r="W144" s="312"/>
      <c r="X144" s="312"/>
      <c r="Y144" s="312"/>
      <c r="Z144" s="312"/>
      <c r="AA144" s="360"/>
      <c r="AB144" s="444"/>
      <c r="AC144" s="444"/>
      <c r="AD144" s="444"/>
      <c r="AE144" s="334"/>
    </row>
    <row r="145" spans="1:31" s="73" customFormat="1">
      <c r="A145" s="241"/>
      <c r="B145" s="245" t="s">
        <v>92</v>
      </c>
      <c r="C145" s="253">
        <v>-8.6259307950918172E-4</v>
      </c>
      <c r="D145" s="254">
        <v>0</v>
      </c>
      <c r="E145" s="254">
        <v>-3.4213253071495676E-2</v>
      </c>
      <c r="F145" s="254">
        <v>0</v>
      </c>
      <c r="G145" s="254">
        <v>8.3961645631863854E-2</v>
      </c>
      <c r="H145" s="254">
        <v>6.6283603529653096E-2</v>
      </c>
      <c r="I145" s="253">
        <v>1.7346610986186956E-3</v>
      </c>
      <c r="J145" s="253">
        <v>0</v>
      </c>
      <c r="K145" s="254">
        <v>0</v>
      </c>
      <c r="L145" s="254">
        <v>0</v>
      </c>
      <c r="M145" s="254">
        <v>0</v>
      </c>
      <c r="N145" s="253">
        <v>0</v>
      </c>
      <c r="O145" s="356">
        <v>0</v>
      </c>
      <c r="P145" s="254">
        <v>0</v>
      </c>
      <c r="Q145" s="253">
        <v>0</v>
      </c>
      <c r="R145" s="253">
        <v>0</v>
      </c>
      <c r="S145" s="253">
        <v>0</v>
      </c>
      <c r="T145" s="313">
        <v>0</v>
      </c>
      <c r="U145" s="313">
        <v>0</v>
      </c>
      <c r="V145" s="313">
        <v>0</v>
      </c>
      <c r="W145" s="313">
        <v>0</v>
      </c>
      <c r="X145" s="313">
        <v>0</v>
      </c>
      <c r="Y145" s="313">
        <v>0</v>
      </c>
      <c r="Z145" s="313">
        <v>0</v>
      </c>
      <c r="AA145" s="359">
        <v>0</v>
      </c>
      <c r="AB145" s="445"/>
      <c r="AC145" s="445"/>
      <c r="AD145" s="445"/>
      <c r="AE145" s="334"/>
    </row>
    <row r="146" spans="1:31" s="73" customFormat="1">
      <c r="A146" s="241"/>
      <c r="B146" s="242" t="s">
        <v>8</v>
      </c>
      <c r="C146" s="243">
        <v>47437.758333333331</v>
      </c>
      <c r="D146" s="244"/>
      <c r="E146" s="244">
        <v>20161.662499999999</v>
      </c>
      <c r="F146" s="244"/>
      <c r="G146" s="244">
        <v>16275.333333333334</v>
      </c>
      <c r="H146" s="244">
        <v>12320.842000000001</v>
      </c>
      <c r="I146" s="243">
        <v>96195.59616666667</v>
      </c>
      <c r="J146" s="243"/>
      <c r="K146" s="244">
        <v>57001.922666666665</v>
      </c>
      <c r="L146" s="244">
        <v>16852.201000000001</v>
      </c>
      <c r="M146" s="244">
        <v>8725.2860000000001</v>
      </c>
      <c r="N146" s="243">
        <v>82579.409666666674</v>
      </c>
      <c r="O146" s="314"/>
      <c r="P146" s="244"/>
      <c r="Q146" s="243"/>
      <c r="R146" s="243"/>
      <c r="S146" s="243"/>
      <c r="T146" s="312"/>
      <c r="U146" s="312"/>
      <c r="V146" s="312"/>
      <c r="W146" s="312"/>
      <c r="X146" s="312"/>
      <c r="Y146" s="312"/>
      <c r="Z146" s="312"/>
      <c r="AA146" s="360"/>
      <c r="AB146" s="444"/>
      <c r="AC146" s="444"/>
      <c r="AD146" s="444"/>
      <c r="AE146" s="334"/>
    </row>
    <row r="147" spans="1:31" s="73" customFormat="1">
      <c r="A147" s="241"/>
      <c r="B147" s="242" t="s">
        <v>94</v>
      </c>
      <c r="C147" s="243">
        <v>48597.14166666667</v>
      </c>
      <c r="D147" s="244"/>
      <c r="E147" s="244">
        <v>20227.416666666668</v>
      </c>
      <c r="F147" s="244"/>
      <c r="G147" s="244">
        <v>15833.174999999999</v>
      </c>
      <c r="H147" s="244">
        <v>12233.666666666668</v>
      </c>
      <c r="I147" s="243">
        <v>96891.400000000009</v>
      </c>
      <c r="J147" s="243"/>
      <c r="K147" s="244">
        <v>54844.26666666667</v>
      </c>
      <c r="L147" s="244">
        <v>15909.833333333334</v>
      </c>
      <c r="M147" s="244">
        <v>8241.6666666666679</v>
      </c>
      <c r="N147" s="243">
        <v>78995.766666666677</v>
      </c>
      <c r="O147" s="314"/>
      <c r="P147" s="244"/>
      <c r="Q147" s="243"/>
      <c r="R147" s="243"/>
      <c r="S147" s="243"/>
      <c r="T147" s="312"/>
      <c r="U147" s="312"/>
      <c r="V147" s="312"/>
      <c r="W147" s="312"/>
      <c r="X147" s="312"/>
      <c r="Y147" s="312"/>
      <c r="Z147" s="312"/>
      <c r="AA147" s="360"/>
      <c r="AB147" s="444"/>
      <c r="AC147" s="444"/>
      <c r="AD147" s="444"/>
      <c r="AE147" s="334"/>
    </row>
    <row r="148" spans="1:31" s="73" customFormat="1">
      <c r="A148" s="246"/>
      <c r="B148" s="311" t="s">
        <v>96</v>
      </c>
      <c r="C148" s="253">
        <v>2.4440095275721933E-2</v>
      </c>
      <c r="D148" s="254">
        <v>0</v>
      </c>
      <c r="E148" s="254">
        <v>3.2613464622111067E-3</v>
      </c>
      <c r="F148" s="254">
        <v>0</v>
      </c>
      <c r="G148" s="254">
        <v>-2.7167390324827019E-2</v>
      </c>
      <c r="H148" s="254">
        <v>-7.075436348695379E-3</v>
      </c>
      <c r="I148" s="253">
        <v>7.2332192019251224E-3</v>
      </c>
      <c r="J148" s="253">
        <v>0</v>
      </c>
      <c r="K148" s="254">
        <v>-3.7852337238121619E-2</v>
      </c>
      <c r="L148" s="254">
        <v>-5.5919560101773465E-2</v>
      </c>
      <c r="M148" s="254">
        <v>-5.5427333079205908E-2</v>
      </c>
      <c r="N148" s="253">
        <v>-4.3396326208499827E-2</v>
      </c>
      <c r="O148" s="356">
        <v>0</v>
      </c>
      <c r="P148" s="254">
        <v>0</v>
      </c>
      <c r="Q148" s="253">
        <v>0</v>
      </c>
      <c r="R148" s="253">
        <v>0</v>
      </c>
      <c r="S148" s="253">
        <v>0</v>
      </c>
      <c r="T148" s="313">
        <v>0</v>
      </c>
      <c r="U148" s="313">
        <v>0</v>
      </c>
      <c r="V148" s="313">
        <v>0</v>
      </c>
      <c r="W148" s="313">
        <v>0</v>
      </c>
      <c r="X148" s="313">
        <v>0</v>
      </c>
      <c r="Y148" s="313">
        <v>0</v>
      </c>
      <c r="Z148" s="313">
        <v>0</v>
      </c>
      <c r="AA148" s="359">
        <v>0</v>
      </c>
      <c r="AB148" s="445"/>
      <c r="AC148" s="445"/>
      <c r="AD148" s="445"/>
      <c r="AE148" s="334"/>
    </row>
    <row r="149" spans="1:31" s="73" customFormat="1">
      <c r="A149" s="342" t="s">
        <v>276</v>
      </c>
      <c r="B149" s="340" t="s">
        <v>86</v>
      </c>
      <c r="C149" s="337">
        <v>34465.566666666666</v>
      </c>
      <c r="D149" s="341">
        <v>6034.166666666667</v>
      </c>
      <c r="E149" s="341">
        <v>57887.23333333333</v>
      </c>
      <c r="F149" s="341"/>
      <c r="G149" s="341">
        <v>6755.8</v>
      </c>
      <c r="H149" s="341"/>
      <c r="I149" s="337">
        <v>105142.76666666666</v>
      </c>
      <c r="J149" s="337"/>
      <c r="K149" s="341">
        <v>34985.633333333331</v>
      </c>
      <c r="L149" s="341">
        <v>28006.433333333327</v>
      </c>
      <c r="M149" s="341"/>
      <c r="N149" s="337">
        <v>62992.066666666658</v>
      </c>
      <c r="O149" s="337"/>
      <c r="P149" s="341"/>
      <c r="Q149" s="337">
        <v>0</v>
      </c>
      <c r="R149" s="337">
        <v>0</v>
      </c>
      <c r="S149" s="337">
        <v>0</v>
      </c>
      <c r="T149" s="349"/>
      <c r="U149" s="349"/>
      <c r="V149" s="349"/>
      <c r="W149" s="349"/>
      <c r="X149" s="349"/>
      <c r="Y149" s="349"/>
      <c r="Z149" s="349"/>
      <c r="AA149" s="357"/>
      <c r="AB149" s="444"/>
      <c r="AC149" s="444"/>
      <c r="AD149" s="444"/>
      <c r="AE149" s="334"/>
    </row>
    <row r="150" spans="1:31" s="73" customFormat="1">
      <c r="A150" s="241"/>
      <c r="B150" s="242" t="s">
        <v>84</v>
      </c>
      <c r="C150" s="243">
        <v>33818.533333333333</v>
      </c>
      <c r="D150" s="244">
        <v>5968.0666666666666</v>
      </c>
      <c r="E150" s="244">
        <v>56439.7</v>
      </c>
      <c r="F150" s="244"/>
      <c r="G150" s="244">
        <v>6596.6</v>
      </c>
      <c r="H150" s="244"/>
      <c r="I150" s="243">
        <v>102822.9</v>
      </c>
      <c r="J150" s="243"/>
      <c r="K150" s="244">
        <v>33433.866666666669</v>
      </c>
      <c r="L150" s="244">
        <v>26602</v>
      </c>
      <c r="M150" s="244"/>
      <c r="N150" s="243">
        <v>60035.866666666669</v>
      </c>
      <c r="O150" s="243"/>
      <c r="P150" s="244"/>
      <c r="Q150" s="243">
        <v>0</v>
      </c>
      <c r="R150" s="243">
        <v>0</v>
      </c>
      <c r="S150" s="243">
        <v>0</v>
      </c>
      <c r="T150" s="312"/>
      <c r="U150" s="312"/>
      <c r="V150" s="312"/>
      <c r="W150" s="312"/>
      <c r="X150" s="312"/>
      <c r="Y150" s="312"/>
      <c r="Z150" s="312"/>
      <c r="AA150" s="358"/>
      <c r="AB150" s="444"/>
      <c r="AC150" s="444"/>
      <c r="AD150" s="444"/>
      <c r="AE150" s="334"/>
    </row>
    <row r="151" spans="1:31" s="73" customFormat="1">
      <c r="A151" s="241"/>
      <c r="B151" s="245" t="s">
        <v>98</v>
      </c>
      <c r="C151" s="253">
        <v>-1.8773326421442839E-2</v>
      </c>
      <c r="D151" s="254">
        <v>-1.0954288081756722E-2</v>
      </c>
      <c r="E151" s="254">
        <v>-2.5006089425590093E-2</v>
      </c>
      <c r="F151" s="254">
        <v>0</v>
      </c>
      <c r="G151" s="254">
        <v>-2.3564936795050152E-2</v>
      </c>
      <c r="H151" s="254">
        <v>0</v>
      </c>
      <c r="I151" s="253">
        <v>-2.2063968261566907E-2</v>
      </c>
      <c r="J151" s="253">
        <v>0</v>
      </c>
      <c r="K151" s="254">
        <v>-4.4354396900060773E-2</v>
      </c>
      <c r="L151" s="254">
        <v>-5.0146811506403668E-2</v>
      </c>
      <c r="M151" s="254">
        <v>0</v>
      </c>
      <c r="N151" s="253">
        <v>-4.692971919215197E-2</v>
      </c>
      <c r="O151" s="356">
        <v>0</v>
      </c>
      <c r="P151" s="254">
        <v>0</v>
      </c>
      <c r="Q151" s="253">
        <v>0</v>
      </c>
      <c r="R151" s="253">
        <v>0</v>
      </c>
      <c r="S151" s="253">
        <v>0</v>
      </c>
      <c r="T151" s="313">
        <v>0</v>
      </c>
      <c r="U151" s="313">
        <v>0</v>
      </c>
      <c r="V151" s="313">
        <v>0</v>
      </c>
      <c r="W151" s="313">
        <v>0</v>
      </c>
      <c r="X151" s="313">
        <v>0</v>
      </c>
      <c r="Y151" s="313">
        <v>0</v>
      </c>
      <c r="Z151" s="313">
        <v>0</v>
      </c>
      <c r="AA151" s="359">
        <v>0</v>
      </c>
      <c r="AB151" s="445"/>
      <c r="AC151" s="445"/>
      <c r="AD151" s="445"/>
      <c r="AE151" s="334"/>
    </row>
    <row r="152" spans="1:31" s="73" customFormat="1">
      <c r="A152" s="241"/>
      <c r="B152" s="242" t="s">
        <v>82</v>
      </c>
      <c r="C152" s="243">
        <v>0</v>
      </c>
      <c r="D152" s="244">
        <v>0</v>
      </c>
      <c r="E152" s="244">
        <v>0</v>
      </c>
      <c r="F152" s="244"/>
      <c r="G152" s="244">
        <v>0</v>
      </c>
      <c r="H152" s="244"/>
      <c r="I152" s="243">
        <v>0</v>
      </c>
      <c r="J152" s="243"/>
      <c r="K152" s="244">
        <v>0</v>
      </c>
      <c r="L152" s="244">
        <v>0</v>
      </c>
      <c r="M152" s="244"/>
      <c r="N152" s="243">
        <v>0</v>
      </c>
      <c r="O152" s="314"/>
      <c r="P152" s="244"/>
      <c r="Q152" s="243">
        <v>1041.53</v>
      </c>
      <c r="R152" s="243">
        <v>10292.814444444444</v>
      </c>
      <c r="S152" s="243">
        <v>11334.344444444445</v>
      </c>
      <c r="T152" s="312"/>
      <c r="U152" s="312"/>
      <c r="V152" s="312"/>
      <c r="W152" s="312"/>
      <c r="X152" s="312"/>
      <c r="Y152" s="312"/>
      <c r="Z152" s="312"/>
      <c r="AA152" s="360"/>
      <c r="AB152" s="444"/>
      <c r="AC152" s="444"/>
      <c r="AD152" s="444"/>
      <c r="AE152" s="334"/>
    </row>
    <row r="153" spans="1:31" s="73" customFormat="1">
      <c r="A153" s="241"/>
      <c r="B153" s="242" t="s">
        <v>80</v>
      </c>
      <c r="C153" s="243">
        <v>0</v>
      </c>
      <c r="D153" s="244">
        <v>0</v>
      </c>
      <c r="E153" s="244">
        <v>0</v>
      </c>
      <c r="F153" s="244"/>
      <c r="G153" s="244">
        <v>0</v>
      </c>
      <c r="H153" s="244"/>
      <c r="I153" s="243">
        <v>0</v>
      </c>
      <c r="J153" s="243"/>
      <c r="K153" s="244">
        <v>0</v>
      </c>
      <c r="L153" s="244">
        <v>0</v>
      </c>
      <c r="M153" s="244"/>
      <c r="N153" s="243">
        <v>0</v>
      </c>
      <c r="O153" s="314"/>
      <c r="P153" s="244"/>
      <c r="Q153" s="243">
        <v>1086.5322222222221</v>
      </c>
      <c r="R153" s="243">
        <v>10238.063333333332</v>
      </c>
      <c r="S153" s="243">
        <v>11324.595555555554</v>
      </c>
      <c r="T153" s="312"/>
      <c r="U153" s="312"/>
      <c r="V153" s="312"/>
      <c r="W153" s="312"/>
      <c r="X153" s="312"/>
      <c r="Y153" s="312"/>
      <c r="Z153" s="312"/>
      <c r="AA153" s="360"/>
      <c r="AB153" s="444"/>
      <c r="AC153" s="444"/>
      <c r="AD153" s="444"/>
      <c r="AE153" s="334"/>
    </row>
    <row r="154" spans="1:31" s="73" customFormat="1">
      <c r="A154" s="241"/>
      <c r="B154" s="245" t="s">
        <v>100</v>
      </c>
      <c r="C154" s="253">
        <v>0</v>
      </c>
      <c r="D154" s="254">
        <v>0</v>
      </c>
      <c r="E154" s="254">
        <v>0</v>
      </c>
      <c r="F154" s="254">
        <v>0</v>
      </c>
      <c r="G154" s="254">
        <v>0</v>
      </c>
      <c r="H154" s="254">
        <v>0</v>
      </c>
      <c r="I154" s="253">
        <v>0</v>
      </c>
      <c r="J154" s="253">
        <v>0</v>
      </c>
      <c r="K154" s="254">
        <v>0</v>
      </c>
      <c r="L154" s="254">
        <v>0</v>
      </c>
      <c r="M154" s="254">
        <v>0</v>
      </c>
      <c r="N154" s="253">
        <v>0</v>
      </c>
      <c r="O154" s="356">
        <v>0</v>
      </c>
      <c r="P154" s="254">
        <v>0</v>
      </c>
      <c r="Q154" s="253">
        <v>4.3207802196981504E-2</v>
      </c>
      <c r="R154" s="253">
        <v>-5.3193527782543978E-3</v>
      </c>
      <c r="S154" s="253">
        <v>-8.6011934229384497E-4</v>
      </c>
      <c r="T154" s="313">
        <v>0</v>
      </c>
      <c r="U154" s="313">
        <v>0</v>
      </c>
      <c r="V154" s="313">
        <v>0</v>
      </c>
      <c r="W154" s="313">
        <v>0</v>
      </c>
      <c r="X154" s="313">
        <v>0</v>
      </c>
      <c r="Y154" s="313">
        <v>0</v>
      </c>
      <c r="Z154" s="313">
        <v>0</v>
      </c>
      <c r="AA154" s="359">
        <v>0</v>
      </c>
      <c r="AB154" s="445"/>
      <c r="AC154" s="445"/>
      <c r="AD154" s="445"/>
      <c r="AE154" s="334"/>
    </row>
    <row r="155" spans="1:31" s="73" customFormat="1">
      <c r="A155" s="241"/>
      <c r="B155" s="242" t="s">
        <v>88</v>
      </c>
      <c r="C155" s="243">
        <v>8463.375</v>
      </c>
      <c r="D155" s="244">
        <v>1462.0833333333333</v>
      </c>
      <c r="E155" s="244">
        <v>6419.1250000000009</v>
      </c>
      <c r="F155" s="244"/>
      <c r="G155" s="244">
        <v>283.04166666666669</v>
      </c>
      <c r="H155" s="244"/>
      <c r="I155" s="243">
        <v>16627.625000000004</v>
      </c>
      <c r="J155" s="243"/>
      <c r="K155" s="244">
        <v>0</v>
      </c>
      <c r="L155" s="244">
        <v>0</v>
      </c>
      <c r="M155" s="244"/>
      <c r="N155" s="243">
        <v>0</v>
      </c>
      <c r="O155" s="314"/>
      <c r="P155" s="244"/>
      <c r="Q155" s="243">
        <v>0</v>
      </c>
      <c r="R155" s="243">
        <v>0</v>
      </c>
      <c r="S155" s="243">
        <v>0</v>
      </c>
      <c r="T155" s="312"/>
      <c r="U155" s="312"/>
      <c r="V155" s="312"/>
      <c r="W155" s="312"/>
      <c r="X155" s="312"/>
      <c r="Y155" s="312"/>
      <c r="Z155" s="312"/>
      <c r="AA155" s="360"/>
      <c r="AB155" s="444"/>
      <c r="AC155" s="444"/>
      <c r="AD155" s="444"/>
      <c r="AE155" s="334"/>
    </row>
    <row r="156" spans="1:31" s="73" customFormat="1">
      <c r="A156" s="241"/>
      <c r="B156" s="242" t="s">
        <v>90</v>
      </c>
      <c r="C156" s="243">
        <v>8120.583333333333</v>
      </c>
      <c r="D156" s="244">
        <v>1527.9166666666667</v>
      </c>
      <c r="E156" s="244">
        <v>6369.2916666666661</v>
      </c>
      <c r="F156" s="244"/>
      <c r="G156" s="244">
        <v>284.25</v>
      </c>
      <c r="H156" s="244"/>
      <c r="I156" s="243">
        <v>16302.041666666666</v>
      </c>
      <c r="J156" s="243"/>
      <c r="K156" s="244">
        <v>0</v>
      </c>
      <c r="L156" s="244">
        <v>0</v>
      </c>
      <c r="M156" s="244"/>
      <c r="N156" s="243">
        <v>0</v>
      </c>
      <c r="O156" s="314"/>
      <c r="P156" s="244"/>
      <c r="Q156" s="243">
        <v>0</v>
      </c>
      <c r="R156" s="243">
        <v>0</v>
      </c>
      <c r="S156" s="243">
        <v>0</v>
      </c>
      <c r="T156" s="312"/>
      <c r="U156" s="312"/>
      <c r="V156" s="312"/>
      <c r="W156" s="312"/>
      <c r="X156" s="312"/>
      <c r="Y156" s="312"/>
      <c r="Z156" s="312"/>
      <c r="AA156" s="360"/>
      <c r="AB156" s="444"/>
      <c r="AC156" s="444"/>
      <c r="AD156" s="444"/>
      <c r="AE156" s="334"/>
    </row>
    <row r="157" spans="1:31" s="73" customFormat="1">
      <c r="A157" s="241"/>
      <c r="B157" s="245" t="s">
        <v>92</v>
      </c>
      <c r="C157" s="253">
        <v>-4.0502951442736142E-2</v>
      </c>
      <c r="D157" s="254">
        <v>4.5027073240239489E-2</v>
      </c>
      <c r="E157" s="254">
        <v>-7.7632595304398715E-3</v>
      </c>
      <c r="F157" s="254">
        <v>0</v>
      </c>
      <c r="G157" s="254">
        <v>4.2691005446782778E-3</v>
      </c>
      <c r="H157" s="254">
        <v>0</v>
      </c>
      <c r="I157" s="253">
        <v>-1.9580868183720401E-2</v>
      </c>
      <c r="J157" s="253">
        <v>0</v>
      </c>
      <c r="K157" s="254">
        <v>0</v>
      </c>
      <c r="L157" s="254">
        <v>0</v>
      </c>
      <c r="M157" s="254">
        <v>0</v>
      </c>
      <c r="N157" s="253">
        <v>0</v>
      </c>
      <c r="O157" s="356">
        <v>0</v>
      </c>
      <c r="P157" s="254">
        <v>0</v>
      </c>
      <c r="Q157" s="253">
        <v>0</v>
      </c>
      <c r="R157" s="253">
        <v>0</v>
      </c>
      <c r="S157" s="253">
        <v>0</v>
      </c>
      <c r="T157" s="313">
        <v>0</v>
      </c>
      <c r="U157" s="313">
        <v>0</v>
      </c>
      <c r="V157" s="313">
        <v>0</v>
      </c>
      <c r="W157" s="313">
        <v>0</v>
      </c>
      <c r="X157" s="313">
        <v>0</v>
      </c>
      <c r="Y157" s="313">
        <v>0</v>
      </c>
      <c r="Z157" s="313">
        <v>0</v>
      </c>
      <c r="AA157" s="359">
        <v>0</v>
      </c>
      <c r="AB157" s="445"/>
      <c r="AC157" s="445"/>
      <c r="AD157" s="445"/>
      <c r="AE157" s="334"/>
    </row>
    <row r="158" spans="1:31" s="73" customFormat="1">
      <c r="A158" s="241"/>
      <c r="B158" s="242" t="s">
        <v>8</v>
      </c>
      <c r="C158" s="243">
        <v>42928.941666666666</v>
      </c>
      <c r="D158" s="244">
        <v>7496.25</v>
      </c>
      <c r="E158" s="244">
        <v>64306.358333333323</v>
      </c>
      <c r="F158" s="244"/>
      <c r="G158" s="244">
        <v>7038.8416666666672</v>
      </c>
      <c r="H158" s="244"/>
      <c r="I158" s="243">
        <v>121770.39166666666</v>
      </c>
      <c r="J158" s="243"/>
      <c r="K158" s="244">
        <v>34985.633333333331</v>
      </c>
      <c r="L158" s="244">
        <v>28006.433333333327</v>
      </c>
      <c r="M158" s="244"/>
      <c r="N158" s="243">
        <v>62992.066666666658</v>
      </c>
      <c r="O158" s="314"/>
      <c r="P158" s="244"/>
      <c r="Q158" s="243">
        <v>1041.53</v>
      </c>
      <c r="R158" s="243">
        <v>10292.814444444444</v>
      </c>
      <c r="S158" s="243">
        <v>11334.344444444445</v>
      </c>
      <c r="T158" s="312"/>
      <c r="U158" s="312"/>
      <c r="V158" s="312"/>
      <c r="W158" s="312"/>
      <c r="X158" s="312"/>
      <c r="Y158" s="312"/>
      <c r="Z158" s="312"/>
      <c r="AA158" s="360"/>
      <c r="AB158" s="444"/>
      <c r="AC158" s="444"/>
      <c r="AD158" s="444"/>
      <c r="AE158" s="334"/>
    </row>
    <row r="159" spans="1:31" s="73" customFormat="1">
      <c r="A159" s="241"/>
      <c r="B159" s="242" t="s">
        <v>94</v>
      </c>
      <c r="C159" s="243">
        <v>41939.116666666669</v>
      </c>
      <c r="D159" s="244">
        <v>7495.9833333333336</v>
      </c>
      <c r="E159" s="244">
        <v>62808.991666666669</v>
      </c>
      <c r="F159" s="244"/>
      <c r="G159" s="244">
        <v>6880.85</v>
      </c>
      <c r="H159" s="244"/>
      <c r="I159" s="243">
        <v>119124.94166666668</v>
      </c>
      <c r="J159" s="243"/>
      <c r="K159" s="244">
        <v>33433.866666666669</v>
      </c>
      <c r="L159" s="244">
        <v>26602</v>
      </c>
      <c r="M159" s="244"/>
      <c r="N159" s="243">
        <v>60035.866666666669</v>
      </c>
      <c r="O159" s="314"/>
      <c r="P159" s="244"/>
      <c r="Q159" s="243">
        <v>1086.5322222222221</v>
      </c>
      <c r="R159" s="243">
        <v>10238.063333333332</v>
      </c>
      <c r="S159" s="243">
        <v>11324.595555555554</v>
      </c>
      <c r="T159" s="312"/>
      <c r="U159" s="312"/>
      <c r="V159" s="312"/>
      <c r="W159" s="312"/>
      <c r="X159" s="312"/>
      <c r="Y159" s="312"/>
      <c r="Z159" s="312"/>
      <c r="AA159" s="360"/>
      <c r="AB159" s="444"/>
      <c r="AC159" s="444"/>
      <c r="AD159" s="444"/>
      <c r="AE159" s="334"/>
    </row>
    <row r="160" spans="1:31" s="73" customFormat="1">
      <c r="A160" s="246"/>
      <c r="B160" s="311" t="s">
        <v>96</v>
      </c>
      <c r="C160" s="253">
        <v>-2.305728866287364E-2</v>
      </c>
      <c r="D160" s="254">
        <v>-3.5573342226636535E-5</v>
      </c>
      <c r="E160" s="254">
        <v>-2.3284892901336805E-2</v>
      </c>
      <c r="F160" s="254">
        <v>0</v>
      </c>
      <c r="G160" s="254">
        <v>-2.2445691229972749E-2</v>
      </c>
      <c r="H160" s="254">
        <v>0</v>
      </c>
      <c r="I160" s="253">
        <v>-2.1724903433353628E-2</v>
      </c>
      <c r="J160" s="253">
        <v>0</v>
      </c>
      <c r="K160" s="254">
        <v>-4.4354396900060773E-2</v>
      </c>
      <c r="L160" s="254">
        <v>-5.0146811506403668E-2</v>
      </c>
      <c r="M160" s="254">
        <v>0</v>
      </c>
      <c r="N160" s="253">
        <v>-4.692971919215197E-2</v>
      </c>
      <c r="O160" s="356">
        <v>0</v>
      </c>
      <c r="P160" s="254">
        <v>0</v>
      </c>
      <c r="Q160" s="253">
        <v>4.3207802196981504E-2</v>
      </c>
      <c r="R160" s="253">
        <v>-5.3193527782543978E-3</v>
      </c>
      <c r="S160" s="253">
        <v>-8.6011934229384497E-4</v>
      </c>
      <c r="T160" s="313">
        <v>0</v>
      </c>
      <c r="U160" s="313">
        <v>0</v>
      </c>
      <c r="V160" s="313">
        <v>0</v>
      </c>
      <c r="W160" s="313">
        <v>0</v>
      </c>
      <c r="X160" s="313">
        <v>0</v>
      </c>
      <c r="Y160" s="313">
        <v>0</v>
      </c>
      <c r="Z160" s="313">
        <v>0</v>
      </c>
      <c r="AA160" s="359">
        <v>0</v>
      </c>
      <c r="AB160" s="445"/>
      <c r="AC160" s="445"/>
      <c r="AD160" s="445"/>
      <c r="AE160" s="334"/>
    </row>
    <row r="161" spans="1:37" s="73" customFormat="1">
      <c r="A161" s="342" t="s">
        <v>273</v>
      </c>
      <c r="B161" s="340" t="s">
        <v>86</v>
      </c>
      <c r="C161" s="337">
        <v>178739.6</v>
      </c>
      <c r="D161" s="341">
        <v>44336.4</v>
      </c>
      <c r="E161" s="341">
        <v>144902.46666666667</v>
      </c>
      <c r="F161" s="341">
        <v>4268.6333333333332</v>
      </c>
      <c r="G161" s="341">
        <v>11772.633333333333</v>
      </c>
      <c r="H161" s="341">
        <v>1800.5</v>
      </c>
      <c r="I161" s="337">
        <v>385820.2333333334</v>
      </c>
      <c r="J161" s="337">
        <v>24786.933333333334</v>
      </c>
      <c r="K161" s="341">
        <v>365243.16666666663</v>
      </c>
      <c r="L161" s="341">
        <v>77561.766666666677</v>
      </c>
      <c r="M161" s="341">
        <v>11588.999999999998</v>
      </c>
      <c r="N161" s="337">
        <v>479180.86666666664</v>
      </c>
      <c r="O161" s="337">
        <v>84227</v>
      </c>
      <c r="P161" s="341">
        <v>84227</v>
      </c>
      <c r="Q161" s="337"/>
      <c r="R161" s="337"/>
      <c r="S161" s="337"/>
      <c r="T161" s="349">
        <v>1112.4333333333334</v>
      </c>
      <c r="U161" s="349">
        <v>1112.4333333333334</v>
      </c>
      <c r="V161" s="349">
        <v>73015.733333333337</v>
      </c>
      <c r="W161" s="349">
        <v>73015.733333333337</v>
      </c>
      <c r="X161" s="349">
        <v>10778</v>
      </c>
      <c r="Y161" s="349">
        <v>10778</v>
      </c>
      <c r="Z161" s="349">
        <v>433.26666666666665</v>
      </c>
      <c r="AA161" s="357">
        <v>433.26666666666665</v>
      </c>
      <c r="AB161" s="444"/>
      <c r="AC161" s="444"/>
      <c r="AD161" s="444"/>
      <c r="AE161" s="334"/>
    </row>
    <row r="162" spans="1:37" s="73" customFormat="1">
      <c r="A162" s="241"/>
      <c r="B162" s="242" t="s">
        <v>84</v>
      </c>
      <c r="C162" s="243">
        <v>180603.53333333333</v>
      </c>
      <c r="D162" s="244">
        <v>43889.666666666672</v>
      </c>
      <c r="E162" s="244">
        <v>148460.83333333334</v>
      </c>
      <c r="F162" s="244">
        <v>4399.9333333333343</v>
      </c>
      <c r="G162" s="244">
        <v>11750.1</v>
      </c>
      <c r="H162" s="244">
        <v>1860.5</v>
      </c>
      <c r="I162" s="243">
        <v>390964.56666666665</v>
      </c>
      <c r="J162" s="243">
        <v>25198.400000000001</v>
      </c>
      <c r="K162" s="244">
        <v>355578.03333333338</v>
      </c>
      <c r="L162" s="244">
        <v>76130.3</v>
      </c>
      <c r="M162" s="244">
        <v>11712.300000000001</v>
      </c>
      <c r="N162" s="243">
        <v>468619.03333333338</v>
      </c>
      <c r="O162" s="243">
        <v>82783.733333333337</v>
      </c>
      <c r="P162" s="244">
        <v>82783.733333333337</v>
      </c>
      <c r="Q162" s="243"/>
      <c r="R162" s="243"/>
      <c r="S162" s="243"/>
      <c r="T162" s="312">
        <v>1139</v>
      </c>
      <c r="U162" s="312">
        <v>1139</v>
      </c>
      <c r="V162" s="312">
        <v>71863.666666666657</v>
      </c>
      <c r="W162" s="312">
        <v>71863.666666666657</v>
      </c>
      <c r="X162" s="312">
        <v>10430.233333333334</v>
      </c>
      <c r="Y162" s="312">
        <v>10430.233333333334</v>
      </c>
      <c r="Z162" s="312">
        <v>489.83333333333337</v>
      </c>
      <c r="AA162" s="358">
        <v>489.83333333333337</v>
      </c>
      <c r="AB162" s="444"/>
      <c r="AC162" s="444"/>
      <c r="AD162" s="444"/>
      <c r="AE162" s="334"/>
    </row>
    <row r="163" spans="1:37" s="73" customFormat="1">
      <c r="A163" s="241"/>
      <c r="B163" s="245" t="s">
        <v>98</v>
      </c>
      <c r="C163" s="253">
        <v>1.0428205799572784E-2</v>
      </c>
      <c r="D163" s="254">
        <v>-1.0075994743220693E-2</v>
      </c>
      <c r="E163" s="254">
        <v>2.4556977866031279E-2</v>
      </c>
      <c r="F163" s="254">
        <v>3.0759259403868786E-2</v>
      </c>
      <c r="G163" s="254">
        <v>-1.9140435869629436E-3</v>
      </c>
      <c r="H163" s="254">
        <v>3.3324076645376281E-2</v>
      </c>
      <c r="I163" s="253">
        <v>1.3333498061748699E-2</v>
      </c>
      <c r="J163" s="253">
        <v>1.6600144161977835E-2</v>
      </c>
      <c r="K163" s="254">
        <v>-2.646218797613803E-2</v>
      </c>
      <c r="L163" s="254">
        <v>-1.8455828537514072E-2</v>
      </c>
      <c r="M163" s="254">
        <v>1.0639399430494688E-2</v>
      </c>
      <c r="N163" s="253">
        <v>-2.2041433763423619E-2</v>
      </c>
      <c r="O163" s="356">
        <v>-1.7135439546305375E-2</v>
      </c>
      <c r="P163" s="254">
        <v>-1.7135439546305375E-2</v>
      </c>
      <c r="Q163" s="253">
        <v>0</v>
      </c>
      <c r="R163" s="253">
        <v>0</v>
      </c>
      <c r="S163" s="253">
        <v>0</v>
      </c>
      <c r="T163" s="313">
        <v>2.3881580918706683E-2</v>
      </c>
      <c r="U163" s="313">
        <v>2.3881580918706683E-2</v>
      </c>
      <c r="V163" s="313">
        <v>-1.5778334532466246E-2</v>
      </c>
      <c r="W163" s="313">
        <v>-1.5778334532466246E-2</v>
      </c>
      <c r="X163" s="313">
        <v>-3.2266345023813918E-2</v>
      </c>
      <c r="Y163" s="313">
        <v>-3.2266345023813918E-2</v>
      </c>
      <c r="Z163" s="313">
        <v>0.13055854746884149</v>
      </c>
      <c r="AA163" s="359">
        <v>0.13055854746884149</v>
      </c>
      <c r="AB163" s="445"/>
      <c r="AC163" s="445"/>
      <c r="AD163" s="445"/>
      <c r="AE163" s="334"/>
    </row>
    <row r="164" spans="1:37" s="73" customFormat="1">
      <c r="A164" s="241"/>
      <c r="B164" s="242" t="s">
        <v>82</v>
      </c>
      <c r="C164" s="243">
        <v>0</v>
      </c>
      <c r="D164" s="244">
        <v>0</v>
      </c>
      <c r="E164" s="244">
        <v>0</v>
      </c>
      <c r="F164" s="244">
        <v>0</v>
      </c>
      <c r="G164" s="244">
        <v>0</v>
      </c>
      <c r="H164" s="244">
        <v>0</v>
      </c>
      <c r="I164" s="243">
        <v>0</v>
      </c>
      <c r="J164" s="243">
        <v>700.74333333333334</v>
      </c>
      <c r="K164" s="244">
        <v>13315.422222222216</v>
      </c>
      <c r="L164" s="244">
        <v>4539.9011111111122</v>
      </c>
      <c r="M164" s="244">
        <v>469.93111111111108</v>
      </c>
      <c r="N164" s="243">
        <v>19025.997777777775</v>
      </c>
      <c r="O164" s="314">
        <v>4866.2666666666664</v>
      </c>
      <c r="P164" s="244">
        <v>4866.2666666666664</v>
      </c>
      <c r="Q164" s="243"/>
      <c r="R164" s="243"/>
      <c r="S164" s="243"/>
      <c r="T164" s="312">
        <v>0</v>
      </c>
      <c r="U164" s="312">
        <v>0</v>
      </c>
      <c r="V164" s="312">
        <v>3753.7722222222219</v>
      </c>
      <c r="W164" s="312">
        <v>3753.7722222222219</v>
      </c>
      <c r="X164" s="312">
        <v>1062.8766666666666</v>
      </c>
      <c r="Y164" s="312">
        <v>1062.8766666666666</v>
      </c>
      <c r="Z164" s="312">
        <v>49.617777777777775</v>
      </c>
      <c r="AA164" s="360">
        <v>49.617777777777775</v>
      </c>
      <c r="AB164" s="444"/>
      <c r="AC164" s="444"/>
      <c r="AD164" s="444"/>
      <c r="AE164" s="334"/>
    </row>
    <row r="165" spans="1:37" s="73" customFormat="1">
      <c r="A165" s="241"/>
      <c r="B165" s="242" t="s">
        <v>80</v>
      </c>
      <c r="C165" s="243">
        <v>0</v>
      </c>
      <c r="D165" s="244">
        <v>0</v>
      </c>
      <c r="E165" s="244">
        <v>0</v>
      </c>
      <c r="F165" s="244">
        <v>0</v>
      </c>
      <c r="G165" s="244">
        <v>0</v>
      </c>
      <c r="H165" s="244">
        <v>0</v>
      </c>
      <c r="I165" s="243">
        <v>0</v>
      </c>
      <c r="J165" s="243">
        <v>1054.4877777777779</v>
      </c>
      <c r="K165" s="244">
        <v>13205.86222222222</v>
      </c>
      <c r="L165" s="244">
        <v>4433.9488888888882</v>
      </c>
      <c r="M165" s="244">
        <v>452.97333333333336</v>
      </c>
      <c r="N165" s="243">
        <v>19147.272222222222</v>
      </c>
      <c r="O165" s="314">
        <v>4858.4288888888887</v>
      </c>
      <c r="P165" s="244">
        <v>4858.4288888888887</v>
      </c>
      <c r="Q165" s="243"/>
      <c r="R165" s="243"/>
      <c r="S165" s="243"/>
      <c r="T165" s="312">
        <v>0</v>
      </c>
      <c r="U165" s="312">
        <v>0</v>
      </c>
      <c r="V165" s="312">
        <v>3759.8944444444442</v>
      </c>
      <c r="W165" s="312">
        <v>3759.8944444444442</v>
      </c>
      <c r="X165" s="312">
        <v>1032.3477777777778</v>
      </c>
      <c r="Y165" s="312">
        <v>1032.3477777777778</v>
      </c>
      <c r="Z165" s="312">
        <v>66.186666666666667</v>
      </c>
      <c r="AA165" s="360">
        <v>66.186666666666667</v>
      </c>
      <c r="AB165" s="444"/>
      <c r="AC165" s="444"/>
      <c r="AD165" s="444"/>
      <c r="AE165" s="334"/>
    </row>
    <row r="166" spans="1:37" s="73" customFormat="1">
      <c r="A166" s="241"/>
      <c r="B166" s="245" t="s">
        <v>100</v>
      </c>
      <c r="C166" s="253">
        <v>0</v>
      </c>
      <c r="D166" s="254">
        <v>0</v>
      </c>
      <c r="E166" s="254">
        <v>0</v>
      </c>
      <c r="F166" s="254">
        <v>0</v>
      </c>
      <c r="G166" s="254">
        <v>0</v>
      </c>
      <c r="H166" s="254">
        <v>0</v>
      </c>
      <c r="I166" s="253">
        <v>0</v>
      </c>
      <c r="J166" s="509">
        <v>0.50481314286892187</v>
      </c>
      <c r="K166" s="254">
        <v>-8.2280530178870537E-3</v>
      </c>
      <c r="L166" s="254">
        <v>-2.3338002222760501E-2</v>
      </c>
      <c r="M166" s="254">
        <v>-3.6085667402787056E-2</v>
      </c>
      <c r="N166" s="253">
        <v>6.3741437301178278E-3</v>
      </c>
      <c r="O166" s="356">
        <v>-1.6106346640363128E-3</v>
      </c>
      <c r="P166" s="254">
        <v>-1.6106346640363128E-3</v>
      </c>
      <c r="Q166" s="253">
        <v>0</v>
      </c>
      <c r="R166" s="253">
        <v>0</v>
      </c>
      <c r="S166" s="253">
        <v>0</v>
      </c>
      <c r="T166" s="313">
        <v>0</v>
      </c>
      <c r="U166" s="313">
        <v>0</v>
      </c>
      <c r="V166" s="313">
        <v>1.6309519757162904E-3</v>
      </c>
      <c r="W166" s="313">
        <v>1.6309519757162904E-3</v>
      </c>
      <c r="X166" s="313">
        <v>-2.8722889349553374E-2</v>
      </c>
      <c r="Y166" s="313">
        <v>-2.8722889349553374E-2</v>
      </c>
      <c r="Z166" s="313">
        <v>0.33393049086348986</v>
      </c>
      <c r="AA166" s="359">
        <v>0.33393049086348986</v>
      </c>
      <c r="AB166" s="445"/>
      <c r="AC166" s="445"/>
      <c r="AD166" s="445"/>
      <c r="AE166" s="334"/>
    </row>
    <row r="167" spans="1:37" s="73" customFormat="1">
      <c r="A167" s="241"/>
      <c r="B167" s="242" t="s">
        <v>88</v>
      </c>
      <c r="C167" s="243">
        <v>46131.041666666664</v>
      </c>
      <c r="D167" s="244">
        <v>9504.1666666666679</v>
      </c>
      <c r="E167" s="244">
        <v>28472.75</v>
      </c>
      <c r="F167" s="244">
        <v>1871.7083333333333</v>
      </c>
      <c r="G167" s="244">
        <v>933.58333333333337</v>
      </c>
      <c r="H167" s="244">
        <v>62</v>
      </c>
      <c r="I167" s="243">
        <v>86975.249999999985</v>
      </c>
      <c r="J167" s="243">
        <v>0</v>
      </c>
      <c r="K167" s="244">
        <v>0</v>
      </c>
      <c r="L167" s="244">
        <v>0</v>
      </c>
      <c r="M167" s="244">
        <v>0</v>
      </c>
      <c r="N167" s="243">
        <v>0</v>
      </c>
      <c r="O167" s="314">
        <v>0</v>
      </c>
      <c r="P167" s="244">
        <v>0</v>
      </c>
      <c r="Q167" s="243"/>
      <c r="R167" s="243"/>
      <c r="S167" s="243"/>
      <c r="T167" s="312">
        <v>172.875</v>
      </c>
      <c r="U167" s="312">
        <v>172.875</v>
      </c>
      <c r="V167" s="312">
        <v>0</v>
      </c>
      <c r="W167" s="312">
        <v>0</v>
      </c>
      <c r="X167" s="312">
        <v>0</v>
      </c>
      <c r="Y167" s="312">
        <v>0</v>
      </c>
      <c r="Z167" s="312">
        <v>0</v>
      </c>
      <c r="AA167" s="360">
        <v>0</v>
      </c>
      <c r="AB167" s="444"/>
      <c r="AC167" s="444"/>
      <c r="AD167" s="444"/>
      <c r="AE167" s="334"/>
    </row>
    <row r="168" spans="1:37" s="73" customFormat="1">
      <c r="A168" s="241"/>
      <c r="B168" s="242" t="s">
        <v>90</v>
      </c>
      <c r="C168" s="243">
        <v>46012.625000000007</v>
      </c>
      <c r="D168" s="244">
        <v>9456.9583333333339</v>
      </c>
      <c r="E168" s="244">
        <v>29213.458333333328</v>
      </c>
      <c r="F168" s="244">
        <v>1726.8333333333333</v>
      </c>
      <c r="G168" s="244">
        <v>1053.3333333333335</v>
      </c>
      <c r="H168" s="244">
        <v>77.083333333333329</v>
      </c>
      <c r="I168" s="243">
        <v>87540.291666666657</v>
      </c>
      <c r="J168" s="243">
        <v>0</v>
      </c>
      <c r="K168" s="244">
        <v>0</v>
      </c>
      <c r="L168" s="244">
        <v>0</v>
      </c>
      <c r="M168" s="244">
        <v>0</v>
      </c>
      <c r="N168" s="243">
        <v>0</v>
      </c>
      <c r="O168" s="314">
        <v>0</v>
      </c>
      <c r="P168" s="244">
        <v>0</v>
      </c>
      <c r="Q168" s="243"/>
      <c r="R168" s="243"/>
      <c r="S168" s="243"/>
      <c r="T168" s="312">
        <v>162.25</v>
      </c>
      <c r="U168" s="312">
        <v>162.25</v>
      </c>
      <c r="V168" s="312">
        <v>0</v>
      </c>
      <c r="W168" s="312">
        <v>0</v>
      </c>
      <c r="X168" s="312">
        <v>0</v>
      </c>
      <c r="Y168" s="312">
        <v>0</v>
      </c>
      <c r="Z168" s="312">
        <v>0</v>
      </c>
      <c r="AA168" s="360">
        <v>0</v>
      </c>
      <c r="AB168" s="444"/>
      <c r="AC168" s="444"/>
      <c r="AD168" s="444"/>
      <c r="AE168" s="334"/>
    </row>
    <row r="169" spans="1:37" s="73" customFormat="1">
      <c r="A169" s="241"/>
      <c r="B169" s="245" t="s">
        <v>92</v>
      </c>
      <c r="C169" s="253">
        <v>-2.5669627736202281E-3</v>
      </c>
      <c r="D169" s="254">
        <v>-4.967119684349033E-3</v>
      </c>
      <c r="E169" s="254">
        <v>2.601463972862925E-2</v>
      </c>
      <c r="F169" s="254">
        <v>-7.7402551145344056E-2</v>
      </c>
      <c r="G169" s="510">
        <v>0.12826921360349919</v>
      </c>
      <c r="H169" s="254">
        <v>0.24327956989247304</v>
      </c>
      <c r="I169" s="253">
        <v>6.4965799657562637E-3</v>
      </c>
      <c r="J169" s="253">
        <v>0</v>
      </c>
      <c r="K169" s="254">
        <v>0</v>
      </c>
      <c r="L169" s="254">
        <v>0</v>
      </c>
      <c r="M169" s="254">
        <v>0</v>
      </c>
      <c r="N169" s="253">
        <v>0</v>
      </c>
      <c r="O169" s="356">
        <v>0</v>
      </c>
      <c r="P169" s="254">
        <v>0</v>
      </c>
      <c r="Q169" s="253">
        <v>0</v>
      </c>
      <c r="R169" s="253">
        <v>0</v>
      </c>
      <c r="S169" s="253">
        <v>0</v>
      </c>
      <c r="T169" s="313">
        <v>-6.146059291395517E-2</v>
      </c>
      <c r="U169" s="313">
        <v>-6.146059291395517E-2</v>
      </c>
      <c r="V169" s="313">
        <v>0</v>
      </c>
      <c r="W169" s="313">
        <v>0</v>
      </c>
      <c r="X169" s="313">
        <v>0</v>
      </c>
      <c r="Y169" s="313">
        <v>0</v>
      </c>
      <c r="Z169" s="313">
        <v>0</v>
      </c>
      <c r="AA169" s="359">
        <v>0</v>
      </c>
      <c r="AB169" s="445"/>
      <c r="AC169" s="445"/>
      <c r="AD169" s="445"/>
      <c r="AE169" s="334"/>
      <c r="AF169" s="73">
        <v>7</v>
      </c>
      <c r="AG169" s="73" t="s">
        <v>197</v>
      </c>
      <c r="AH169" s="73" t="s">
        <v>5</v>
      </c>
      <c r="AI169" s="73" t="s">
        <v>6</v>
      </c>
      <c r="AJ169" s="73">
        <v>11</v>
      </c>
      <c r="AK169" s="73" t="s">
        <v>143</v>
      </c>
    </row>
    <row r="170" spans="1:37" s="73" customFormat="1">
      <c r="A170" s="241"/>
      <c r="B170" s="242" t="s">
        <v>8</v>
      </c>
      <c r="C170" s="243">
        <v>224870.64166666666</v>
      </c>
      <c r="D170" s="244">
        <v>53840.566666666666</v>
      </c>
      <c r="E170" s="244">
        <v>173375.21666666665</v>
      </c>
      <c r="F170" s="244">
        <v>6140.3416666666672</v>
      </c>
      <c r="G170" s="244">
        <v>12706.216666666667</v>
      </c>
      <c r="H170" s="244">
        <v>1862.5</v>
      </c>
      <c r="I170" s="243">
        <v>472795.48333333328</v>
      </c>
      <c r="J170" s="243">
        <v>25487.676666666666</v>
      </c>
      <c r="K170" s="244">
        <v>378558.58888888895</v>
      </c>
      <c r="L170" s="244">
        <v>82101.667777777766</v>
      </c>
      <c r="M170" s="244">
        <v>12058.931111111113</v>
      </c>
      <c r="N170" s="243">
        <v>498206.86444444448</v>
      </c>
      <c r="O170" s="314">
        <v>89093.266666666663</v>
      </c>
      <c r="P170" s="244">
        <v>89093.266666666663</v>
      </c>
      <c r="Q170" s="243"/>
      <c r="R170" s="243"/>
      <c r="S170" s="243"/>
      <c r="T170" s="312">
        <v>1285.3083333333334</v>
      </c>
      <c r="U170" s="312">
        <v>1285.3083333333334</v>
      </c>
      <c r="V170" s="312">
        <v>76769.505555555559</v>
      </c>
      <c r="W170" s="312">
        <v>76769.505555555559</v>
      </c>
      <c r="X170" s="312">
        <v>11840.876666666667</v>
      </c>
      <c r="Y170" s="312">
        <v>11840.876666666667</v>
      </c>
      <c r="Z170" s="312">
        <v>482.8844444444444</v>
      </c>
      <c r="AA170" s="360">
        <v>482.8844444444444</v>
      </c>
      <c r="AB170" s="444"/>
      <c r="AC170" s="444"/>
      <c r="AD170" s="444"/>
      <c r="AE170" s="334" t="s">
        <v>198</v>
      </c>
      <c r="AF170" s="73">
        <f>+GETPIVOTDATA("Grand Total FTE - Old",$A$2,"State","TX","Category","7","Category2","Two-Year")</f>
        <v>25487.676666666666</v>
      </c>
      <c r="AG170" s="73">
        <f>+GETPIVOTDATA("Grand Total FTE - Old",$A$2,"State","TX","Category","8","Category2","Two-Year")-GETPIVOTDATA("Grand Total FTE - Old",$A$2,"State","TX","Category","08b","Category2","08b")</f>
        <v>301789.08333333337</v>
      </c>
      <c r="AH170" s="73">
        <f>+GETPIVOTDATA("Grand Total FTE - Old",$A$2,"State","TX","Category","9","Category2","Two-Year")-GETPIVOTDATA("Grand Total FTE - Old",$A$2,"State","TX","Category","09b","Category2","09b")</f>
        <v>70260.791111111103</v>
      </c>
      <c r="AI170" s="73">
        <f>+GETPIVOTDATA("Grand Total FTE - Old",$A$2,"State","TX","Category","10","Category2","Two-Year")-GETPIVOTDATA("Grand Total FTE - Old",$A$2,"State","TX","Category","10b","Category2","10b")</f>
        <v>11576.046666666669</v>
      </c>
      <c r="AJ170" s="73">
        <f>+GETPIVOTDATA("Grand Total FTE - Old",$A$2,"State","TX","Category","11","Category2","11")</f>
        <v>89093.266666666663</v>
      </c>
      <c r="AK170" s="73">
        <f>SUM(AF170:AJ170)</f>
        <v>498206.86444444448</v>
      </c>
    </row>
    <row r="171" spans="1:37" s="73" customFormat="1">
      <c r="A171" s="241"/>
      <c r="B171" s="242" t="s">
        <v>94</v>
      </c>
      <c r="C171" s="243">
        <v>226616.15833333335</v>
      </c>
      <c r="D171" s="244">
        <v>53346.625</v>
      </c>
      <c r="E171" s="244">
        <v>177674.29166666672</v>
      </c>
      <c r="F171" s="244">
        <v>6126.7666666666664</v>
      </c>
      <c r="G171" s="244">
        <v>12803.433333333334</v>
      </c>
      <c r="H171" s="244">
        <v>1937.5833333333333</v>
      </c>
      <c r="I171" s="243">
        <v>478504.8583333334</v>
      </c>
      <c r="J171" s="243">
        <v>26252.887777777778</v>
      </c>
      <c r="K171" s="244">
        <v>368783.89555555559</v>
      </c>
      <c r="L171" s="244">
        <v>80564.248888888891</v>
      </c>
      <c r="M171" s="244">
        <v>12165.273333333334</v>
      </c>
      <c r="N171" s="243">
        <v>487766.30555555562</v>
      </c>
      <c r="O171" s="314">
        <v>87642.162222222221</v>
      </c>
      <c r="P171" s="244">
        <v>87642.162222222221</v>
      </c>
      <c r="Q171" s="243"/>
      <c r="R171" s="243"/>
      <c r="S171" s="243"/>
      <c r="T171" s="312">
        <v>1301.25</v>
      </c>
      <c r="U171" s="312">
        <v>1301.25</v>
      </c>
      <c r="V171" s="312">
        <v>75623.561111111107</v>
      </c>
      <c r="W171" s="312">
        <v>75623.561111111107</v>
      </c>
      <c r="X171" s="312">
        <v>11462.581111111112</v>
      </c>
      <c r="Y171" s="312">
        <v>11462.581111111112</v>
      </c>
      <c r="Z171" s="312">
        <v>556.02</v>
      </c>
      <c r="AA171" s="360">
        <v>556.02</v>
      </c>
      <c r="AB171" s="444"/>
      <c r="AC171" s="444"/>
      <c r="AD171" s="444"/>
      <c r="AE171" s="334" t="s">
        <v>199</v>
      </c>
      <c r="AF171" s="73">
        <f>+GETPIVOTDATA("Grand Total FTE - New",$A$2,"State","TX","Category","7","Category2","Two-Year")</f>
        <v>26252.887777777778</v>
      </c>
      <c r="AG171" s="73">
        <f>+GETPIVOTDATA("Grand Total FTE - New",$A$2,"State","TX","Category","8","Category2","Two-Year")-GETPIVOTDATA("Grand Total FTE - New",$A$2,"State","TX","Category","08b","Category2","08b")</f>
        <v>293160.33444444451</v>
      </c>
      <c r="AH171" s="73">
        <f>+GETPIVOTDATA("Grand Total FTE - New",$A$2,"State","TX","Category","9","Category2","Two-Year")-GETPIVOTDATA("Grand Total FTE - New",$A$2,"State","TX","Category","09b","Category2","09b")</f>
        <v>69101.66777777778</v>
      </c>
      <c r="AI171" s="73">
        <f>+GETPIVOTDATA("Grand Total FTE - New",$A$2,"State","TX","Category","10","Category2","Two-Year")-GETPIVOTDATA("Grand Total FTE - New",$A$2,"State","TX","Category","10b","Category2","10b")</f>
        <v>11609.253333333334</v>
      </c>
      <c r="AJ171" s="73">
        <f>+GETPIVOTDATA("Grand Total FTE - New",$A$2,"State","TX","Category","11","Category2","11")</f>
        <v>87642.162222222221</v>
      </c>
      <c r="AK171" s="73">
        <f>SUM(AF171:AJ171)</f>
        <v>487766.30555555562</v>
      </c>
    </row>
    <row r="172" spans="1:37" s="73" customFormat="1">
      <c r="A172" s="246"/>
      <c r="B172" s="311" t="s">
        <v>96</v>
      </c>
      <c r="C172" s="253">
        <v>7.7623146077651622E-3</v>
      </c>
      <c r="D172" s="254">
        <v>-9.1741543086780106E-3</v>
      </c>
      <c r="E172" s="254">
        <v>2.4796364109326681E-2</v>
      </c>
      <c r="F172" s="254">
        <v>-2.2107890304693782E-3</v>
      </c>
      <c r="G172" s="254">
        <v>7.651110414455954E-3</v>
      </c>
      <c r="H172" s="254">
        <v>4.0313199105145373E-2</v>
      </c>
      <c r="I172" s="253">
        <v>1.2075781603807503E-2</v>
      </c>
      <c r="J172" s="253">
        <v>3.0022787918989543E-2</v>
      </c>
      <c r="K172" s="254">
        <v>-2.5820820396713642E-2</v>
      </c>
      <c r="L172" s="254">
        <v>-1.872579364709329E-2</v>
      </c>
      <c r="M172" s="254">
        <v>8.8185446323876711E-3</v>
      </c>
      <c r="N172" s="253">
        <v>-2.0956272652989934E-2</v>
      </c>
      <c r="O172" s="356">
        <v>-1.6287476020759237E-2</v>
      </c>
      <c r="P172" s="254">
        <v>-1.6287476020759237E-2</v>
      </c>
      <c r="Q172" s="253">
        <v>0</v>
      </c>
      <c r="R172" s="253">
        <v>0</v>
      </c>
      <c r="S172" s="253">
        <v>0</v>
      </c>
      <c r="T172" s="313">
        <v>1.2402990203388245E-2</v>
      </c>
      <c r="U172" s="313">
        <v>1.2402990203388245E-2</v>
      </c>
      <c r="V172" s="313">
        <v>-1.4927078612160272E-2</v>
      </c>
      <c r="W172" s="313">
        <v>-1.4927078612160272E-2</v>
      </c>
      <c r="X172" s="313">
        <v>-3.1948272598809932E-2</v>
      </c>
      <c r="Y172" s="313">
        <v>-3.1948272598809932E-2</v>
      </c>
      <c r="Z172" s="313">
        <v>0.15145560474555686</v>
      </c>
      <c r="AA172" s="359">
        <v>0.15145560474555686</v>
      </c>
      <c r="AB172" s="445"/>
      <c r="AC172" s="445"/>
      <c r="AD172" s="445"/>
      <c r="AE172" s="334"/>
    </row>
    <row r="173" spans="1:37" s="73" customFormat="1">
      <c r="A173" s="342" t="s">
        <v>288</v>
      </c>
      <c r="B173" s="340" t="s">
        <v>86</v>
      </c>
      <c r="C173" s="337">
        <v>77227.7</v>
      </c>
      <c r="D173" s="341">
        <v>28005.95</v>
      </c>
      <c r="E173" s="341">
        <v>45944.566666666666</v>
      </c>
      <c r="F173" s="341"/>
      <c r="G173" s="341">
        <v>4810.7</v>
      </c>
      <c r="H173" s="341">
        <v>1794.5666666666666</v>
      </c>
      <c r="I173" s="337">
        <v>157783.48333333337</v>
      </c>
      <c r="J173" s="337"/>
      <c r="K173" s="341">
        <v>80171.3</v>
      </c>
      <c r="L173" s="341">
        <v>41313.200000000004</v>
      </c>
      <c r="M173" s="341">
        <v>7484.2</v>
      </c>
      <c r="N173" s="337">
        <v>128968.7</v>
      </c>
      <c r="O173" s="337">
        <v>0</v>
      </c>
      <c r="P173" s="341">
        <v>0</v>
      </c>
      <c r="Q173" s="337"/>
      <c r="R173" s="337"/>
      <c r="S173" s="337"/>
      <c r="T173" s="349"/>
      <c r="U173" s="349"/>
      <c r="V173" s="349">
        <v>0</v>
      </c>
      <c r="W173" s="349">
        <v>0</v>
      </c>
      <c r="X173" s="349">
        <v>0</v>
      </c>
      <c r="Y173" s="349">
        <v>0</v>
      </c>
      <c r="Z173" s="349">
        <v>0</v>
      </c>
      <c r="AA173" s="357">
        <v>0</v>
      </c>
      <c r="AB173" s="444"/>
      <c r="AC173" s="444"/>
      <c r="AD173" s="444"/>
      <c r="AE173" s="334"/>
    </row>
    <row r="174" spans="1:37" s="73" customFormat="1">
      <c r="A174" s="241"/>
      <c r="B174" s="242" t="s">
        <v>84</v>
      </c>
      <c r="C174" s="243">
        <v>78158.600000000006</v>
      </c>
      <c r="D174" s="244">
        <v>27849.096666666665</v>
      </c>
      <c r="E174" s="244">
        <v>46321.399999999994</v>
      </c>
      <c r="F174" s="244"/>
      <c r="G174" s="244">
        <v>4941.5666666666666</v>
      </c>
      <c r="H174" s="244">
        <v>1818.1333333333334</v>
      </c>
      <c r="I174" s="243">
        <v>159088.79666666669</v>
      </c>
      <c r="J174" s="243"/>
      <c r="K174" s="244">
        <v>77373.599999999991</v>
      </c>
      <c r="L174" s="244">
        <v>39417.46666666666</v>
      </c>
      <c r="M174" s="244">
        <v>6896.7</v>
      </c>
      <c r="N174" s="243">
        <v>123687.76666666665</v>
      </c>
      <c r="O174" s="243">
        <v>0</v>
      </c>
      <c r="P174" s="244">
        <v>0</v>
      </c>
      <c r="Q174" s="243"/>
      <c r="R174" s="243"/>
      <c r="S174" s="243"/>
      <c r="T174" s="312"/>
      <c r="U174" s="312"/>
      <c r="V174" s="312">
        <v>0</v>
      </c>
      <c r="W174" s="312">
        <v>0</v>
      </c>
      <c r="X174" s="312">
        <v>0</v>
      </c>
      <c r="Y174" s="312">
        <v>0</v>
      </c>
      <c r="Z174" s="312">
        <v>0</v>
      </c>
      <c r="AA174" s="358">
        <v>0</v>
      </c>
      <c r="AB174" s="444"/>
      <c r="AC174" s="444"/>
      <c r="AD174" s="444"/>
      <c r="AE174" s="334"/>
    </row>
    <row r="175" spans="1:37" s="73" customFormat="1">
      <c r="A175" s="241"/>
      <c r="B175" s="245" t="s">
        <v>98</v>
      </c>
      <c r="C175" s="253">
        <v>1.2053965092835975E-2</v>
      </c>
      <c r="D175" s="254">
        <v>-5.6007146100502279E-3</v>
      </c>
      <c r="E175" s="254">
        <v>8.201912884874929E-3</v>
      </c>
      <c r="F175" s="254">
        <v>0</v>
      </c>
      <c r="G175" s="254">
        <v>2.7203248314521127E-2</v>
      </c>
      <c r="H175" s="254">
        <v>1.3132232479521612E-2</v>
      </c>
      <c r="I175" s="253">
        <v>8.2728135148069943E-3</v>
      </c>
      <c r="J175" s="253">
        <v>0</v>
      </c>
      <c r="K175" s="254">
        <v>-3.4896527809827355E-2</v>
      </c>
      <c r="L175" s="254">
        <v>-4.5886867474157031E-2</v>
      </c>
      <c r="M175" s="254">
        <v>-7.8498703936292463E-2</v>
      </c>
      <c r="N175" s="253">
        <v>-4.0947403000366138E-2</v>
      </c>
      <c r="O175" s="356">
        <v>0</v>
      </c>
      <c r="P175" s="254">
        <v>0</v>
      </c>
      <c r="Q175" s="253">
        <v>0</v>
      </c>
      <c r="R175" s="253">
        <v>0</v>
      </c>
      <c r="S175" s="253">
        <v>0</v>
      </c>
      <c r="T175" s="313">
        <v>0</v>
      </c>
      <c r="U175" s="313">
        <v>0</v>
      </c>
      <c r="V175" s="313">
        <v>0</v>
      </c>
      <c r="W175" s="313">
        <v>0</v>
      </c>
      <c r="X175" s="313">
        <v>0</v>
      </c>
      <c r="Y175" s="313">
        <v>0</v>
      </c>
      <c r="Z175" s="313">
        <v>0</v>
      </c>
      <c r="AA175" s="359">
        <v>0</v>
      </c>
      <c r="AB175" s="445"/>
      <c r="AC175" s="445"/>
      <c r="AD175" s="445"/>
      <c r="AE175" s="334"/>
    </row>
    <row r="176" spans="1:37" s="73" customFormat="1">
      <c r="A176" s="241"/>
      <c r="B176" s="242" t="s">
        <v>82</v>
      </c>
      <c r="C176" s="243">
        <v>0</v>
      </c>
      <c r="D176" s="244">
        <v>0</v>
      </c>
      <c r="E176" s="244">
        <v>0</v>
      </c>
      <c r="F176" s="244"/>
      <c r="G176" s="244">
        <v>0</v>
      </c>
      <c r="H176" s="244">
        <v>0</v>
      </c>
      <c r="I176" s="243">
        <v>0</v>
      </c>
      <c r="J176" s="243"/>
      <c r="K176" s="244">
        <v>0</v>
      </c>
      <c r="L176" s="244">
        <v>0</v>
      </c>
      <c r="M176" s="244">
        <v>0</v>
      </c>
      <c r="N176" s="243">
        <v>0</v>
      </c>
      <c r="O176" s="314">
        <v>0</v>
      </c>
      <c r="P176" s="244">
        <v>0</v>
      </c>
      <c r="Q176" s="243"/>
      <c r="R176" s="243"/>
      <c r="S176" s="243"/>
      <c r="T176" s="312"/>
      <c r="U176" s="312"/>
      <c r="V176" s="312">
        <v>0</v>
      </c>
      <c r="W176" s="312">
        <v>0</v>
      </c>
      <c r="X176" s="312">
        <v>0</v>
      </c>
      <c r="Y176" s="312">
        <v>0</v>
      </c>
      <c r="Z176" s="312">
        <v>0</v>
      </c>
      <c r="AA176" s="360">
        <v>0</v>
      </c>
      <c r="AB176" s="444"/>
      <c r="AC176" s="444"/>
      <c r="AD176" s="444"/>
      <c r="AE176" s="334"/>
    </row>
    <row r="177" spans="1:37" s="73" customFormat="1">
      <c r="A177" s="241"/>
      <c r="B177" s="242" t="s">
        <v>80</v>
      </c>
      <c r="C177" s="243">
        <v>0</v>
      </c>
      <c r="D177" s="244">
        <v>0</v>
      </c>
      <c r="E177" s="244">
        <v>0</v>
      </c>
      <c r="F177" s="244"/>
      <c r="G177" s="244">
        <v>0</v>
      </c>
      <c r="H177" s="244">
        <v>0</v>
      </c>
      <c r="I177" s="243">
        <v>0</v>
      </c>
      <c r="J177" s="243"/>
      <c r="K177" s="244">
        <v>0</v>
      </c>
      <c r="L177" s="244">
        <v>0</v>
      </c>
      <c r="M177" s="244">
        <v>0</v>
      </c>
      <c r="N177" s="243">
        <v>0</v>
      </c>
      <c r="O177" s="314">
        <v>0</v>
      </c>
      <c r="P177" s="244">
        <v>0</v>
      </c>
      <c r="Q177" s="243"/>
      <c r="R177" s="243"/>
      <c r="S177" s="243"/>
      <c r="T177" s="312"/>
      <c r="U177" s="312"/>
      <c r="V177" s="312">
        <v>0</v>
      </c>
      <c r="W177" s="312">
        <v>0</v>
      </c>
      <c r="X177" s="312">
        <v>0</v>
      </c>
      <c r="Y177" s="312">
        <v>0</v>
      </c>
      <c r="Z177" s="312">
        <v>0</v>
      </c>
      <c r="AA177" s="360">
        <v>0</v>
      </c>
      <c r="AB177" s="444"/>
      <c r="AC177" s="444"/>
      <c r="AD177" s="444"/>
      <c r="AE177" s="334"/>
    </row>
    <row r="178" spans="1:37" s="73" customFormat="1">
      <c r="A178" s="241"/>
      <c r="B178" s="245" t="s">
        <v>100</v>
      </c>
      <c r="C178" s="253">
        <v>0</v>
      </c>
      <c r="D178" s="254">
        <v>0</v>
      </c>
      <c r="E178" s="254">
        <v>0</v>
      </c>
      <c r="F178" s="254">
        <v>0</v>
      </c>
      <c r="G178" s="254">
        <v>0</v>
      </c>
      <c r="H178" s="254">
        <v>0</v>
      </c>
      <c r="I178" s="253">
        <v>0</v>
      </c>
      <c r="J178" s="253">
        <v>0</v>
      </c>
      <c r="K178" s="254">
        <v>0</v>
      </c>
      <c r="L178" s="254">
        <v>0</v>
      </c>
      <c r="M178" s="254">
        <v>0</v>
      </c>
      <c r="N178" s="253">
        <v>0</v>
      </c>
      <c r="O178" s="356">
        <v>0</v>
      </c>
      <c r="P178" s="254">
        <v>0</v>
      </c>
      <c r="Q178" s="253">
        <v>0</v>
      </c>
      <c r="R178" s="253">
        <v>0</v>
      </c>
      <c r="S178" s="253">
        <v>0</v>
      </c>
      <c r="T178" s="313">
        <v>0</v>
      </c>
      <c r="U178" s="313">
        <v>0</v>
      </c>
      <c r="V178" s="313">
        <v>0</v>
      </c>
      <c r="W178" s="313">
        <v>0</v>
      </c>
      <c r="X178" s="313">
        <v>0</v>
      </c>
      <c r="Y178" s="313">
        <v>0</v>
      </c>
      <c r="Z178" s="313">
        <v>0</v>
      </c>
      <c r="AA178" s="359">
        <v>0</v>
      </c>
      <c r="AB178" s="445"/>
      <c r="AC178" s="445"/>
      <c r="AD178" s="445"/>
      <c r="AE178" s="334"/>
    </row>
    <row r="179" spans="1:37" s="73" customFormat="1">
      <c r="A179" s="241"/>
      <c r="B179" s="242" t="s">
        <v>88</v>
      </c>
      <c r="C179" s="243">
        <v>24512.729166666668</v>
      </c>
      <c r="D179" s="244">
        <v>8080.1041666666661</v>
      </c>
      <c r="E179" s="244">
        <v>4006.416666666667</v>
      </c>
      <c r="F179" s="244"/>
      <c r="G179" s="244">
        <v>172.54166666666666</v>
      </c>
      <c r="H179" s="244">
        <v>0</v>
      </c>
      <c r="I179" s="243">
        <v>36771.791666666664</v>
      </c>
      <c r="J179" s="243"/>
      <c r="K179" s="244">
        <v>0</v>
      </c>
      <c r="L179" s="244">
        <v>0</v>
      </c>
      <c r="M179" s="244">
        <v>0</v>
      </c>
      <c r="N179" s="243">
        <v>0</v>
      </c>
      <c r="O179" s="314">
        <v>0</v>
      </c>
      <c r="P179" s="244">
        <v>0</v>
      </c>
      <c r="Q179" s="243"/>
      <c r="R179" s="243"/>
      <c r="S179" s="243"/>
      <c r="T179" s="312"/>
      <c r="U179" s="312"/>
      <c r="V179" s="312">
        <v>0</v>
      </c>
      <c r="W179" s="312">
        <v>0</v>
      </c>
      <c r="X179" s="312">
        <v>0</v>
      </c>
      <c r="Y179" s="312">
        <v>0</v>
      </c>
      <c r="Z179" s="312">
        <v>0</v>
      </c>
      <c r="AA179" s="360">
        <v>0</v>
      </c>
      <c r="AB179" s="444"/>
      <c r="AC179" s="444"/>
      <c r="AD179" s="444"/>
      <c r="AE179" s="334"/>
    </row>
    <row r="180" spans="1:37" s="73" customFormat="1">
      <c r="A180" s="241"/>
      <c r="B180" s="242" t="s">
        <v>90</v>
      </c>
      <c r="C180" s="243">
        <v>23978.9375</v>
      </c>
      <c r="D180" s="244">
        <v>7850.9375</v>
      </c>
      <c r="E180" s="244">
        <v>3912.2416666666668</v>
      </c>
      <c r="F180" s="244"/>
      <c r="G180" s="244">
        <v>152.58333333333334</v>
      </c>
      <c r="H180" s="244">
        <v>0</v>
      </c>
      <c r="I180" s="243">
        <v>35894.700000000004</v>
      </c>
      <c r="J180" s="243"/>
      <c r="K180" s="244">
        <v>0</v>
      </c>
      <c r="L180" s="244">
        <v>0</v>
      </c>
      <c r="M180" s="244">
        <v>0</v>
      </c>
      <c r="N180" s="243">
        <v>0</v>
      </c>
      <c r="O180" s="314">
        <v>0</v>
      </c>
      <c r="P180" s="244">
        <v>0</v>
      </c>
      <c r="Q180" s="243"/>
      <c r="R180" s="243"/>
      <c r="S180" s="243"/>
      <c r="T180" s="312"/>
      <c r="U180" s="312"/>
      <c r="V180" s="312">
        <v>0</v>
      </c>
      <c r="W180" s="312">
        <v>0</v>
      </c>
      <c r="X180" s="312">
        <v>0</v>
      </c>
      <c r="Y180" s="312">
        <v>0</v>
      </c>
      <c r="Z180" s="312">
        <v>0</v>
      </c>
      <c r="AA180" s="360">
        <v>0</v>
      </c>
      <c r="AB180" s="444"/>
      <c r="AC180" s="444"/>
      <c r="AD180" s="444"/>
      <c r="AE180" s="334"/>
    </row>
    <row r="181" spans="1:37" s="73" customFormat="1">
      <c r="A181" s="241"/>
      <c r="B181" s="245" t="s">
        <v>92</v>
      </c>
      <c r="C181" s="253">
        <v>-2.1776101022343033E-2</v>
      </c>
      <c r="D181" s="254">
        <v>-2.8361845582642476E-2</v>
      </c>
      <c r="E181" s="254">
        <v>-2.3506042390332219E-2</v>
      </c>
      <c r="F181" s="254">
        <v>0</v>
      </c>
      <c r="G181" s="254">
        <v>-0.1156725428640424</v>
      </c>
      <c r="H181" s="254">
        <v>0</v>
      </c>
      <c r="I181" s="253">
        <v>-2.3852296200778916E-2</v>
      </c>
      <c r="J181" s="253">
        <v>0</v>
      </c>
      <c r="K181" s="254">
        <v>0</v>
      </c>
      <c r="L181" s="254">
        <v>0</v>
      </c>
      <c r="M181" s="254">
        <v>0</v>
      </c>
      <c r="N181" s="253">
        <v>0</v>
      </c>
      <c r="O181" s="356">
        <v>0</v>
      </c>
      <c r="P181" s="254">
        <v>0</v>
      </c>
      <c r="Q181" s="253">
        <v>0</v>
      </c>
      <c r="R181" s="253">
        <v>0</v>
      </c>
      <c r="S181" s="253">
        <v>0</v>
      </c>
      <c r="T181" s="313">
        <v>0</v>
      </c>
      <c r="U181" s="313">
        <v>0</v>
      </c>
      <c r="V181" s="313">
        <v>0</v>
      </c>
      <c r="W181" s="313">
        <v>0</v>
      </c>
      <c r="X181" s="313">
        <v>0</v>
      </c>
      <c r="Y181" s="313">
        <v>0</v>
      </c>
      <c r="Z181" s="313">
        <v>0</v>
      </c>
      <c r="AA181" s="359">
        <v>0</v>
      </c>
      <c r="AB181" s="445"/>
      <c r="AC181" s="445"/>
      <c r="AD181" s="445"/>
      <c r="AE181" s="334"/>
      <c r="AF181" s="216"/>
      <c r="AG181" s="309"/>
      <c r="AI181" s="73" t="s">
        <v>145</v>
      </c>
      <c r="AJ181" s="73">
        <v>11</v>
      </c>
      <c r="AK181" s="73" t="s">
        <v>143</v>
      </c>
    </row>
    <row r="182" spans="1:37" s="73" customFormat="1">
      <c r="A182" s="241"/>
      <c r="B182" s="242" t="s">
        <v>8</v>
      </c>
      <c r="C182" s="243">
        <v>101740.42916666667</v>
      </c>
      <c r="D182" s="244">
        <v>36086.054166666669</v>
      </c>
      <c r="E182" s="244">
        <v>49950.98333333333</v>
      </c>
      <c r="F182" s="244"/>
      <c r="G182" s="244">
        <v>4983.2416666666668</v>
      </c>
      <c r="H182" s="244">
        <v>1794.5666666666666</v>
      </c>
      <c r="I182" s="243">
        <v>194555.27500000002</v>
      </c>
      <c r="J182" s="243"/>
      <c r="K182" s="244">
        <v>80171.3</v>
      </c>
      <c r="L182" s="244">
        <v>41313.200000000004</v>
      </c>
      <c r="M182" s="244">
        <v>7484.2</v>
      </c>
      <c r="N182" s="243">
        <v>128968.7</v>
      </c>
      <c r="O182" s="314">
        <v>0</v>
      </c>
      <c r="P182" s="244">
        <v>0</v>
      </c>
      <c r="Q182" s="243"/>
      <c r="R182" s="243"/>
      <c r="S182" s="243"/>
      <c r="T182" s="312"/>
      <c r="U182" s="312"/>
      <c r="V182" s="312">
        <v>0</v>
      </c>
      <c r="W182" s="312">
        <v>0</v>
      </c>
      <c r="X182" s="312">
        <v>0</v>
      </c>
      <c r="Y182" s="312">
        <v>0</v>
      </c>
      <c r="Z182" s="312">
        <v>0</v>
      </c>
      <c r="AA182" s="360">
        <v>0</v>
      </c>
      <c r="AB182" s="444"/>
      <c r="AC182" s="444"/>
      <c r="AD182" s="444"/>
      <c r="AE182" s="334" t="s">
        <v>198</v>
      </c>
      <c r="AF182" s="447"/>
      <c r="AI182" s="73">
        <f>+GETPIVOTDATA("Grand Total FTE - Old",$A$2,"State","VA","Category","10b","Category2","10b")</f>
        <v>0</v>
      </c>
      <c r="AJ182" s="73">
        <f>+GETPIVOTDATA("Grand Total FTE - Old",$A$2,"State","VA","Category","11","Category2","11")</f>
        <v>0</v>
      </c>
      <c r="AK182" s="73">
        <f>+AJ182+AI182</f>
        <v>0</v>
      </c>
    </row>
    <row r="183" spans="1:37" s="73" customFormat="1">
      <c r="A183" s="241"/>
      <c r="B183" s="242" t="s">
        <v>94</v>
      </c>
      <c r="C183" s="243">
        <v>102137.53750000001</v>
      </c>
      <c r="D183" s="244">
        <v>35700.034166666665</v>
      </c>
      <c r="E183" s="244">
        <v>50233.641666666677</v>
      </c>
      <c r="F183" s="244"/>
      <c r="G183" s="244">
        <v>5094.1499999999996</v>
      </c>
      <c r="H183" s="244">
        <v>1818.1333333333334</v>
      </c>
      <c r="I183" s="243">
        <v>194983.49666666664</v>
      </c>
      <c r="J183" s="243"/>
      <c r="K183" s="244">
        <v>77373.599999999991</v>
      </c>
      <c r="L183" s="244">
        <v>39417.46666666666</v>
      </c>
      <c r="M183" s="244">
        <v>6896.7</v>
      </c>
      <c r="N183" s="243">
        <v>123687.76666666665</v>
      </c>
      <c r="O183" s="314">
        <v>0</v>
      </c>
      <c r="P183" s="244">
        <v>0</v>
      </c>
      <c r="Q183" s="243"/>
      <c r="R183" s="243"/>
      <c r="S183" s="243"/>
      <c r="T183" s="312"/>
      <c r="U183" s="312"/>
      <c r="V183" s="312">
        <v>0</v>
      </c>
      <c r="W183" s="312">
        <v>0</v>
      </c>
      <c r="X183" s="312">
        <v>0</v>
      </c>
      <c r="Y183" s="312">
        <v>0</v>
      </c>
      <c r="Z183" s="312">
        <v>0</v>
      </c>
      <c r="AA183" s="360">
        <v>0</v>
      </c>
      <c r="AB183" s="444"/>
      <c r="AC183" s="444"/>
      <c r="AD183" s="444"/>
      <c r="AE183" s="334" t="s">
        <v>199</v>
      </c>
      <c r="AF183" s="447"/>
      <c r="AI183" s="73">
        <f>+GETPIVOTDATA("Grand Total FTE - New",$A$2,"State","VA","Category","10b","Category2","10b")</f>
        <v>0</v>
      </c>
      <c r="AJ183" s="73">
        <f>+GETPIVOTDATA("Grand Total FTE - New",$A$2,"State","VA","Category","11","Category2","11")</f>
        <v>0</v>
      </c>
      <c r="AK183" s="73">
        <f>+AJ183+AI183</f>
        <v>0</v>
      </c>
    </row>
    <row r="184" spans="1:37" s="73" customFormat="1">
      <c r="A184" s="246"/>
      <c r="B184" s="311" t="s">
        <v>96</v>
      </c>
      <c r="C184" s="253">
        <v>3.9031517419964084E-3</v>
      </c>
      <c r="D184" s="254">
        <v>-1.069720724291817E-2</v>
      </c>
      <c r="E184" s="254">
        <v>5.6587140927158407E-3</v>
      </c>
      <c r="F184" s="254">
        <v>0</v>
      </c>
      <c r="G184" s="254">
        <v>2.2256262238937407E-2</v>
      </c>
      <c r="H184" s="254">
        <v>1.3132232479521612E-2</v>
      </c>
      <c r="I184" s="253">
        <v>2.2010283024534844E-3</v>
      </c>
      <c r="J184" s="253">
        <v>0</v>
      </c>
      <c r="K184" s="254">
        <v>-3.4896527809827355E-2</v>
      </c>
      <c r="L184" s="254">
        <v>-4.5886867474157031E-2</v>
      </c>
      <c r="M184" s="254">
        <v>-7.8498703936292463E-2</v>
      </c>
      <c r="N184" s="253">
        <v>-4.0947403000366138E-2</v>
      </c>
      <c r="O184" s="356">
        <v>0</v>
      </c>
      <c r="P184" s="254">
        <v>0</v>
      </c>
      <c r="Q184" s="253">
        <v>0</v>
      </c>
      <c r="R184" s="253">
        <v>0</v>
      </c>
      <c r="S184" s="253">
        <v>0</v>
      </c>
      <c r="T184" s="313">
        <v>0</v>
      </c>
      <c r="U184" s="313">
        <v>0</v>
      </c>
      <c r="V184" s="313">
        <v>0</v>
      </c>
      <c r="W184" s="313">
        <v>0</v>
      </c>
      <c r="X184" s="313">
        <v>0</v>
      </c>
      <c r="Y184" s="313">
        <v>0</v>
      </c>
      <c r="Z184" s="313">
        <v>0</v>
      </c>
      <c r="AA184" s="359">
        <v>0</v>
      </c>
      <c r="AB184" s="445"/>
      <c r="AC184" s="445"/>
      <c r="AD184" s="445"/>
      <c r="AE184" s="334"/>
      <c r="AF184" s="446"/>
      <c r="AG184" s="216"/>
    </row>
    <row r="185" spans="1:37" s="73" customFormat="1">
      <c r="A185" s="342" t="s">
        <v>271</v>
      </c>
      <c r="B185" s="340" t="s">
        <v>86</v>
      </c>
      <c r="C185" s="337">
        <v>22047.233333333334</v>
      </c>
      <c r="D185" s="341"/>
      <c r="E185" s="341">
        <v>8802</v>
      </c>
      <c r="F185" s="341"/>
      <c r="G185" s="341">
        <v>7587.6333333333332</v>
      </c>
      <c r="H185" s="341">
        <v>11475.570000000002</v>
      </c>
      <c r="I185" s="337">
        <v>49912.436666666668</v>
      </c>
      <c r="J185" s="337">
        <v>4472.5</v>
      </c>
      <c r="K185" s="341"/>
      <c r="L185" s="341">
        <v>6313.5433333333331</v>
      </c>
      <c r="M185" s="341">
        <v>7580.0366666666669</v>
      </c>
      <c r="N185" s="337">
        <v>18366.080000000002</v>
      </c>
      <c r="O185" s="337"/>
      <c r="P185" s="341"/>
      <c r="Q185" s="337"/>
      <c r="R185" s="337"/>
      <c r="S185" s="337"/>
      <c r="T185" s="349"/>
      <c r="U185" s="349"/>
      <c r="V185" s="349"/>
      <c r="W185" s="349"/>
      <c r="X185" s="349"/>
      <c r="Y185" s="349"/>
      <c r="Z185" s="349"/>
      <c r="AA185" s="357"/>
      <c r="AB185" s="444"/>
      <c r="AC185" s="444"/>
      <c r="AD185" s="444"/>
      <c r="AE185" s="334"/>
    </row>
    <row r="186" spans="1:37" s="73" customFormat="1">
      <c r="A186" s="241"/>
      <c r="B186" s="242" t="s">
        <v>84</v>
      </c>
      <c r="C186" s="243">
        <v>22097.7</v>
      </c>
      <c r="D186" s="244"/>
      <c r="E186" s="244">
        <v>8777.6</v>
      </c>
      <c r="F186" s="244"/>
      <c r="G186" s="244">
        <v>7337.8166666666675</v>
      </c>
      <c r="H186" s="244">
        <v>11102.87</v>
      </c>
      <c r="I186" s="243">
        <v>49315.986666666671</v>
      </c>
      <c r="J186" s="243">
        <v>4173.7</v>
      </c>
      <c r="K186" s="244"/>
      <c r="L186" s="244">
        <v>5780.9633333333331</v>
      </c>
      <c r="M186" s="244">
        <v>7506.6833333333334</v>
      </c>
      <c r="N186" s="243">
        <v>17461.346666666668</v>
      </c>
      <c r="O186" s="243"/>
      <c r="P186" s="244"/>
      <c r="Q186" s="243"/>
      <c r="R186" s="243"/>
      <c r="S186" s="243"/>
      <c r="T186" s="312"/>
      <c r="U186" s="312"/>
      <c r="V186" s="312"/>
      <c r="W186" s="312"/>
      <c r="X186" s="312"/>
      <c r="Y186" s="312"/>
      <c r="Z186" s="312"/>
      <c r="AA186" s="358"/>
      <c r="AB186" s="444"/>
      <c r="AC186" s="444"/>
      <c r="AD186" s="444"/>
      <c r="AE186" s="334"/>
    </row>
    <row r="187" spans="1:37" s="73" customFormat="1">
      <c r="A187" s="241"/>
      <c r="B187" s="245" t="s">
        <v>98</v>
      </c>
      <c r="C187" s="253">
        <v>2.289024926785998E-3</v>
      </c>
      <c r="D187" s="254">
        <v>0</v>
      </c>
      <c r="E187" s="254">
        <v>-2.7720972506248167E-3</v>
      </c>
      <c r="F187" s="254">
        <v>0</v>
      </c>
      <c r="G187" s="254">
        <v>-3.2924188042823939E-2</v>
      </c>
      <c r="H187" s="254">
        <v>-3.2477689561390036E-2</v>
      </c>
      <c r="I187" s="253">
        <v>-1.1949927509716502E-2</v>
      </c>
      <c r="J187" s="253">
        <v>-6.680827277808836E-2</v>
      </c>
      <c r="K187" s="254">
        <v>0</v>
      </c>
      <c r="L187" s="254">
        <v>-8.4355166644404109E-2</v>
      </c>
      <c r="M187" s="254">
        <v>-9.677173945068885E-3</v>
      </c>
      <c r="N187" s="253">
        <v>-4.9261101625024888E-2</v>
      </c>
      <c r="O187" s="356">
        <v>0</v>
      </c>
      <c r="P187" s="254">
        <v>0</v>
      </c>
      <c r="Q187" s="253">
        <v>0</v>
      </c>
      <c r="R187" s="253">
        <v>0</v>
      </c>
      <c r="S187" s="253">
        <v>0</v>
      </c>
      <c r="T187" s="313">
        <v>0</v>
      </c>
      <c r="U187" s="313">
        <v>0</v>
      </c>
      <c r="V187" s="313">
        <v>0</v>
      </c>
      <c r="W187" s="313">
        <v>0</v>
      </c>
      <c r="X187" s="313">
        <v>0</v>
      </c>
      <c r="Y187" s="313">
        <v>0</v>
      </c>
      <c r="Z187" s="313">
        <v>0</v>
      </c>
      <c r="AA187" s="359">
        <v>0</v>
      </c>
      <c r="AB187" s="445"/>
      <c r="AC187" s="445"/>
      <c r="AD187" s="445"/>
      <c r="AE187" s="334"/>
    </row>
    <row r="188" spans="1:37" s="73" customFormat="1">
      <c r="A188" s="241"/>
      <c r="B188" s="242" t="s">
        <v>82</v>
      </c>
      <c r="C188" s="243">
        <v>0</v>
      </c>
      <c r="D188" s="244"/>
      <c r="E188" s="244">
        <v>0</v>
      </c>
      <c r="F188" s="244"/>
      <c r="G188" s="244">
        <v>0</v>
      </c>
      <c r="H188" s="244">
        <v>0</v>
      </c>
      <c r="I188" s="243">
        <v>0</v>
      </c>
      <c r="J188" s="243">
        <v>0</v>
      </c>
      <c r="K188" s="244"/>
      <c r="L188" s="244">
        <v>0</v>
      </c>
      <c r="M188" s="244">
        <v>0</v>
      </c>
      <c r="N188" s="243">
        <v>0</v>
      </c>
      <c r="O188" s="314"/>
      <c r="P188" s="244"/>
      <c r="Q188" s="243"/>
      <c r="R188" s="243"/>
      <c r="S188" s="243"/>
      <c r="T188" s="312"/>
      <c r="U188" s="312"/>
      <c r="V188" s="312"/>
      <c r="W188" s="312"/>
      <c r="X188" s="312"/>
      <c r="Y188" s="312"/>
      <c r="Z188" s="312"/>
      <c r="AA188" s="360"/>
      <c r="AB188" s="444"/>
      <c r="AC188" s="444"/>
      <c r="AD188" s="444"/>
      <c r="AE188" s="334"/>
    </row>
    <row r="189" spans="1:37" s="73" customFormat="1">
      <c r="A189" s="241"/>
      <c r="B189" s="242" t="s">
        <v>80</v>
      </c>
      <c r="C189" s="243">
        <v>0</v>
      </c>
      <c r="D189" s="244"/>
      <c r="E189" s="244">
        <v>0</v>
      </c>
      <c r="F189" s="244"/>
      <c r="G189" s="244">
        <v>0</v>
      </c>
      <c r="H189" s="244">
        <v>0</v>
      </c>
      <c r="I189" s="243">
        <v>0</v>
      </c>
      <c r="J189" s="243">
        <v>0</v>
      </c>
      <c r="K189" s="244"/>
      <c r="L189" s="244">
        <v>0</v>
      </c>
      <c r="M189" s="244">
        <v>0</v>
      </c>
      <c r="N189" s="243">
        <v>0</v>
      </c>
      <c r="O189" s="314"/>
      <c r="P189" s="244"/>
      <c r="Q189" s="243"/>
      <c r="R189" s="243"/>
      <c r="S189" s="243"/>
      <c r="T189" s="312"/>
      <c r="U189" s="312"/>
      <c r="V189" s="312"/>
      <c r="W189" s="312"/>
      <c r="X189" s="312"/>
      <c r="Y189" s="312"/>
      <c r="Z189" s="312"/>
      <c r="AA189" s="360"/>
      <c r="AB189" s="444"/>
      <c r="AC189" s="444"/>
      <c r="AD189" s="444"/>
      <c r="AE189" s="334"/>
    </row>
    <row r="190" spans="1:37" s="73" customFormat="1">
      <c r="A190" s="241"/>
      <c r="B190" s="245" t="s">
        <v>100</v>
      </c>
      <c r="C190" s="253">
        <v>0</v>
      </c>
      <c r="D190" s="254">
        <v>0</v>
      </c>
      <c r="E190" s="254">
        <v>0</v>
      </c>
      <c r="F190" s="254">
        <v>0</v>
      </c>
      <c r="G190" s="254">
        <v>0</v>
      </c>
      <c r="H190" s="254">
        <v>0</v>
      </c>
      <c r="I190" s="253">
        <v>0</v>
      </c>
      <c r="J190" s="253">
        <v>0</v>
      </c>
      <c r="K190" s="254">
        <v>0</v>
      </c>
      <c r="L190" s="254">
        <v>0</v>
      </c>
      <c r="M190" s="254">
        <v>0</v>
      </c>
      <c r="N190" s="253">
        <v>0</v>
      </c>
      <c r="O190" s="356">
        <v>0</v>
      </c>
      <c r="P190" s="254">
        <v>0</v>
      </c>
      <c r="Q190" s="253">
        <v>0</v>
      </c>
      <c r="R190" s="253">
        <v>0</v>
      </c>
      <c r="S190" s="253">
        <v>0</v>
      </c>
      <c r="T190" s="313">
        <v>0</v>
      </c>
      <c r="U190" s="313">
        <v>0</v>
      </c>
      <c r="V190" s="313">
        <v>0</v>
      </c>
      <c r="W190" s="313">
        <v>0</v>
      </c>
      <c r="X190" s="313">
        <v>0</v>
      </c>
      <c r="Y190" s="313">
        <v>0</v>
      </c>
      <c r="Z190" s="313">
        <v>0</v>
      </c>
      <c r="AA190" s="359">
        <v>0</v>
      </c>
      <c r="AB190" s="445"/>
      <c r="AC190" s="445"/>
      <c r="AD190" s="445"/>
      <c r="AE190" s="334"/>
    </row>
    <row r="191" spans="1:37" s="73" customFormat="1">
      <c r="A191" s="241"/>
      <c r="B191" s="242" t="s">
        <v>88</v>
      </c>
      <c r="C191" s="243">
        <v>4861.458333333333</v>
      </c>
      <c r="D191" s="244"/>
      <c r="E191" s="244">
        <v>2311.8333333333335</v>
      </c>
      <c r="F191" s="244"/>
      <c r="G191" s="244">
        <v>348.95833333333331</v>
      </c>
      <c r="H191" s="244">
        <v>353.41666666666669</v>
      </c>
      <c r="I191" s="243">
        <v>7875.6666666666661</v>
      </c>
      <c r="J191" s="243">
        <v>0</v>
      </c>
      <c r="K191" s="244"/>
      <c r="L191" s="244">
        <v>0</v>
      </c>
      <c r="M191" s="244">
        <v>0</v>
      </c>
      <c r="N191" s="243">
        <v>0</v>
      </c>
      <c r="O191" s="314"/>
      <c r="P191" s="244"/>
      <c r="Q191" s="243"/>
      <c r="R191" s="243"/>
      <c r="S191" s="243"/>
      <c r="T191" s="312"/>
      <c r="U191" s="312"/>
      <c r="V191" s="312"/>
      <c r="W191" s="312"/>
      <c r="X191" s="312"/>
      <c r="Y191" s="312"/>
      <c r="Z191" s="312"/>
      <c r="AA191" s="360"/>
      <c r="AB191" s="444"/>
      <c r="AC191" s="444"/>
      <c r="AD191" s="444"/>
      <c r="AE191" s="334"/>
    </row>
    <row r="192" spans="1:37" s="73" customFormat="1">
      <c r="A192" s="241"/>
      <c r="B192" s="242" t="s">
        <v>90</v>
      </c>
      <c r="C192" s="243">
        <v>4606.166666666667</v>
      </c>
      <c r="D192" s="244"/>
      <c r="E192" s="244">
        <v>2407.6666666666665</v>
      </c>
      <c r="F192" s="244"/>
      <c r="G192" s="244">
        <v>322.29166666666669</v>
      </c>
      <c r="H192" s="244">
        <v>389.99999999999994</v>
      </c>
      <c r="I192" s="243">
        <v>7726.1250000000009</v>
      </c>
      <c r="J192" s="243">
        <v>0</v>
      </c>
      <c r="K192" s="244"/>
      <c r="L192" s="244">
        <v>0</v>
      </c>
      <c r="M192" s="244">
        <v>0</v>
      </c>
      <c r="N192" s="243">
        <v>0</v>
      </c>
      <c r="O192" s="314"/>
      <c r="P192" s="244"/>
      <c r="Q192" s="243"/>
      <c r="R192" s="243"/>
      <c r="S192" s="243"/>
      <c r="T192" s="312"/>
      <c r="U192" s="312"/>
      <c r="V192" s="312"/>
      <c r="W192" s="312"/>
      <c r="X192" s="312"/>
      <c r="Y192" s="312"/>
      <c r="Z192" s="312"/>
      <c r="AA192" s="360"/>
      <c r="AB192" s="444"/>
      <c r="AC192" s="444"/>
      <c r="AD192" s="444"/>
      <c r="AE192" s="334"/>
    </row>
    <row r="193" spans="1:33" s="73" customFormat="1">
      <c r="A193" s="241"/>
      <c r="B193" s="245" t="s">
        <v>92</v>
      </c>
      <c r="C193" s="253">
        <v>-5.251339190057841E-2</v>
      </c>
      <c r="D193" s="254">
        <v>0</v>
      </c>
      <c r="E193" s="254">
        <v>4.1453391968855752E-2</v>
      </c>
      <c r="F193" s="254">
        <v>0</v>
      </c>
      <c r="G193" s="254">
        <v>-7.6417910447761084E-2</v>
      </c>
      <c r="H193" s="510">
        <v>0.10351332232963902</v>
      </c>
      <c r="I193" s="253">
        <v>-1.8987810555720075E-2</v>
      </c>
      <c r="J193" s="253">
        <v>0</v>
      </c>
      <c r="K193" s="254">
        <v>0</v>
      </c>
      <c r="L193" s="254">
        <v>0</v>
      </c>
      <c r="M193" s="254">
        <v>0</v>
      </c>
      <c r="N193" s="253">
        <v>0</v>
      </c>
      <c r="O193" s="356">
        <v>0</v>
      </c>
      <c r="P193" s="254">
        <v>0</v>
      </c>
      <c r="Q193" s="253">
        <v>0</v>
      </c>
      <c r="R193" s="253">
        <v>0</v>
      </c>
      <c r="S193" s="253">
        <v>0</v>
      </c>
      <c r="T193" s="313">
        <v>0</v>
      </c>
      <c r="U193" s="313">
        <v>0</v>
      </c>
      <c r="V193" s="313">
        <v>0</v>
      </c>
      <c r="W193" s="313">
        <v>0</v>
      </c>
      <c r="X193" s="313">
        <v>0</v>
      </c>
      <c r="Y193" s="313">
        <v>0</v>
      </c>
      <c r="Z193" s="313">
        <v>0</v>
      </c>
      <c r="AA193" s="359">
        <v>0</v>
      </c>
      <c r="AB193" s="445"/>
      <c r="AC193" s="445"/>
      <c r="AD193" s="445"/>
      <c r="AE193" s="334"/>
      <c r="AF193" s="216"/>
      <c r="AG193" s="309"/>
    </row>
    <row r="194" spans="1:33" s="73" customFormat="1">
      <c r="A194" s="241"/>
      <c r="B194" s="242" t="s">
        <v>8</v>
      </c>
      <c r="C194" s="243">
        <v>26908.691666666666</v>
      </c>
      <c r="D194" s="244"/>
      <c r="E194" s="244">
        <v>11113.833333333334</v>
      </c>
      <c r="F194" s="244"/>
      <c r="G194" s="244">
        <v>7936.5916666666672</v>
      </c>
      <c r="H194" s="244">
        <v>11828.986666666668</v>
      </c>
      <c r="I194" s="243">
        <v>57788.103333333333</v>
      </c>
      <c r="J194" s="243">
        <v>4472.5</v>
      </c>
      <c r="K194" s="244"/>
      <c r="L194" s="244">
        <v>6313.5433333333331</v>
      </c>
      <c r="M194" s="244">
        <v>7580.0366666666669</v>
      </c>
      <c r="N194" s="243">
        <v>18366.080000000002</v>
      </c>
      <c r="O194" s="314"/>
      <c r="P194" s="244"/>
      <c r="Q194" s="243"/>
      <c r="R194" s="243"/>
      <c r="S194" s="243"/>
      <c r="T194" s="312"/>
      <c r="U194" s="312"/>
      <c r="V194" s="312"/>
      <c r="W194" s="312"/>
      <c r="X194" s="312"/>
      <c r="Y194" s="312"/>
      <c r="Z194" s="312"/>
      <c r="AA194" s="360"/>
      <c r="AB194" s="444"/>
      <c r="AC194" s="444"/>
      <c r="AD194" s="444"/>
      <c r="AE194" s="334"/>
      <c r="AF194" s="447"/>
    </row>
    <row r="195" spans="1:33" s="73" customFormat="1">
      <c r="A195" s="241"/>
      <c r="B195" s="242" t="s">
        <v>94</v>
      </c>
      <c r="C195" s="243">
        <v>26703.866666666669</v>
      </c>
      <c r="D195" s="244"/>
      <c r="E195" s="244">
        <v>11185.266666666666</v>
      </c>
      <c r="F195" s="244"/>
      <c r="G195" s="244">
        <v>7660.1083333333336</v>
      </c>
      <c r="H195" s="244">
        <v>11492.87</v>
      </c>
      <c r="I195" s="243">
        <v>57042.111666666671</v>
      </c>
      <c r="J195" s="243">
        <v>4173.7</v>
      </c>
      <c r="K195" s="244"/>
      <c r="L195" s="244">
        <v>5780.9633333333331</v>
      </c>
      <c r="M195" s="244">
        <v>7506.6833333333334</v>
      </c>
      <c r="N195" s="243">
        <v>17461.346666666668</v>
      </c>
      <c r="O195" s="314"/>
      <c r="P195" s="244"/>
      <c r="Q195" s="243"/>
      <c r="R195" s="243"/>
      <c r="S195" s="243"/>
      <c r="T195" s="312"/>
      <c r="U195" s="312"/>
      <c r="V195" s="312"/>
      <c r="W195" s="312"/>
      <c r="X195" s="312"/>
      <c r="Y195" s="312"/>
      <c r="Z195" s="312"/>
      <c r="AA195" s="360"/>
      <c r="AB195" s="444"/>
      <c r="AC195" s="444"/>
      <c r="AD195" s="444"/>
      <c r="AE195" s="334"/>
      <c r="AF195" s="447"/>
    </row>
    <row r="196" spans="1:33" s="73" customFormat="1">
      <c r="A196" s="246"/>
      <c r="B196" s="311" t="s">
        <v>96</v>
      </c>
      <c r="C196" s="253">
        <v>-7.6118527997303389E-3</v>
      </c>
      <c r="D196" s="254">
        <v>0</v>
      </c>
      <c r="E196" s="254">
        <v>6.4274252808061254E-3</v>
      </c>
      <c r="F196" s="254">
        <v>0</v>
      </c>
      <c r="G196" s="254">
        <v>-3.4836532474582418E-2</v>
      </c>
      <c r="H196" s="254">
        <v>-2.8414662738087463E-2</v>
      </c>
      <c r="I196" s="253">
        <v>-1.2909087227930502E-2</v>
      </c>
      <c r="J196" s="253">
        <v>-6.680827277808836E-2</v>
      </c>
      <c r="K196" s="254">
        <v>0</v>
      </c>
      <c r="L196" s="254">
        <v>-8.4355166644404109E-2</v>
      </c>
      <c r="M196" s="254">
        <v>-9.677173945068885E-3</v>
      </c>
      <c r="N196" s="253">
        <v>-4.9261101625024888E-2</v>
      </c>
      <c r="O196" s="356">
        <v>0</v>
      </c>
      <c r="P196" s="254">
        <v>0</v>
      </c>
      <c r="Q196" s="253">
        <v>0</v>
      </c>
      <c r="R196" s="253">
        <v>0</v>
      </c>
      <c r="S196" s="253">
        <v>0</v>
      </c>
      <c r="T196" s="313">
        <v>0</v>
      </c>
      <c r="U196" s="313">
        <v>0</v>
      </c>
      <c r="V196" s="313">
        <v>0</v>
      </c>
      <c r="W196" s="313">
        <v>0</v>
      </c>
      <c r="X196" s="313">
        <v>0</v>
      </c>
      <c r="Y196" s="313">
        <v>0</v>
      </c>
      <c r="Z196" s="313">
        <v>0</v>
      </c>
      <c r="AA196" s="359">
        <v>0</v>
      </c>
      <c r="AB196" s="445"/>
      <c r="AC196" s="445"/>
      <c r="AD196" s="445"/>
      <c r="AE196" s="334"/>
      <c r="AF196" s="446"/>
      <c r="AG196" s="216"/>
    </row>
    <row r="197" spans="1:33" s="73" customFormat="1">
      <c r="A197" s="342" t="s">
        <v>87</v>
      </c>
      <c r="B197" s="340"/>
      <c r="C197" s="337">
        <v>867928.21333333326</v>
      </c>
      <c r="D197" s="341">
        <v>231065.2</v>
      </c>
      <c r="E197" s="341">
        <v>580103.71666666667</v>
      </c>
      <c r="F197" s="341">
        <v>152802.35000000003</v>
      </c>
      <c r="G197" s="341">
        <v>98892.566666666666</v>
      </c>
      <c r="H197" s="341">
        <v>74128.337</v>
      </c>
      <c r="I197" s="337">
        <v>2004920.3836666669</v>
      </c>
      <c r="J197" s="337">
        <v>252019.83333333331</v>
      </c>
      <c r="K197" s="341">
        <v>973652.60600000003</v>
      </c>
      <c r="L197" s="341">
        <v>416846.61100000003</v>
      </c>
      <c r="M197" s="341">
        <v>119348.05600000001</v>
      </c>
      <c r="N197" s="337">
        <v>1761867.1063333333</v>
      </c>
      <c r="O197" s="337">
        <v>84227</v>
      </c>
      <c r="P197" s="341">
        <v>84227</v>
      </c>
      <c r="Q197" s="337">
        <v>98090.19</v>
      </c>
      <c r="R197" s="337">
        <v>2102.1333333333332</v>
      </c>
      <c r="S197" s="337">
        <v>100192.32333333333</v>
      </c>
      <c r="T197" s="337">
        <v>1112.4333333333334</v>
      </c>
      <c r="U197" s="337">
        <v>1112.4333333333334</v>
      </c>
      <c r="V197" s="337">
        <v>73015.733333333337</v>
      </c>
      <c r="W197" s="337">
        <v>73015.733333333337</v>
      </c>
      <c r="X197" s="337">
        <v>10778</v>
      </c>
      <c r="Y197" s="337">
        <v>10778</v>
      </c>
      <c r="Z197" s="337">
        <v>433.26666666666665</v>
      </c>
      <c r="AA197" s="518">
        <v>433.26666666666665</v>
      </c>
      <c r="AB197" s="444"/>
      <c r="AC197" s="444"/>
      <c r="AD197" s="444"/>
      <c r="AE197" s="334"/>
    </row>
    <row r="198" spans="1:33" s="73" customFormat="1">
      <c r="A198" s="241" t="s">
        <v>85</v>
      </c>
      <c r="B198" s="242"/>
      <c r="C198" s="243">
        <v>872703.49999999988</v>
      </c>
      <c r="D198" s="244">
        <v>231084.91333333333</v>
      </c>
      <c r="E198" s="244">
        <v>580249</v>
      </c>
      <c r="F198" s="244">
        <v>151118.61666666664</v>
      </c>
      <c r="G198" s="244">
        <v>96744.05</v>
      </c>
      <c r="H198" s="244">
        <v>72227.436666666661</v>
      </c>
      <c r="I198" s="243">
        <v>2004127.5166666664</v>
      </c>
      <c r="J198" s="243">
        <v>244776.06666666671</v>
      </c>
      <c r="K198" s="244">
        <v>932373.21666666667</v>
      </c>
      <c r="L198" s="244">
        <v>398992.64666666661</v>
      </c>
      <c r="M198" s="244">
        <v>113979.66666666666</v>
      </c>
      <c r="N198" s="243">
        <v>1690121.5966666667</v>
      </c>
      <c r="O198" s="243">
        <v>82783.733333333337</v>
      </c>
      <c r="P198" s="244">
        <v>82783.733333333337</v>
      </c>
      <c r="Q198" s="243">
        <v>93652.866666666669</v>
      </c>
      <c r="R198" s="243">
        <v>1988.8666666666668</v>
      </c>
      <c r="S198" s="243">
        <v>95641.733333333337</v>
      </c>
      <c r="T198" s="243">
        <v>1139</v>
      </c>
      <c r="U198" s="243">
        <v>1139</v>
      </c>
      <c r="V198" s="243">
        <v>71863.666666666657</v>
      </c>
      <c r="W198" s="243">
        <v>71863.666666666657</v>
      </c>
      <c r="X198" s="243">
        <v>10430.233333333334</v>
      </c>
      <c r="Y198" s="243">
        <v>10430.233333333334</v>
      </c>
      <c r="Z198" s="243">
        <v>489.83333333333337</v>
      </c>
      <c r="AA198" s="519">
        <v>489.83333333333337</v>
      </c>
      <c r="AB198" s="444"/>
      <c r="AC198" s="444"/>
      <c r="AD198" s="444"/>
      <c r="AE198" s="334"/>
    </row>
    <row r="199" spans="1:33" s="73" customFormat="1">
      <c r="A199" s="241" t="s">
        <v>99</v>
      </c>
      <c r="B199" s="245"/>
      <c r="C199" s="253">
        <v>5.5019373645280511E-3</v>
      </c>
      <c r="D199" s="254">
        <v>8.5315025080880141E-5</v>
      </c>
      <c r="E199" s="254">
        <v>2.5044372094074979E-4</v>
      </c>
      <c r="F199" s="254">
        <v>-1.1019027739647571E-2</v>
      </c>
      <c r="G199" s="254">
        <v>-2.1725765030536755E-2</v>
      </c>
      <c r="H199" s="254">
        <v>-2.5643369462521787E-2</v>
      </c>
      <c r="I199" s="253">
        <v>-3.9546059108357026E-4</v>
      </c>
      <c r="J199" s="253">
        <v>-2.8742843651855199E-2</v>
      </c>
      <c r="K199" s="254">
        <v>-4.2396424637448311E-2</v>
      </c>
      <c r="L199" s="254">
        <v>-4.2831017122825693E-2</v>
      </c>
      <c r="M199" s="254">
        <v>-4.4980953299594083E-2</v>
      </c>
      <c r="N199" s="253">
        <v>-4.0721294704217523E-2</v>
      </c>
      <c r="O199" s="356">
        <v>-1.7135439546305375E-2</v>
      </c>
      <c r="P199" s="254">
        <v>-1.7135439546305375E-2</v>
      </c>
      <c r="Q199" s="253">
        <v>-4.5237177472419052E-2</v>
      </c>
      <c r="R199" s="253">
        <v>-5.3881770899403665E-2</v>
      </c>
      <c r="S199" s="253">
        <v>-4.5418549531589164E-2</v>
      </c>
      <c r="T199" s="253">
        <v>2.3881580918706683E-2</v>
      </c>
      <c r="U199" s="253">
        <v>2.3881580918706683E-2</v>
      </c>
      <c r="V199" s="253">
        <v>-1.5778334532466246E-2</v>
      </c>
      <c r="W199" s="253">
        <v>-1.5778334532466246E-2</v>
      </c>
      <c r="X199" s="253">
        <v>-3.2266345023813918E-2</v>
      </c>
      <c r="Y199" s="253">
        <v>-3.2266345023813918E-2</v>
      </c>
      <c r="Z199" s="253">
        <v>0.13055854746884149</v>
      </c>
      <c r="AA199" s="520">
        <v>0.13055854746884149</v>
      </c>
      <c r="AB199" s="445"/>
      <c r="AC199" s="445"/>
      <c r="AD199" s="445"/>
      <c r="AE199" s="334"/>
    </row>
    <row r="200" spans="1:33" s="73" customFormat="1">
      <c r="A200" s="241" t="s">
        <v>83</v>
      </c>
      <c r="B200" s="242"/>
      <c r="C200" s="243">
        <v>0</v>
      </c>
      <c r="D200" s="244">
        <v>0</v>
      </c>
      <c r="E200" s="244">
        <v>0</v>
      </c>
      <c r="F200" s="244">
        <v>0</v>
      </c>
      <c r="G200" s="244">
        <v>0</v>
      </c>
      <c r="H200" s="244">
        <v>0</v>
      </c>
      <c r="I200" s="243">
        <v>0</v>
      </c>
      <c r="J200" s="243">
        <v>14085.411111111112</v>
      </c>
      <c r="K200" s="244">
        <v>33938.606666666659</v>
      </c>
      <c r="L200" s="244">
        <v>22837.375555555562</v>
      </c>
      <c r="M200" s="244">
        <v>10384.823333333334</v>
      </c>
      <c r="N200" s="243">
        <v>81246.216666666674</v>
      </c>
      <c r="O200" s="314">
        <v>4866.2666666666664</v>
      </c>
      <c r="P200" s="244">
        <v>4866.2666666666664</v>
      </c>
      <c r="Q200" s="243">
        <v>5224.6822222222218</v>
      </c>
      <c r="R200" s="243">
        <v>26223.767777777772</v>
      </c>
      <c r="S200" s="243">
        <v>31448.449999999997</v>
      </c>
      <c r="T200" s="243">
        <v>0</v>
      </c>
      <c r="U200" s="243">
        <v>0</v>
      </c>
      <c r="V200" s="243">
        <v>3753.7722222222219</v>
      </c>
      <c r="W200" s="243">
        <v>3753.7722222222219</v>
      </c>
      <c r="X200" s="243">
        <v>1062.8766666666666</v>
      </c>
      <c r="Y200" s="243">
        <v>1062.8766666666666</v>
      </c>
      <c r="Z200" s="243">
        <v>49.617777777777775</v>
      </c>
      <c r="AA200" s="242">
        <v>49.617777777777775</v>
      </c>
      <c r="AB200" s="444"/>
      <c r="AC200" s="444"/>
      <c r="AD200" s="444"/>
      <c r="AE200" s="334"/>
    </row>
    <row r="201" spans="1:33" s="73" customFormat="1">
      <c r="A201" s="241" t="s">
        <v>81</v>
      </c>
      <c r="B201" s="242"/>
      <c r="C201" s="243">
        <v>0</v>
      </c>
      <c r="D201" s="244">
        <v>0</v>
      </c>
      <c r="E201" s="244">
        <v>0</v>
      </c>
      <c r="F201" s="244">
        <v>0</v>
      </c>
      <c r="G201" s="244">
        <v>0</v>
      </c>
      <c r="H201" s="244">
        <v>0</v>
      </c>
      <c r="I201" s="243">
        <v>0</v>
      </c>
      <c r="J201" s="243">
        <v>14353.422222222222</v>
      </c>
      <c r="K201" s="244">
        <v>33547.943333333329</v>
      </c>
      <c r="L201" s="244">
        <v>22238.104444444445</v>
      </c>
      <c r="M201" s="244">
        <v>10176.625555555554</v>
      </c>
      <c r="N201" s="243">
        <v>80316.095555555556</v>
      </c>
      <c r="O201" s="314">
        <v>4858.4288888888887</v>
      </c>
      <c r="P201" s="244">
        <v>4858.4288888888887</v>
      </c>
      <c r="Q201" s="243">
        <v>5058.6422666666658</v>
      </c>
      <c r="R201" s="243">
        <v>26292.14082222222</v>
      </c>
      <c r="S201" s="243">
        <v>31350.783088888886</v>
      </c>
      <c r="T201" s="243">
        <v>0</v>
      </c>
      <c r="U201" s="243">
        <v>0</v>
      </c>
      <c r="V201" s="243">
        <v>3759.8944444444442</v>
      </c>
      <c r="W201" s="243">
        <v>3759.8944444444442</v>
      </c>
      <c r="X201" s="243">
        <v>1032.3477777777778</v>
      </c>
      <c r="Y201" s="243">
        <v>1032.3477777777778</v>
      </c>
      <c r="Z201" s="243">
        <v>66.186666666666667</v>
      </c>
      <c r="AA201" s="242">
        <v>66.186666666666667</v>
      </c>
      <c r="AB201" s="444"/>
      <c r="AC201" s="444"/>
      <c r="AD201" s="444"/>
      <c r="AE201" s="334"/>
    </row>
    <row r="202" spans="1:33" s="73" customFormat="1">
      <c r="A202" s="241" t="s">
        <v>101</v>
      </c>
      <c r="B202" s="245"/>
      <c r="C202" s="253">
        <v>0</v>
      </c>
      <c r="D202" s="254">
        <v>0</v>
      </c>
      <c r="E202" s="254">
        <v>0</v>
      </c>
      <c r="F202" s="254">
        <v>0</v>
      </c>
      <c r="G202" s="254">
        <v>0</v>
      </c>
      <c r="H202" s="254">
        <v>0</v>
      </c>
      <c r="I202" s="253">
        <v>0</v>
      </c>
      <c r="J202" s="253">
        <v>1.9027567530470708E-2</v>
      </c>
      <c r="K202" s="254">
        <v>-1.1510883082805921E-2</v>
      </c>
      <c r="L202" s="254">
        <v>-2.624080466922606E-2</v>
      </c>
      <c r="M202" s="254">
        <v>-2.0048273436631136E-2</v>
      </c>
      <c r="N202" s="253">
        <v>-1.1448177518556328E-2</v>
      </c>
      <c r="O202" s="356">
        <v>-1.6106346640363128E-3</v>
      </c>
      <c r="P202" s="254">
        <v>-1.6106346640363128E-3</v>
      </c>
      <c r="Q202" s="253">
        <v>-3.1779914738036243E-2</v>
      </c>
      <c r="R202" s="253">
        <v>2.6072929345559979E-3</v>
      </c>
      <c r="S202" s="253">
        <v>-3.1056192311901638E-3</v>
      </c>
      <c r="T202" s="253">
        <v>0</v>
      </c>
      <c r="U202" s="253">
        <v>0</v>
      </c>
      <c r="V202" s="253">
        <v>1.6309519757162904E-3</v>
      </c>
      <c r="W202" s="253">
        <v>1.6309519757162904E-3</v>
      </c>
      <c r="X202" s="253">
        <v>-2.8722889349553374E-2</v>
      </c>
      <c r="Y202" s="253">
        <v>-2.8722889349553374E-2</v>
      </c>
      <c r="Z202" s="253">
        <v>0.33393049086348986</v>
      </c>
      <c r="AA202" s="520">
        <v>0.33393049086348986</v>
      </c>
      <c r="AB202" s="445"/>
      <c r="AC202" s="445"/>
      <c r="AD202" s="445"/>
      <c r="AE202" s="334"/>
    </row>
    <row r="203" spans="1:33" s="73" customFormat="1">
      <c r="A203" s="241" t="s">
        <v>89</v>
      </c>
      <c r="B203" s="242"/>
      <c r="C203" s="243">
        <v>215681.97916666666</v>
      </c>
      <c r="D203" s="244">
        <v>52125.833333333336</v>
      </c>
      <c r="E203" s="244">
        <v>86143.5</v>
      </c>
      <c r="F203" s="244">
        <v>20623.208333333332</v>
      </c>
      <c r="G203" s="244">
        <v>9316.4166666666661</v>
      </c>
      <c r="H203" s="244">
        <v>841.20833333333337</v>
      </c>
      <c r="I203" s="243">
        <v>384732.14583333331</v>
      </c>
      <c r="J203" s="243">
        <v>0</v>
      </c>
      <c r="K203" s="244">
        <v>0</v>
      </c>
      <c r="L203" s="244">
        <v>0</v>
      </c>
      <c r="M203" s="244">
        <v>0</v>
      </c>
      <c r="N203" s="243">
        <v>0</v>
      </c>
      <c r="O203" s="314">
        <v>0</v>
      </c>
      <c r="P203" s="244">
        <v>0</v>
      </c>
      <c r="Q203" s="243">
        <v>0</v>
      </c>
      <c r="R203" s="243">
        <v>0</v>
      </c>
      <c r="S203" s="243">
        <v>0</v>
      </c>
      <c r="T203" s="243">
        <v>172.875</v>
      </c>
      <c r="U203" s="243">
        <v>172.875</v>
      </c>
      <c r="V203" s="243">
        <v>0</v>
      </c>
      <c r="W203" s="243">
        <v>0</v>
      </c>
      <c r="X203" s="243">
        <v>0</v>
      </c>
      <c r="Y203" s="243">
        <v>0</v>
      </c>
      <c r="Z203" s="243">
        <v>0</v>
      </c>
      <c r="AA203" s="242">
        <v>0</v>
      </c>
      <c r="AB203" s="444"/>
      <c r="AC203" s="444"/>
      <c r="AD203" s="444"/>
      <c r="AE203" s="334"/>
    </row>
    <row r="204" spans="1:33" s="73" customFormat="1">
      <c r="A204" s="241" t="s">
        <v>91</v>
      </c>
      <c r="B204" s="242"/>
      <c r="C204" s="243">
        <v>220219.64583333334</v>
      </c>
      <c r="D204" s="244">
        <v>51594.229166666672</v>
      </c>
      <c r="E204" s="244">
        <v>87021.387499999997</v>
      </c>
      <c r="F204" s="244">
        <v>21564.437499999996</v>
      </c>
      <c r="G204" s="244">
        <v>9481.0416666666679</v>
      </c>
      <c r="H204" s="244">
        <v>891.45833333333326</v>
      </c>
      <c r="I204" s="243">
        <v>390772.2</v>
      </c>
      <c r="J204" s="243">
        <v>0</v>
      </c>
      <c r="K204" s="244">
        <v>0</v>
      </c>
      <c r="L204" s="244">
        <v>0</v>
      </c>
      <c r="M204" s="244">
        <v>0</v>
      </c>
      <c r="N204" s="243">
        <v>0</v>
      </c>
      <c r="O204" s="314">
        <v>0</v>
      </c>
      <c r="P204" s="244">
        <v>0</v>
      </c>
      <c r="Q204" s="243">
        <v>0</v>
      </c>
      <c r="R204" s="243">
        <v>0</v>
      </c>
      <c r="S204" s="243">
        <v>0</v>
      </c>
      <c r="T204" s="243">
        <v>162.25</v>
      </c>
      <c r="U204" s="243">
        <v>162.25</v>
      </c>
      <c r="V204" s="243">
        <v>0</v>
      </c>
      <c r="W204" s="243">
        <v>0</v>
      </c>
      <c r="X204" s="243">
        <v>0</v>
      </c>
      <c r="Y204" s="243">
        <v>0</v>
      </c>
      <c r="Z204" s="243">
        <v>0</v>
      </c>
      <c r="AA204" s="242">
        <v>0</v>
      </c>
      <c r="AB204" s="444"/>
      <c r="AC204" s="444"/>
      <c r="AD204" s="444"/>
      <c r="AE204" s="334"/>
    </row>
    <row r="205" spans="1:33" s="73" customFormat="1">
      <c r="A205" s="241" t="s">
        <v>93</v>
      </c>
      <c r="B205" s="245"/>
      <c r="C205" s="253">
        <v>2.1038691708036388E-2</v>
      </c>
      <c r="D205" s="254">
        <v>-1.0198478041918025E-2</v>
      </c>
      <c r="E205" s="254">
        <v>1.0190989453644177E-2</v>
      </c>
      <c r="F205" s="254">
        <v>4.5639318162992361E-2</v>
      </c>
      <c r="G205" s="254">
        <v>1.7670420494288755E-2</v>
      </c>
      <c r="H205" s="254">
        <v>5.9735499529446588E-2</v>
      </c>
      <c r="I205" s="253">
        <v>1.5699374830205122E-2</v>
      </c>
      <c r="J205" s="253">
        <v>0</v>
      </c>
      <c r="K205" s="254">
        <v>0</v>
      </c>
      <c r="L205" s="254">
        <v>0</v>
      </c>
      <c r="M205" s="254">
        <v>0</v>
      </c>
      <c r="N205" s="253">
        <v>0</v>
      </c>
      <c r="O205" s="356">
        <v>0</v>
      </c>
      <c r="P205" s="254">
        <v>0</v>
      </c>
      <c r="Q205" s="253">
        <v>0</v>
      </c>
      <c r="R205" s="253">
        <v>0</v>
      </c>
      <c r="S205" s="253">
        <v>0</v>
      </c>
      <c r="T205" s="253">
        <v>-6.146059291395517E-2</v>
      </c>
      <c r="U205" s="253">
        <v>-6.146059291395517E-2</v>
      </c>
      <c r="V205" s="253">
        <v>0</v>
      </c>
      <c r="W205" s="253">
        <v>0</v>
      </c>
      <c r="X205" s="253">
        <v>0</v>
      </c>
      <c r="Y205" s="253">
        <v>0</v>
      </c>
      <c r="Z205" s="253">
        <v>0</v>
      </c>
      <c r="AA205" s="520">
        <v>0</v>
      </c>
      <c r="AB205" s="445"/>
      <c r="AC205" s="445"/>
      <c r="AD205" s="445"/>
      <c r="AE205" s="334"/>
      <c r="AF205" s="216"/>
      <c r="AG205" s="309"/>
    </row>
    <row r="206" spans="1:33" s="73" customFormat="1">
      <c r="A206" s="241" t="s">
        <v>9</v>
      </c>
      <c r="B206" s="242"/>
      <c r="C206" s="243">
        <v>1083610.1924999999</v>
      </c>
      <c r="D206" s="244">
        <v>283191.03333333333</v>
      </c>
      <c r="E206" s="244">
        <v>666247.21666666656</v>
      </c>
      <c r="F206" s="244">
        <v>173425.55833333335</v>
      </c>
      <c r="G206" s="244">
        <v>108208.98333333334</v>
      </c>
      <c r="H206" s="244">
        <v>74969.545333333328</v>
      </c>
      <c r="I206" s="243">
        <v>2389652.5295000002</v>
      </c>
      <c r="J206" s="243">
        <v>266105.24444444443</v>
      </c>
      <c r="K206" s="244">
        <v>1007591.2126666668</v>
      </c>
      <c r="L206" s="244">
        <v>439683.98655555554</v>
      </c>
      <c r="M206" s="244">
        <v>129732.87933333333</v>
      </c>
      <c r="N206" s="243">
        <v>1843113.3230000001</v>
      </c>
      <c r="O206" s="314">
        <v>89093.266666666663</v>
      </c>
      <c r="P206" s="244">
        <v>89093.266666666663</v>
      </c>
      <c r="Q206" s="243">
        <v>103314.87222222223</v>
      </c>
      <c r="R206" s="243">
        <v>28325.901111111107</v>
      </c>
      <c r="S206" s="243">
        <v>131640.77333333332</v>
      </c>
      <c r="T206" s="243">
        <v>1285.3083333333334</v>
      </c>
      <c r="U206" s="243">
        <v>1285.3083333333334</v>
      </c>
      <c r="V206" s="243">
        <v>76769.505555555559</v>
      </c>
      <c r="W206" s="243">
        <v>76769.505555555559</v>
      </c>
      <c r="X206" s="243">
        <v>11840.876666666667</v>
      </c>
      <c r="Y206" s="243">
        <v>11840.876666666667</v>
      </c>
      <c r="Z206" s="243">
        <v>482.8844444444444</v>
      </c>
      <c r="AA206" s="242">
        <v>482.8844444444444</v>
      </c>
      <c r="AB206" s="444"/>
      <c r="AC206" s="444"/>
      <c r="AD206" s="444"/>
      <c r="AE206" s="334"/>
      <c r="AF206" s="447"/>
    </row>
    <row r="207" spans="1:33" s="73" customFormat="1">
      <c r="A207" s="241" t="s">
        <v>95</v>
      </c>
      <c r="B207" s="242"/>
      <c r="C207" s="243">
        <v>1092923.1458333335</v>
      </c>
      <c r="D207" s="244">
        <v>282679.14250000002</v>
      </c>
      <c r="E207" s="244">
        <v>667270.38750000019</v>
      </c>
      <c r="F207" s="244">
        <v>172683.05416666667</v>
      </c>
      <c r="G207" s="244">
        <v>106225.09166666667</v>
      </c>
      <c r="H207" s="244">
        <v>73118.895000000004</v>
      </c>
      <c r="I207" s="243">
        <v>2394899.7166666668</v>
      </c>
      <c r="J207" s="243">
        <v>259129.48888888891</v>
      </c>
      <c r="K207" s="244">
        <v>965921.16</v>
      </c>
      <c r="L207" s="244">
        <v>421230.75111111108</v>
      </c>
      <c r="M207" s="244">
        <v>124156.29222222221</v>
      </c>
      <c r="N207" s="243">
        <v>1770437.6922222222</v>
      </c>
      <c r="O207" s="314">
        <v>87642.162222222221</v>
      </c>
      <c r="P207" s="244">
        <v>87642.162222222221</v>
      </c>
      <c r="Q207" s="243">
        <v>98711.508933333331</v>
      </c>
      <c r="R207" s="243">
        <v>28281.007488888885</v>
      </c>
      <c r="S207" s="243">
        <v>126992.51642222224</v>
      </c>
      <c r="T207" s="243">
        <v>1301.25</v>
      </c>
      <c r="U207" s="243">
        <v>1301.25</v>
      </c>
      <c r="V207" s="243">
        <v>75623.561111111107</v>
      </c>
      <c r="W207" s="243">
        <v>75623.561111111107</v>
      </c>
      <c r="X207" s="243">
        <v>11462.581111111112</v>
      </c>
      <c r="Y207" s="243">
        <v>11462.581111111112</v>
      </c>
      <c r="Z207" s="243">
        <v>556.02</v>
      </c>
      <c r="AA207" s="242">
        <v>556.02</v>
      </c>
      <c r="AB207" s="444"/>
      <c r="AC207" s="444"/>
      <c r="AD207" s="444"/>
      <c r="AE207" s="334"/>
      <c r="AF207" s="447"/>
    </row>
    <row r="208" spans="1:33" s="73" customFormat="1">
      <c r="A208" s="246" t="s">
        <v>97</v>
      </c>
      <c r="B208" s="311"/>
      <c r="C208" s="253">
        <v>8.5943759091516043E-3</v>
      </c>
      <c r="D208" s="254">
        <v>-1.807581360568357E-3</v>
      </c>
      <c r="E208" s="254">
        <v>1.5357224881964295E-3</v>
      </c>
      <c r="F208" s="254">
        <v>-4.2813998917017627E-3</v>
      </c>
      <c r="G208" s="254">
        <v>-1.8333890639702071E-2</v>
      </c>
      <c r="H208" s="254">
        <v>-2.4685361570553545E-2</v>
      </c>
      <c r="I208" s="253">
        <v>2.1957950379357075E-3</v>
      </c>
      <c r="J208" s="253">
        <v>-2.621427311633432E-2</v>
      </c>
      <c r="K208" s="254">
        <v>-4.1356109643298666E-2</v>
      </c>
      <c r="L208" s="254">
        <v>-4.1969314345526754E-2</v>
      </c>
      <c r="M208" s="254">
        <v>-4.2985148713016633E-2</v>
      </c>
      <c r="N208" s="253">
        <v>-3.9430907405891433E-2</v>
      </c>
      <c r="O208" s="356">
        <v>-1.6287476020759237E-2</v>
      </c>
      <c r="P208" s="254">
        <v>-1.6287476020759237E-2</v>
      </c>
      <c r="Q208" s="253">
        <v>-4.4556637296007034E-2</v>
      </c>
      <c r="R208" s="253">
        <v>-1.5848965244263222E-3</v>
      </c>
      <c r="S208" s="253">
        <v>-3.5310161080116635E-2</v>
      </c>
      <c r="T208" s="253">
        <v>1.2402990203388245E-2</v>
      </c>
      <c r="U208" s="253">
        <v>1.2402990203388245E-2</v>
      </c>
      <c r="V208" s="253">
        <v>-1.4927078612160272E-2</v>
      </c>
      <c r="W208" s="253">
        <v>-1.4927078612160272E-2</v>
      </c>
      <c r="X208" s="253">
        <v>-3.1948272598809932E-2</v>
      </c>
      <c r="Y208" s="253">
        <v>-3.1948272598809932E-2</v>
      </c>
      <c r="Z208" s="253">
        <v>0.15145560474555686</v>
      </c>
      <c r="AA208" s="520">
        <v>0.15145560474555686</v>
      </c>
      <c r="AB208" s="445"/>
      <c r="AC208" s="445"/>
      <c r="AD208" s="445"/>
      <c r="AE208" s="334"/>
      <c r="AF208" s="446"/>
      <c r="AG208" s="216"/>
    </row>
    <row r="209" spans="1:27">
      <c r="A209" s="214"/>
      <c r="C209" s="527"/>
      <c r="D209" s="527"/>
      <c r="E209" s="527"/>
      <c r="F209" s="527"/>
      <c r="G209" s="527"/>
      <c r="H209" s="527"/>
      <c r="I209" s="527"/>
      <c r="J209" s="527"/>
      <c r="K209" s="527"/>
      <c r="L209" s="527"/>
      <c r="M209" s="527"/>
      <c r="N209" s="527"/>
      <c r="O209" s="527"/>
      <c r="P209" s="527"/>
      <c r="Q209" s="527"/>
      <c r="R209" s="527"/>
      <c r="S209" s="527"/>
      <c r="T209" s="527"/>
      <c r="U209" s="527"/>
      <c r="V209" s="527"/>
      <c r="W209" s="527"/>
      <c r="X209" s="527"/>
      <c r="Y209" s="527"/>
      <c r="Z209" s="527"/>
      <c r="AA209" s="527"/>
    </row>
    <row r="210" spans="1:27">
      <c r="A210" s="214"/>
    </row>
    <row r="211" spans="1:27">
      <c r="A211" s="214"/>
    </row>
    <row r="212" spans="1:27">
      <c r="A212" s="214"/>
    </row>
    <row r="213" spans="1:27">
      <c r="A213" s="214"/>
    </row>
    <row r="214" spans="1:27">
      <c r="A214" s="214"/>
    </row>
    <row r="215" spans="1:27">
      <c r="A215" s="214"/>
    </row>
    <row r="216" spans="1:27">
      <c r="A216" s="214"/>
    </row>
    <row r="217" spans="1:27">
      <c r="A217" s="214"/>
    </row>
    <row r="218" spans="1:27">
      <c r="A218" s="214"/>
    </row>
    <row r="219" spans="1:27">
      <c r="A219" s="214"/>
    </row>
    <row r="220" spans="1:27">
      <c r="A220" s="214"/>
    </row>
  </sheetData>
  <phoneticPr fontId="0" type="noConversion"/>
  <pageMargins left="0.5" right="0.5" top="1" bottom="1" header="0.5" footer="0.5"/>
  <pageSetup scale="95" pageOrder="overThenDown" orientation="landscape" r:id="rId2"/>
  <headerFooter alignWithMargins="0">
    <oddHeader>&amp;L&amp;"Arial,Bold"&amp;10SREB-State Data Exchange&amp;C&amp;"Arial,Bold"&amp;10Preliminary Tables&amp;R&amp;"Arial,Bold"&amp;10Part 4: FTE Enrollment</oddHeader>
    <oddFooter>&amp;L&amp;"Arial,Bold"&amp;10For Agency Review Only&amp;R&amp;"Arial,Bold"&amp;10October 2009</oddFooter>
  </headerFooter>
  <rowBreaks count="15" manualBreakCount="15">
    <brk id="16" max="16383" man="1"/>
    <brk id="28" max="16383" man="1"/>
    <brk id="40" max="16383" man="1"/>
    <brk id="52" max="16383" man="1"/>
    <brk id="64" max="16383" man="1"/>
    <brk id="76" max="16383" man="1"/>
    <brk id="88" max="16383" man="1"/>
    <brk id="100" max="16383" man="1"/>
    <brk id="112" max="16383" man="1"/>
    <brk id="124" max="16383" man="1"/>
    <brk id="136" max="16383" man="1"/>
    <brk id="148" max="16383" man="1"/>
    <brk id="160" max="16383" man="1"/>
    <brk id="172" max="16383" man="1"/>
    <brk id="184"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33"/>
  </sheetPr>
  <dimension ref="A1:AA148"/>
  <sheetViews>
    <sheetView zoomScale="80" zoomScaleNormal="80" workbookViewId="0">
      <pane xSplit="2" ySplit="5" topLeftCell="C6" activePane="bottomRight" state="frozen"/>
      <selection pane="topRight" activeCell="C1" sqref="C1"/>
      <selection pane="bottomLeft" activeCell="A6" sqref="A6"/>
      <selection pane="bottomRight" activeCell="C39" sqref="C39"/>
    </sheetView>
  </sheetViews>
  <sheetFormatPr defaultRowHeight="12.75"/>
  <cols>
    <col min="1" max="1" width="5" style="181" customWidth="1"/>
    <col min="2" max="2" width="30.6640625" style="181" customWidth="1"/>
    <col min="3" max="8" width="13.6640625" style="215" customWidth="1"/>
    <col min="9" max="9" width="16.1640625" style="215" customWidth="1"/>
    <col min="10" max="13" width="12.33203125" style="215" customWidth="1"/>
    <col min="14" max="14" width="15.6640625" style="215" customWidth="1"/>
    <col min="15" max="16" width="11.5" style="215" bestFit="1" customWidth="1"/>
    <col min="17" max="18" width="12.5" style="215" customWidth="1"/>
    <col min="19" max="19" width="15.83203125" style="215" customWidth="1"/>
    <col min="20" max="20" width="9.5" style="181" customWidth="1"/>
    <col min="21" max="21" width="10.5" style="181" customWidth="1"/>
    <col min="22" max="23" width="13.1640625" style="181" customWidth="1"/>
    <col min="24" max="24" width="12.5" style="181" customWidth="1"/>
    <col min="25" max="25" width="12.33203125" style="181" customWidth="1"/>
    <col min="26" max="27" width="11.33203125" style="181" customWidth="1"/>
    <col min="28" max="16384" width="9.33203125" style="181"/>
  </cols>
  <sheetData>
    <row r="1" spans="1:27">
      <c r="E1" s="382" t="s">
        <v>162</v>
      </c>
      <c r="L1" s="383"/>
      <c r="M1" s="4"/>
    </row>
    <row r="3" spans="1:27" s="1" customFormat="1">
      <c r="A3" s="363"/>
      <c r="B3" s="364"/>
      <c r="C3" s="384" t="s">
        <v>42</v>
      </c>
      <c r="D3" s="385" t="s">
        <v>104</v>
      </c>
      <c r="E3" s="385"/>
      <c r="F3" s="385"/>
      <c r="G3" s="385"/>
      <c r="H3" s="385"/>
      <c r="I3" s="385"/>
      <c r="J3" s="385"/>
      <c r="K3" s="385"/>
      <c r="L3" s="385"/>
      <c r="M3" s="385"/>
      <c r="N3" s="385"/>
      <c r="O3" s="385"/>
      <c r="P3" s="385"/>
      <c r="Q3" s="385"/>
      <c r="R3" s="385"/>
      <c r="S3" s="385"/>
      <c r="T3" s="366"/>
      <c r="U3" s="366"/>
      <c r="V3" s="366"/>
      <c r="W3" s="367"/>
      <c r="X3" s="366"/>
      <c r="Y3" s="366"/>
      <c r="Z3" s="366"/>
      <c r="AA3" s="367"/>
    </row>
    <row r="4" spans="1:27" s="1" customFormat="1">
      <c r="A4" s="183"/>
      <c r="B4" s="184"/>
      <c r="C4" s="384" t="s">
        <v>62</v>
      </c>
      <c r="D4" s="385"/>
      <c r="E4" s="385"/>
      <c r="F4" s="385"/>
      <c r="G4" s="385"/>
      <c r="H4" s="385"/>
      <c r="I4" s="384" t="s">
        <v>220</v>
      </c>
      <c r="J4" s="384" t="s">
        <v>221</v>
      </c>
      <c r="K4" s="385"/>
      <c r="L4" s="385"/>
      <c r="M4" s="385"/>
      <c r="N4" s="384" t="s">
        <v>222</v>
      </c>
      <c r="O4" s="384">
        <v>11</v>
      </c>
      <c r="P4" s="385" t="s">
        <v>279</v>
      </c>
      <c r="Q4" s="384" t="s">
        <v>24</v>
      </c>
      <c r="R4" s="384"/>
      <c r="S4" s="384" t="s">
        <v>23</v>
      </c>
      <c r="T4" s="368">
        <v>99</v>
      </c>
      <c r="U4" s="368" t="s">
        <v>280</v>
      </c>
      <c r="V4" s="368" t="s">
        <v>274</v>
      </c>
      <c r="W4" s="369" t="s">
        <v>281</v>
      </c>
      <c r="X4" s="368" t="s">
        <v>275</v>
      </c>
      <c r="Y4" s="368" t="s">
        <v>282</v>
      </c>
      <c r="Z4" s="368" t="s">
        <v>145</v>
      </c>
      <c r="AA4" s="369" t="s">
        <v>283</v>
      </c>
    </row>
    <row r="5" spans="1:27" s="1" customFormat="1">
      <c r="A5" s="363" t="s">
        <v>105</v>
      </c>
      <c r="B5" s="363" t="s">
        <v>58</v>
      </c>
      <c r="C5" s="384">
        <v>1</v>
      </c>
      <c r="D5" s="386">
        <v>2</v>
      </c>
      <c r="E5" s="386">
        <v>3</v>
      </c>
      <c r="F5" s="386">
        <v>4</v>
      </c>
      <c r="G5" s="386">
        <v>5</v>
      </c>
      <c r="H5" s="386">
        <v>6</v>
      </c>
      <c r="I5" s="387"/>
      <c r="J5" s="384">
        <v>7</v>
      </c>
      <c r="K5" s="386">
        <v>8</v>
      </c>
      <c r="L5" s="386">
        <v>9</v>
      </c>
      <c r="M5" s="386">
        <v>10</v>
      </c>
      <c r="N5" s="387"/>
      <c r="O5" s="384">
        <v>11</v>
      </c>
      <c r="P5" s="386"/>
      <c r="Q5" s="387">
        <v>12</v>
      </c>
      <c r="R5" s="384">
        <v>13</v>
      </c>
      <c r="S5" s="387"/>
      <c r="T5" s="368">
        <v>99</v>
      </c>
      <c r="U5" s="370"/>
      <c r="V5" s="368" t="s">
        <v>274</v>
      </c>
      <c r="W5" s="371"/>
      <c r="X5" s="368" t="s">
        <v>275</v>
      </c>
      <c r="Y5" s="370"/>
      <c r="Z5" s="368" t="s">
        <v>145</v>
      </c>
      <c r="AA5" s="371"/>
    </row>
    <row r="6" spans="1:27">
      <c r="A6" s="365" t="s">
        <v>226</v>
      </c>
      <c r="B6" s="384" t="s">
        <v>10</v>
      </c>
      <c r="C6" s="388">
        <v>1373758</v>
      </c>
      <c r="D6" s="389">
        <v>422044</v>
      </c>
      <c r="E6" s="389">
        <v>889236</v>
      </c>
      <c r="F6" s="389">
        <v>422023</v>
      </c>
      <c r="G6" s="389">
        <v>125742</v>
      </c>
      <c r="H6" s="389">
        <v>83586</v>
      </c>
      <c r="I6" s="388">
        <v>3316389</v>
      </c>
      <c r="J6" s="388">
        <v>0</v>
      </c>
      <c r="K6" s="389">
        <v>733639</v>
      </c>
      <c r="L6" s="389">
        <v>1027053</v>
      </c>
      <c r="M6" s="389">
        <v>256243</v>
      </c>
      <c r="N6" s="388">
        <v>2016935</v>
      </c>
      <c r="O6" s="388">
        <v>0</v>
      </c>
      <c r="P6" s="389">
        <v>0</v>
      </c>
      <c r="Q6" s="388">
        <v>40478</v>
      </c>
      <c r="R6" s="388">
        <v>63064</v>
      </c>
      <c r="S6" s="388">
        <v>103542</v>
      </c>
      <c r="T6" s="372">
        <v>0</v>
      </c>
      <c r="U6" s="372">
        <v>0</v>
      </c>
      <c r="V6" s="372">
        <v>0</v>
      </c>
      <c r="W6" s="373">
        <v>0</v>
      </c>
      <c r="X6" s="372">
        <v>0</v>
      </c>
      <c r="Y6" s="372">
        <v>0</v>
      </c>
      <c r="Z6" s="372">
        <v>0</v>
      </c>
      <c r="AA6" s="373">
        <v>0</v>
      </c>
    </row>
    <row r="7" spans="1:27" s="1" customFormat="1">
      <c r="A7" s="182"/>
      <c r="B7" s="477" t="s">
        <v>14</v>
      </c>
      <c r="C7" s="390">
        <v>2295</v>
      </c>
      <c r="D7" s="107">
        <v>482</v>
      </c>
      <c r="E7" s="107">
        <v>2357</v>
      </c>
      <c r="F7" s="107">
        <v>3002</v>
      </c>
      <c r="G7" s="107">
        <v>191</v>
      </c>
      <c r="H7" s="107">
        <v>0</v>
      </c>
      <c r="I7" s="390">
        <v>8327</v>
      </c>
      <c r="J7" s="390">
        <v>0</v>
      </c>
      <c r="K7" s="107">
        <v>22650</v>
      </c>
      <c r="L7" s="107">
        <v>24378</v>
      </c>
      <c r="M7" s="107">
        <v>7193</v>
      </c>
      <c r="N7" s="390">
        <v>54221</v>
      </c>
      <c r="O7" s="390">
        <v>0</v>
      </c>
      <c r="P7" s="107">
        <v>0</v>
      </c>
      <c r="Q7" s="390">
        <v>210</v>
      </c>
      <c r="R7" s="390">
        <v>3371</v>
      </c>
      <c r="S7" s="390">
        <v>3581</v>
      </c>
      <c r="T7" s="374">
        <v>0</v>
      </c>
      <c r="U7" s="374">
        <v>0</v>
      </c>
      <c r="V7" s="374">
        <v>0</v>
      </c>
      <c r="W7" s="375">
        <v>0</v>
      </c>
      <c r="X7" s="374">
        <v>0</v>
      </c>
      <c r="Y7" s="374">
        <v>0</v>
      </c>
      <c r="Z7" s="374">
        <v>0</v>
      </c>
      <c r="AA7" s="375">
        <v>0</v>
      </c>
    </row>
    <row r="8" spans="1:27">
      <c r="A8" s="182"/>
      <c r="B8" s="476" t="s">
        <v>16</v>
      </c>
      <c r="C8" s="476">
        <v>1.6705999164336076E-3</v>
      </c>
      <c r="D8" s="511">
        <v>1.1420610173346855E-3</v>
      </c>
      <c r="E8" s="511">
        <v>2.6505899446266235E-3</v>
      </c>
      <c r="F8" s="511">
        <v>7.1133563810503219E-3</v>
      </c>
      <c r="G8" s="511">
        <v>1.5189833150419112E-3</v>
      </c>
      <c r="H8" s="511">
        <v>0</v>
      </c>
      <c r="I8" s="476">
        <v>2.5108634722886851E-3</v>
      </c>
      <c r="J8" s="476">
        <v>0</v>
      </c>
      <c r="K8" s="511">
        <v>3.0873495002310399E-2</v>
      </c>
      <c r="L8" s="511">
        <v>2.3735873416464388E-2</v>
      </c>
      <c r="M8" s="511">
        <v>2.8071010720292847E-2</v>
      </c>
      <c r="N8" s="476">
        <v>2.6882869304166966E-2</v>
      </c>
      <c r="O8" s="476">
        <v>0</v>
      </c>
      <c r="P8" s="511">
        <v>0</v>
      </c>
      <c r="Q8" s="476">
        <v>5.188003359849795E-3</v>
      </c>
      <c r="R8" s="476">
        <v>5.345363440314601E-2</v>
      </c>
      <c r="S8" s="476">
        <v>3.4584999323945841E-2</v>
      </c>
      <c r="T8" s="376">
        <v>0</v>
      </c>
      <c r="U8" s="376">
        <v>0</v>
      </c>
      <c r="V8" s="376">
        <v>0</v>
      </c>
      <c r="W8" s="377">
        <v>0</v>
      </c>
      <c r="X8" s="376">
        <v>0</v>
      </c>
      <c r="Y8" s="376">
        <v>0</v>
      </c>
      <c r="Z8" s="376">
        <v>0</v>
      </c>
      <c r="AA8" s="377">
        <v>0</v>
      </c>
    </row>
    <row r="9" spans="1:27" s="1" customFormat="1">
      <c r="A9" s="182"/>
      <c r="B9" s="477" t="s">
        <v>11</v>
      </c>
      <c r="C9" s="390">
        <v>1406378</v>
      </c>
      <c r="D9" s="107">
        <v>415065</v>
      </c>
      <c r="E9" s="107">
        <v>860689</v>
      </c>
      <c r="F9" s="107">
        <v>424929</v>
      </c>
      <c r="G9" s="107">
        <v>126530</v>
      </c>
      <c r="H9" s="107">
        <v>79729</v>
      </c>
      <c r="I9" s="390">
        <v>3313320</v>
      </c>
      <c r="J9" s="390">
        <v>0</v>
      </c>
      <c r="K9" s="107">
        <v>687013</v>
      </c>
      <c r="L9" s="107">
        <v>966284</v>
      </c>
      <c r="M9" s="107">
        <v>252843</v>
      </c>
      <c r="N9" s="390">
        <v>1906140</v>
      </c>
      <c r="O9" s="390">
        <v>0</v>
      </c>
      <c r="P9" s="107">
        <v>0</v>
      </c>
      <c r="Q9" s="390">
        <v>36995</v>
      </c>
      <c r="R9" s="390">
        <v>59666</v>
      </c>
      <c r="S9" s="390">
        <v>96661</v>
      </c>
      <c r="T9" s="374">
        <v>0</v>
      </c>
      <c r="U9" s="374">
        <v>0</v>
      </c>
      <c r="V9" s="374">
        <v>0</v>
      </c>
      <c r="W9" s="375">
        <v>0</v>
      </c>
      <c r="X9" s="374">
        <v>0</v>
      </c>
      <c r="Y9" s="374">
        <v>0</v>
      </c>
      <c r="Z9" s="374">
        <v>0</v>
      </c>
      <c r="AA9" s="375">
        <v>0</v>
      </c>
    </row>
    <row r="10" spans="1:27">
      <c r="A10" s="182"/>
      <c r="B10" s="477" t="s">
        <v>15</v>
      </c>
      <c r="C10" s="390">
        <v>3543</v>
      </c>
      <c r="D10" s="107">
        <v>416</v>
      </c>
      <c r="E10" s="107">
        <v>2597</v>
      </c>
      <c r="F10" s="107">
        <v>2982</v>
      </c>
      <c r="G10" s="107">
        <v>801</v>
      </c>
      <c r="H10" s="107">
        <v>0</v>
      </c>
      <c r="I10" s="390">
        <v>10339</v>
      </c>
      <c r="J10" s="390">
        <v>0</v>
      </c>
      <c r="K10" s="107">
        <v>21024</v>
      </c>
      <c r="L10" s="107">
        <v>26830</v>
      </c>
      <c r="M10" s="107">
        <v>7252</v>
      </c>
      <c r="N10" s="390">
        <v>55106</v>
      </c>
      <c r="O10" s="390">
        <v>0</v>
      </c>
      <c r="P10" s="107">
        <v>0</v>
      </c>
      <c r="Q10" s="390">
        <v>72</v>
      </c>
      <c r="R10" s="390">
        <v>3437</v>
      </c>
      <c r="S10" s="390">
        <v>3509</v>
      </c>
      <c r="T10" s="374">
        <v>0</v>
      </c>
      <c r="U10" s="374">
        <v>0</v>
      </c>
      <c r="V10" s="374">
        <v>0</v>
      </c>
      <c r="W10" s="375">
        <v>0</v>
      </c>
      <c r="X10" s="374">
        <v>0</v>
      </c>
      <c r="Y10" s="374">
        <v>0</v>
      </c>
      <c r="Z10" s="374">
        <v>0</v>
      </c>
      <c r="AA10" s="375">
        <v>0</v>
      </c>
    </row>
    <row r="11" spans="1:27" s="1" customFormat="1">
      <c r="A11" s="182"/>
      <c r="B11" s="475" t="s">
        <v>17</v>
      </c>
      <c r="C11" s="476">
        <v>2.5192373600838465E-3</v>
      </c>
      <c r="D11" s="511">
        <v>1.0022526592220495E-3</v>
      </c>
      <c r="E11" s="511">
        <v>3.0173500532712744E-3</v>
      </c>
      <c r="F11" s="511">
        <v>7.0176429474100377E-3</v>
      </c>
      <c r="G11" s="511">
        <v>6.330514502489528E-3</v>
      </c>
      <c r="H11" s="511">
        <v>0</v>
      </c>
      <c r="I11" s="476">
        <v>3.1204350922941341E-3</v>
      </c>
      <c r="J11" s="476">
        <v>0</v>
      </c>
      <c r="K11" s="511">
        <v>3.0602041009413213E-2</v>
      </c>
      <c r="L11" s="511">
        <v>2.776616398491541E-2</v>
      </c>
      <c r="M11" s="511">
        <v>2.8681830226662396E-2</v>
      </c>
      <c r="N11" s="476">
        <v>2.890973380759021E-2</v>
      </c>
      <c r="O11" s="476">
        <v>0</v>
      </c>
      <c r="P11" s="511">
        <v>0</v>
      </c>
      <c r="Q11" s="476">
        <v>1.9462089471550209E-3</v>
      </c>
      <c r="R11" s="475">
        <v>5.7603995575369556E-2</v>
      </c>
      <c r="S11" s="475">
        <v>3.6302128055782583E-2</v>
      </c>
      <c r="T11" s="378">
        <v>0</v>
      </c>
      <c r="U11" s="378">
        <v>0</v>
      </c>
      <c r="V11" s="378">
        <v>0</v>
      </c>
      <c r="W11" s="379">
        <v>0</v>
      </c>
      <c r="X11" s="378">
        <v>0</v>
      </c>
      <c r="Y11" s="378">
        <v>0</v>
      </c>
      <c r="Z11" s="378">
        <v>0</v>
      </c>
      <c r="AA11" s="379">
        <v>0</v>
      </c>
    </row>
    <row r="12" spans="1:27">
      <c r="A12" s="185"/>
      <c r="B12" s="474" t="s">
        <v>204</v>
      </c>
      <c r="C12" s="512">
        <v>8.486374436502389E-4</v>
      </c>
      <c r="D12" s="513">
        <v>-1.3980835811263606E-4</v>
      </c>
      <c r="E12" s="513">
        <v>3.6676010864465083E-4</v>
      </c>
      <c r="F12" s="513">
        <v>-9.5713433640284146E-5</v>
      </c>
      <c r="G12" s="517">
        <v>4.8115311874476173E-3</v>
      </c>
      <c r="H12" s="513">
        <v>0</v>
      </c>
      <c r="I12" s="512">
        <v>6.0957162000544905E-4</v>
      </c>
      <c r="J12" s="512">
        <v>0</v>
      </c>
      <c r="K12" s="513">
        <v>-2.7145399289718597E-4</v>
      </c>
      <c r="L12" s="513">
        <v>4.0302905684510212E-3</v>
      </c>
      <c r="M12" s="513">
        <v>6.1081950636954901E-4</v>
      </c>
      <c r="N12" s="512">
        <v>2.0268645034232438E-3</v>
      </c>
      <c r="O12" s="512">
        <v>0</v>
      </c>
      <c r="P12" s="513">
        <v>0</v>
      </c>
      <c r="Q12" s="512">
        <v>-3.2417944126947743E-3</v>
      </c>
      <c r="R12" s="512">
        <v>4.1503611722235462E-3</v>
      </c>
      <c r="S12" s="512">
        <v>1.7171287318367423E-3</v>
      </c>
      <c r="T12" s="380">
        <v>0</v>
      </c>
      <c r="U12" s="380">
        <v>0</v>
      </c>
      <c r="V12" s="380">
        <v>0</v>
      </c>
      <c r="W12" s="381">
        <v>0</v>
      </c>
      <c r="X12" s="380">
        <v>0</v>
      </c>
      <c r="Y12" s="380">
        <v>0</v>
      </c>
      <c r="Z12" s="380">
        <v>0</v>
      </c>
      <c r="AA12" s="381">
        <v>0</v>
      </c>
    </row>
    <row r="13" spans="1:27" s="1" customFormat="1">
      <c r="A13" s="365" t="s">
        <v>277</v>
      </c>
      <c r="B13" s="384" t="s">
        <v>10</v>
      </c>
      <c r="C13" s="388">
        <v>569634</v>
      </c>
      <c r="D13" s="389">
        <v>0</v>
      </c>
      <c r="E13" s="389">
        <v>998909</v>
      </c>
      <c r="F13" s="389">
        <v>177370</v>
      </c>
      <c r="G13" s="389">
        <v>70604</v>
      </c>
      <c r="H13" s="389">
        <v>258624</v>
      </c>
      <c r="I13" s="388">
        <v>2075141</v>
      </c>
      <c r="J13" s="388">
        <v>0</v>
      </c>
      <c r="K13" s="389">
        <v>426097</v>
      </c>
      <c r="L13" s="389">
        <v>178317</v>
      </c>
      <c r="M13" s="389">
        <v>661585</v>
      </c>
      <c r="N13" s="388">
        <v>1265999</v>
      </c>
      <c r="O13" s="388">
        <v>0</v>
      </c>
      <c r="P13" s="389">
        <v>0</v>
      </c>
      <c r="Q13" s="388">
        <v>0</v>
      </c>
      <c r="R13" s="388">
        <v>0</v>
      </c>
      <c r="S13" s="388">
        <v>0</v>
      </c>
      <c r="T13" s="372">
        <v>0</v>
      </c>
      <c r="U13" s="372">
        <v>0</v>
      </c>
      <c r="V13" s="372">
        <v>0</v>
      </c>
      <c r="W13" s="373">
        <v>0</v>
      </c>
      <c r="X13" s="372">
        <v>0</v>
      </c>
      <c r="Y13" s="372">
        <v>0</v>
      </c>
      <c r="Z13" s="372">
        <v>0</v>
      </c>
      <c r="AA13" s="373">
        <v>0</v>
      </c>
    </row>
    <row r="14" spans="1:27" s="1" customFormat="1">
      <c r="A14" s="182"/>
      <c r="B14" s="477" t="s">
        <v>14</v>
      </c>
      <c r="C14" s="390">
        <v>129</v>
      </c>
      <c r="D14" s="107">
        <v>0</v>
      </c>
      <c r="E14" s="107">
        <v>27142</v>
      </c>
      <c r="F14" s="107">
        <v>1043</v>
      </c>
      <c r="G14" s="107">
        <v>4390</v>
      </c>
      <c r="H14" s="107">
        <v>1530</v>
      </c>
      <c r="I14" s="390">
        <v>34234</v>
      </c>
      <c r="J14" s="390">
        <v>0</v>
      </c>
      <c r="K14" s="107">
        <v>7661</v>
      </c>
      <c r="L14" s="107">
        <v>11083</v>
      </c>
      <c r="M14" s="107">
        <v>41366</v>
      </c>
      <c r="N14" s="390">
        <v>60110</v>
      </c>
      <c r="O14" s="390">
        <v>0</v>
      </c>
      <c r="P14" s="107">
        <v>0</v>
      </c>
      <c r="Q14" s="390">
        <v>0</v>
      </c>
      <c r="R14" s="390">
        <v>0</v>
      </c>
      <c r="S14" s="390">
        <v>0</v>
      </c>
      <c r="T14" s="374">
        <v>0</v>
      </c>
      <c r="U14" s="374">
        <v>0</v>
      </c>
      <c r="V14" s="374">
        <v>0</v>
      </c>
      <c r="W14" s="375">
        <v>0</v>
      </c>
      <c r="X14" s="374">
        <v>0</v>
      </c>
      <c r="Y14" s="374">
        <v>0</v>
      </c>
      <c r="Z14" s="374">
        <v>0</v>
      </c>
      <c r="AA14" s="375">
        <v>0</v>
      </c>
    </row>
    <row r="15" spans="1:27">
      <c r="A15" s="182"/>
      <c r="B15" s="476" t="s">
        <v>16</v>
      </c>
      <c r="C15" s="476">
        <v>2.2646120140300613E-4</v>
      </c>
      <c r="D15" s="511">
        <v>0</v>
      </c>
      <c r="E15" s="511">
        <v>2.7171644263891907E-2</v>
      </c>
      <c r="F15" s="511">
        <v>5.8803630828212208E-3</v>
      </c>
      <c r="G15" s="511">
        <v>6.2177780295733953E-2</v>
      </c>
      <c r="H15" s="511">
        <v>5.9159242761692649E-3</v>
      </c>
      <c r="I15" s="476">
        <v>1.6497192238985207E-2</v>
      </c>
      <c r="J15" s="476">
        <v>0</v>
      </c>
      <c r="K15" s="511">
        <v>1.7979474157292823E-2</v>
      </c>
      <c r="L15" s="511">
        <v>6.2153356101773805E-2</v>
      </c>
      <c r="M15" s="511">
        <v>6.2525601396645938E-2</v>
      </c>
      <c r="N15" s="476">
        <v>4.7480290268791685E-2</v>
      </c>
      <c r="O15" s="476">
        <v>0</v>
      </c>
      <c r="P15" s="511">
        <v>0</v>
      </c>
      <c r="Q15" s="476">
        <v>0</v>
      </c>
      <c r="R15" s="476">
        <v>0</v>
      </c>
      <c r="S15" s="476">
        <v>0</v>
      </c>
      <c r="T15" s="376">
        <v>0</v>
      </c>
      <c r="U15" s="376">
        <v>0</v>
      </c>
      <c r="V15" s="376">
        <v>0</v>
      </c>
      <c r="W15" s="377">
        <v>0</v>
      </c>
      <c r="X15" s="376">
        <v>0</v>
      </c>
      <c r="Y15" s="376">
        <v>0</v>
      </c>
      <c r="Z15" s="376">
        <v>0</v>
      </c>
      <c r="AA15" s="377">
        <v>0</v>
      </c>
    </row>
    <row r="16" spans="1:27" s="1" customFormat="1">
      <c r="A16" s="182"/>
      <c r="B16" s="477" t="s">
        <v>11</v>
      </c>
      <c r="C16" s="390">
        <v>600640</v>
      </c>
      <c r="D16" s="107">
        <v>0</v>
      </c>
      <c r="E16" s="107">
        <v>999098</v>
      </c>
      <c r="F16" s="107">
        <v>175880</v>
      </c>
      <c r="G16" s="107">
        <v>68493</v>
      </c>
      <c r="H16" s="107">
        <v>254003</v>
      </c>
      <c r="I16" s="390">
        <v>2098114</v>
      </c>
      <c r="J16" s="390">
        <v>0</v>
      </c>
      <c r="K16" s="107">
        <v>403264</v>
      </c>
      <c r="L16" s="107">
        <v>162942</v>
      </c>
      <c r="M16" s="107">
        <v>658222</v>
      </c>
      <c r="N16" s="390">
        <v>1224428</v>
      </c>
      <c r="O16" s="390">
        <v>0</v>
      </c>
      <c r="P16" s="107">
        <v>0</v>
      </c>
      <c r="Q16" s="390">
        <v>0</v>
      </c>
      <c r="R16" s="390">
        <v>0</v>
      </c>
      <c r="S16" s="390">
        <v>0</v>
      </c>
      <c r="T16" s="374">
        <v>0</v>
      </c>
      <c r="U16" s="374">
        <v>0</v>
      </c>
      <c r="V16" s="374">
        <v>0</v>
      </c>
      <c r="W16" s="375">
        <v>0</v>
      </c>
      <c r="X16" s="374">
        <v>0</v>
      </c>
      <c r="Y16" s="374">
        <v>0</v>
      </c>
      <c r="Z16" s="374">
        <v>0</v>
      </c>
      <c r="AA16" s="375">
        <v>0</v>
      </c>
    </row>
    <row r="17" spans="1:27">
      <c r="A17" s="182"/>
      <c r="B17" s="477" t="s">
        <v>15</v>
      </c>
      <c r="C17" s="390">
        <v>152</v>
      </c>
      <c r="D17" s="107">
        <v>0</v>
      </c>
      <c r="E17" s="107">
        <v>29439</v>
      </c>
      <c r="F17" s="107">
        <v>1553</v>
      </c>
      <c r="G17" s="107">
        <v>4557</v>
      </c>
      <c r="H17" s="107">
        <v>7665</v>
      </c>
      <c r="I17" s="390">
        <v>43366</v>
      </c>
      <c r="J17" s="390">
        <v>0</v>
      </c>
      <c r="K17" s="107">
        <v>9576</v>
      </c>
      <c r="L17" s="107">
        <v>14485</v>
      </c>
      <c r="M17" s="107">
        <v>59768</v>
      </c>
      <c r="N17" s="390">
        <v>83829</v>
      </c>
      <c r="O17" s="390">
        <v>0</v>
      </c>
      <c r="P17" s="107">
        <v>0</v>
      </c>
      <c r="Q17" s="390">
        <v>0</v>
      </c>
      <c r="R17" s="390">
        <v>0</v>
      </c>
      <c r="S17" s="390">
        <v>0</v>
      </c>
      <c r="T17" s="374">
        <v>0</v>
      </c>
      <c r="U17" s="374">
        <v>0</v>
      </c>
      <c r="V17" s="374">
        <v>0</v>
      </c>
      <c r="W17" s="375">
        <v>0</v>
      </c>
      <c r="X17" s="374">
        <v>0</v>
      </c>
      <c r="Y17" s="374">
        <v>0</v>
      </c>
      <c r="Z17" s="374">
        <v>0</v>
      </c>
      <c r="AA17" s="375">
        <v>0</v>
      </c>
    </row>
    <row r="18" spans="1:27" s="1" customFormat="1">
      <c r="A18" s="182"/>
      <c r="B18" s="475" t="s">
        <v>17</v>
      </c>
      <c r="C18" s="476">
        <v>2.5306339904102292E-4</v>
      </c>
      <c r="D18" s="511">
        <v>0</v>
      </c>
      <c r="E18" s="511">
        <v>2.9465577951312084E-2</v>
      </c>
      <c r="F18" s="511">
        <v>8.8298840118262445E-3</v>
      </c>
      <c r="G18" s="511">
        <v>6.653234637116201E-2</v>
      </c>
      <c r="H18" s="511">
        <v>3.0176808935327537E-2</v>
      </c>
      <c r="I18" s="476">
        <v>2.0669038955938523E-2</v>
      </c>
      <c r="J18" s="476">
        <v>0</v>
      </c>
      <c r="K18" s="511">
        <v>2.3746230757022695E-2</v>
      </c>
      <c r="L18" s="511">
        <v>8.8896662616145622E-2</v>
      </c>
      <c r="M18" s="511">
        <v>9.0802191357930911E-2</v>
      </c>
      <c r="N18" s="476">
        <v>6.8463805140032738E-2</v>
      </c>
      <c r="O18" s="476">
        <v>0</v>
      </c>
      <c r="P18" s="511">
        <v>0</v>
      </c>
      <c r="Q18" s="476">
        <v>0</v>
      </c>
      <c r="R18" s="475">
        <v>0</v>
      </c>
      <c r="S18" s="475">
        <v>0</v>
      </c>
      <c r="T18" s="378">
        <v>0</v>
      </c>
      <c r="U18" s="378">
        <v>0</v>
      </c>
      <c r="V18" s="378">
        <v>0</v>
      </c>
      <c r="W18" s="379">
        <v>0</v>
      </c>
      <c r="X18" s="378">
        <v>0</v>
      </c>
      <c r="Y18" s="378">
        <v>0</v>
      </c>
      <c r="Z18" s="378">
        <v>0</v>
      </c>
      <c r="AA18" s="379">
        <v>0</v>
      </c>
    </row>
    <row r="19" spans="1:27">
      <c r="A19" s="185"/>
      <c r="B19" s="474" t="s">
        <v>204</v>
      </c>
      <c r="C19" s="512">
        <v>2.6602197638016793E-5</v>
      </c>
      <c r="D19" s="513">
        <v>0</v>
      </c>
      <c r="E19" s="513">
        <v>2.2939336874201778E-3</v>
      </c>
      <c r="F19" s="513">
        <v>2.9495209290050237E-3</v>
      </c>
      <c r="G19" s="513">
        <v>4.3545660754280568E-3</v>
      </c>
      <c r="H19" s="517">
        <v>2.4260884659158273E-2</v>
      </c>
      <c r="I19" s="512">
        <v>4.171846716953316E-3</v>
      </c>
      <c r="J19" s="512">
        <v>0</v>
      </c>
      <c r="K19" s="517">
        <v>5.7667565997298713E-3</v>
      </c>
      <c r="L19" s="517">
        <v>2.6743306514371817E-2</v>
      </c>
      <c r="M19" s="517">
        <v>2.8276589961284973E-2</v>
      </c>
      <c r="N19" s="512">
        <v>2.0983514871241053E-2</v>
      </c>
      <c r="O19" s="512">
        <v>0</v>
      </c>
      <c r="P19" s="513">
        <v>0</v>
      </c>
      <c r="Q19" s="512">
        <v>0</v>
      </c>
      <c r="R19" s="512">
        <v>0</v>
      </c>
      <c r="S19" s="512">
        <v>0</v>
      </c>
      <c r="T19" s="380">
        <v>0</v>
      </c>
      <c r="U19" s="380">
        <v>0</v>
      </c>
      <c r="V19" s="380">
        <v>0</v>
      </c>
      <c r="W19" s="381">
        <v>0</v>
      </c>
      <c r="X19" s="380">
        <v>0</v>
      </c>
      <c r="Y19" s="380">
        <v>0</v>
      </c>
      <c r="Z19" s="380">
        <v>0</v>
      </c>
      <c r="AA19" s="381">
        <v>0</v>
      </c>
    </row>
    <row r="20" spans="1:27" s="1" customFormat="1">
      <c r="A20" s="365" t="s">
        <v>285</v>
      </c>
      <c r="B20" s="384" t="s">
        <v>10</v>
      </c>
      <c r="C20" s="388">
        <v>0</v>
      </c>
      <c r="D20" s="389">
        <v>0</v>
      </c>
      <c r="E20" s="389">
        <v>0</v>
      </c>
      <c r="F20" s="389">
        <v>0</v>
      </c>
      <c r="G20" s="389">
        <v>0</v>
      </c>
      <c r="H20" s="389">
        <v>0</v>
      </c>
      <c r="I20" s="388">
        <v>0</v>
      </c>
      <c r="J20" s="388">
        <v>0</v>
      </c>
      <c r="K20" s="389">
        <v>0</v>
      </c>
      <c r="L20" s="389">
        <v>0</v>
      </c>
      <c r="M20" s="389">
        <v>0</v>
      </c>
      <c r="N20" s="388">
        <v>0</v>
      </c>
      <c r="O20" s="388">
        <v>0</v>
      </c>
      <c r="P20" s="389">
        <v>0</v>
      </c>
      <c r="Q20" s="388">
        <v>0</v>
      </c>
      <c r="R20" s="388">
        <v>0</v>
      </c>
      <c r="S20" s="388">
        <v>0</v>
      </c>
      <c r="T20" s="372">
        <v>0</v>
      </c>
      <c r="U20" s="372">
        <v>0</v>
      </c>
      <c r="V20" s="372">
        <v>0</v>
      </c>
      <c r="W20" s="373">
        <v>0</v>
      </c>
      <c r="X20" s="372">
        <v>0</v>
      </c>
      <c r="Y20" s="372">
        <v>0</v>
      </c>
      <c r="Z20" s="372">
        <v>0</v>
      </c>
      <c r="AA20" s="373">
        <v>0</v>
      </c>
    </row>
    <row r="21" spans="1:27">
      <c r="A21" s="182"/>
      <c r="B21" s="477" t="s">
        <v>14</v>
      </c>
      <c r="C21" s="390">
        <v>0</v>
      </c>
      <c r="D21" s="107">
        <v>0</v>
      </c>
      <c r="E21" s="107">
        <v>0</v>
      </c>
      <c r="F21" s="107">
        <v>0</v>
      </c>
      <c r="G21" s="107">
        <v>0</v>
      </c>
      <c r="H21" s="107">
        <v>0</v>
      </c>
      <c r="I21" s="390">
        <v>0</v>
      </c>
      <c r="J21" s="390">
        <v>0</v>
      </c>
      <c r="K21" s="107">
        <v>0</v>
      </c>
      <c r="L21" s="107">
        <v>0</v>
      </c>
      <c r="M21" s="107">
        <v>0</v>
      </c>
      <c r="N21" s="390">
        <v>0</v>
      </c>
      <c r="O21" s="390">
        <v>0</v>
      </c>
      <c r="P21" s="107">
        <v>0</v>
      </c>
      <c r="Q21" s="390">
        <v>0</v>
      </c>
      <c r="R21" s="390">
        <v>0</v>
      </c>
      <c r="S21" s="390">
        <v>0</v>
      </c>
      <c r="T21" s="374">
        <v>0</v>
      </c>
      <c r="U21" s="374">
        <v>0</v>
      </c>
      <c r="V21" s="374">
        <v>0</v>
      </c>
      <c r="W21" s="375">
        <v>0</v>
      </c>
      <c r="X21" s="374">
        <v>0</v>
      </c>
      <c r="Y21" s="374">
        <v>0</v>
      </c>
      <c r="Z21" s="374">
        <v>0</v>
      </c>
      <c r="AA21" s="375">
        <v>0</v>
      </c>
    </row>
    <row r="22" spans="1:27" s="1" customFormat="1">
      <c r="A22" s="182"/>
      <c r="B22" s="476" t="s">
        <v>16</v>
      </c>
      <c r="C22" s="476">
        <v>0</v>
      </c>
      <c r="D22" s="511">
        <v>0</v>
      </c>
      <c r="E22" s="511">
        <v>0</v>
      </c>
      <c r="F22" s="511">
        <v>0</v>
      </c>
      <c r="G22" s="511">
        <v>0</v>
      </c>
      <c r="H22" s="511">
        <v>0</v>
      </c>
      <c r="I22" s="476">
        <v>0</v>
      </c>
      <c r="J22" s="476">
        <v>0</v>
      </c>
      <c r="K22" s="511">
        <v>0</v>
      </c>
      <c r="L22" s="511">
        <v>0</v>
      </c>
      <c r="M22" s="511">
        <v>0</v>
      </c>
      <c r="N22" s="476">
        <v>0</v>
      </c>
      <c r="O22" s="476">
        <v>0</v>
      </c>
      <c r="P22" s="511">
        <v>0</v>
      </c>
      <c r="Q22" s="476">
        <v>0</v>
      </c>
      <c r="R22" s="476">
        <v>0</v>
      </c>
      <c r="S22" s="476">
        <v>0</v>
      </c>
      <c r="T22" s="376">
        <v>0</v>
      </c>
      <c r="U22" s="376">
        <v>0</v>
      </c>
      <c r="V22" s="376">
        <v>0</v>
      </c>
      <c r="W22" s="377">
        <v>0</v>
      </c>
      <c r="X22" s="376">
        <v>0</v>
      </c>
      <c r="Y22" s="376">
        <v>0</v>
      </c>
      <c r="Z22" s="376">
        <v>0</v>
      </c>
      <c r="AA22" s="377">
        <v>0</v>
      </c>
    </row>
    <row r="23" spans="1:27">
      <c r="A23" s="182"/>
      <c r="B23" s="477" t="s">
        <v>11</v>
      </c>
      <c r="C23" s="390">
        <v>0</v>
      </c>
      <c r="D23" s="107">
        <v>0</v>
      </c>
      <c r="E23" s="107">
        <v>0</v>
      </c>
      <c r="F23" s="107">
        <v>0</v>
      </c>
      <c r="G23" s="107">
        <v>0</v>
      </c>
      <c r="H23" s="107">
        <v>0</v>
      </c>
      <c r="I23" s="390">
        <v>0</v>
      </c>
      <c r="J23" s="390">
        <v>0</v>
      </c>
      <c r="K23" s="107">
        <v>0</v>
      </c>
      <c r="L23" s="107">
        <v>0</v>
      </c>
      <c r="M23" s="107">
        <v>0</v>
      </c>
      <c r="N23" s="390">
        <v>0</v>
      </c>
      <c r="O23" s="390">
        <v>0</v>
      </c>
      <c r="P23" s="107">
        <v>0</v>
      </c>
      <c r="Q23" s="390">
        <v>0</v>
      </c>
      <c r="R23" s="390">
        <v>0</v>
      </c>
      <c r="S23" s="390">
        <v>0</v>
      </c>
      <c r="T23" s="374">
        <v>0</v>
      </c>
      <c r="U23" s="374">
        <v>0</v>
      </c>
      <c r="V23" s="374">
        <v>0</v>
      </c>
      <c r="W23" s="375">
        <v>0</v>
      </c>
      <c r="X23" s="374">
        <v>0</v>
      </c>
      <c r="Y23" s="374">
        <v>0</v>
      </c>
      <c r="Z23" s="374">
        <v>0</v>
      </c>
      <c r="AA23" s="375">
        <v>0</v>
      </c>
    </row>
    <row r="24" spans="1:27" s="1" customFormat="1">
      <c r="A24" s="182"/>
      <c r="B24" s="477" t="s">
        <v>15</v>
      </c>
      <c r="C24" s="390">
        <v>0</v>
      </c>
      <c r="D24" s="107">
        <v>0</v>
      </c>
      <c r="E24" s="107">
        <v>0</v>
      </c>
      <c r="F24" s="107">
        <v>0</v>
      </c>
      <c r="G24" s="107">
        <v>0</v>
      </c>
      <c r="H24" s="107">
        <v>0</v>
      </c>
      <c r="I24" s="390">
        <v>0</v>
      </c>
      <c r="J24" s="390">
        <v>0</v>
      </c>
      <c r="K24" s="107">
        <v>0</v>
      </c>
      <c r="L24" s="107">
        <v>0</v>
      </c>
      <c r="M24" s="107">
        <v>0</v>
      </c>
      <c r="N24" s="390">
        <v>0</v>
      </c>
      <c r="O24" s="390">
        <v>0</v>
      </c>
      <c r="P24" s="107">
        <v>0</v>
      </c>
      <c r="Q24" s="390">
        <v>0</v>
      </c>
      <c r="R24" s="390">
        <v>0</v>
      </c>
      <c r="S24" s="390">
        <v>0</v>
      </c>
      <c r="T24" s="374">
        <v>0</v>
      </c>
      <c r="U24" s="374">
        <v>0</v>
      </c>
      <c r="V24" s="374">
        <v>0</v>
      </c>
      <c r="W24" s="375">
        <v>0</v>
      </c>
      <c r="X24" s="374">
        <v>0</v>
      </c>
      <c r="Y24" s="374">
        <v>0</v>
      </c>
      <c r="Z24" s="374">
        <v>0</v>
      </c>
      <c r="AA24" s="375">
        <v>0</v>
      </c>
    </row>
    <row r="25" spans="1:27">
      <c r="A25" s="182"/>
      <c r="B25" s="475" t="s">
        <v>17</v>
      </c>
      <c r="C25" s="476">
        <v>0</v>
      </c>
      <c r="D25" s="511">
        <v>0</v>
      </c>
      <c r="E25" s="511">
        <v>0</v>
      </c>
      <c r="F25" s="511">
        <v>0</v>
      </c>
      <c r="G25" s="511">
        <v>0</v>
      </c>
      <c r="H25" s="511">
        <v>0</v>
      </c>
      <c r="I25" s="476">
        <v>0</v>
      </c>
      <c r="J25" s="476">
        <v>0</v>
      </c>
      <c r="K25" s="511">
        <v>0</v>
      </c>
      <c r="L25" s="511">
        <v>0</v>
      </c>
      <c r="M25" s="511">
        <v>0</v>
      </c>
      <c r="N25" s="476">
        <v>0</v>
      </c>
      <c r="O25" s="476">
        <v>0</v>
      </c>
      <c r="P25" s="511">
        <v>0</v>
      </c>
      <c r="Q25" s="476">
        <v>0</v>
      </c>
      <c r="R25" s="475">
        <v>0</v>
      </c>
      <c r="S25" s="475">
        <v>0</v>
      </c>
      <c r="T25" s="378">
        <v>0</v>
      </c>
      <c r="U25" s="378">
        <v>0</v>
      </c>
      <c r="V25" s="378">
        <v>0</v>
      </c>
      <c r="W25" s="379">
        <v>0</v>
      </c>
      <c r="X25" s="378">
        <v>0</v>
      </c>
      <c r="Y25" s="378">
        <v>0</v>
      </c>
      <c r="Z25" s="378">
        <v>0</v>
      </c>
      <c r="AA25" s="379">
        <v>0</v>
      </c>
    </row>
    <row r="26" spans="1:27" s="1" customFormat="1">
      <c r="A26" s="185"/>
      <c r="B26" s="474" t="s">
        <v>204</v>
      </c>
      <c r="C26" s="512">
        <v>0</v>
      </c>
      <c r="D26" s="513">
        <v>0</v>
      </c>
      <c r="E26" s="513">
        <v>0</v>
      </c>
      <c r="F26" s="513">
        <v>0</v>
      </c>
      <c r="G26" s="513">
        <v>0</v>
      </c>
      <c r="H26" s="513">
        <v>0</v>
      </c>
      <c r="I26" s="512">
        <v>0</v>
      </c>
      <c r="J26" s="512">
        <v>0</v>
      </c>
      <c r="K26" s="513">
        <v>0</v>
      </c>
      <c r="L26" s="513">
        <v>0</v>
      </c>
      <c r="M26" s="513">
        <v>0</v>
      </c>
      <c r="N26" s="512">
        <v>0</v>
      </c>
      <c r="O26" s="512">
        <v>0</v>
      </c>
      <c r="P26" s="513">
        <v>0</v>
      </c>
      <c r="Q26" s="512">
        <v>0</v>
      </c>
      <c r="R26" s="512">
        <v>0</v>
      </c>
      <c r="S26" s="512">
        <v>0</v>
      </c>
      <c r="T26" s="380">
        <v>0</v>
      </c>
      <c r="U26" s="380">
        <v>0</v>
      </c>
      <c r="V26" s="380">
        <v>0</v>
      </c>
      <c r="W26" s="381">
        <v>0</v>
      </c>
      <c r="X26" s="380">
        <v>0</v>
      </c>
      <c r="Y26" s="380">
        <v>0</v>
      </c>
      <c r="Z26" s="380">
        <v>0</v>
      </c>
      <c r="AA26" s="381">
        <v>0</v>
      </c>
    </row>
    <row r="27" spans="1:27">
      <c r="A27" s="365" t="s">
        <v>284</v>
      </c>
      <c r="B27" s="384" t="s">
        <v>10</v>
      </c>
      <c r="C27" s="388">
        <v>5383788</v>
      </c>
      <c r="D27" s="389">
        <v>616805</v>
      </c>
      <c r="E27" s="389">
        <v>940737</v>
      </c>
      <c r="F27" s="389">
        <v>304411</v>
      </c>
      <c r="G27" s="389">
        <v>0</v>
      </c>
      <c r="H27" s="389">
        <v>28520</v>
      </c>
      <c r="I27" s="388">
        <v>7274261</v>
      </c>
      <c r="J27" s="388">
        <v>18208143</v>
      </c>
      <c r="K27" s="389">
        <v>9868433</v>
      </c>
      <c r="L27" s="389">
        <v>1492949</v>
      </c>
      <c r="M27" s="389">
        <v>171206</v>
      </c>
      <c r="N27" s="388">
        <v>29740731</v>
      </c>
      <c r="O27" s="388">
        <v>0</v>
      </c>
      <c r="P27" s="389">
        <v>0</v>
      </c>
      <c r="Q27" s="388">
        <v>0</v>
      </c>
      <c r="R27" s="388">
        <v>0</v>
      </c>
      <c r="S27" s="388">
        <v>0</v>
      </c>
      <c r="T27" s="372">
        <v>0</v>
      </c>
      <c r="U27" s="372">
        <v>0</v>
      </c>
      <c r="V27" s="372">
        <v>0</v>
      </c>
      <c r="W27" s="373">
        <v>0</v>
      </c>
      <c r="X27" s="372">
        <v>0</v>
      </c>
      <c r="Y27" s="372">
        <v>0</v>
      </c>
      <c r="Z27" s="372">
        <v>0</v>
      </c>
      <c r="AA27" s="373">
        <v>0</v>
      </c>
    </row>
    <row r="28" spans="1:27" s="1" customFormat="1">
      <c r="A28" s="182"/>
      <c r="B28" s="477" t="s">
        <v>14</v>
      </c>
      <c r="C28" s="390">
        <v>37851</v>
      </c>
      <c r="D28" s="107">
        <v>8071</v>
      </c>
      <c r="E28" s="107">
        <v>1547</v>
      </c>
      <c r="F28" s="107">
        <v>3235</v>
      </c>
      <c r="G28" s="107">
        <v>0</v>
      </c>
      <c r="H28" s="107">
        <v>20</v>
      </c>
      <c r="I28" s="390">
        <v>50724</v>
      </c>
      <c r="J28" s="390">
        <v>427340</v>
      </c>
      <c r="K28" s="107">
        <v>307590</v>
      </c>
      <c r="L28" s="107">
        <v>137538</v>
      </c>
      <c r="M28" s="107">
        <v>5394</v>
      </c>
      <c r="N28" s="390">
        <v>877862</v>
      </c>
      <c r="O28" s="390">
        <v>0</v>
      </c>
      <c r="P28" s="107">
        <v>0</v>
      </c>
      <c r="Q28" s="390">
        <v>0</v>
      </c>
      <c r="R28" s="390">
        <v>0</v>
      </c>
      <c r="S28" s="390">
        <v>0</v>
      </c>
      <c r="T28" s="374">
        <v>0</v>
      </c>
      <c r="U28" s="374">
        <v>0</v>
      </c>
      <c r="V28" s="374">
        <v>0</v>
      </c>
      <c r="W28" s="375">
        <v>0</v>
      </c>
      <c r="X28" s="374">
        <v>0</v>
      </c>
      <c r="Y28" s="374">
        <v>0</v>
      </c>
      <c r="Z28" s="374">
        <v>0</v>
      </c>
      <c r="AA28" s="375">
        <v>0</v>
      </c>
    </row>
    <row r="29" spans="1:27">
      <c r="A29" s="182"/>
      <c r="B29" s="476" t="s">
        <v>16</v>
      </c>
      <c r="C29" s="476">
        <v>7.0305517230619032E-3</v>
      </c>
      <c r="D29" s="511">
        <v>1.3085172785564319E-2</v>
      </c>
      <c r="E29" s="511">
        <v>1.6444553578736671E-3</v>
      </c>
      <c r="F29" s="511">
        <v>1.0627079836142583E-2</v>
      </c>
      <c r="G29" s="511">
        <v>0</v>
      </c>
      <c r="H29" s="511">
        <v>7.0126227208976155E-4</v>
      </c>
      <c r="I29" s="476">
        <v>6.973079464704387E-3</v>
      </c>
      <c r="J29" s="476">
        <v>2.3469719015277946E-2</v>
      </c>
      <c r="K29" s="511">
        <v>3.1169082264631071E-2</v>
      </c>
      <c r="L29" s="511">
        <v>9.2125049147693594E-2</v>
      </c>
      <c r="M29" s="511">
        <v>3.1505905166874994E-2</v>
      </c>
      <c r="N29" s="476">
        <v>2.9517162843105637E-2</v>
      </c>
      <c r="O29" s="476">
        <v>0</v>
      </c>
      <c r="P29" s="511">
        <v>0</v>
      </c>
      <c r="Q29" s="476">
        <v>0</v>
      </c>
      <c r="R29" s="476">
        <v>0</v>
      </c>
      <c r="S29" s="476">
        <v>0</v>
      </c>
      <c r="T29" s="376">
        <v>0</v>
      </c>
      <c r="U29" s="376">
        <v>0</v>
      </c>
      <c r="V29" s="376">
        <v>0</v>
      </c>
      <c r="W29" s="377">
        <v>0</v>
      </c>
      <c r="X29" s="376">
        <v>0</v>
      </c>
      <c r="Y29" s="376">
        <v>0</v>
      </c>
      <c r="Z29" s="376">
        <v>0</v>
      </c>
      <c r="AA29" s="377">
        <v>0</v>
      </c>
    </row>
    <row r="30" spans="1:27" s="1" customFormat="1">
      <c r="A30" s="182"/>
      <c r="B30" s="477" t="s">
        <v>11</v>
      </c>
      <c r="C30" s="390">
        <v>5312052</v>
      </c>
      <c r="D30" s="107">
        <v>627469</v>
      </c>
      <c r="E30" s="107">
        <v>914284</v>
      </c>
      <c r="F30" s="107">
        <v>320332</v>
      </c>
      <c r="G30" s="107">
        <v>0</v>
      </c>
      <c r="H30" s="107">
        <v>27756</v>
      </c>
      <c r="I30" s="390">
        <v>7201893</v>
      </c>
      <c r="J30" s="390">
        <v>17932075</v>
      </c>
      <c r="K30" s="107">
        <v>9361752</v>
      </c>
      <c r="L30" s="107">
        <v>1339208</v>
      </c>
      <c r="M30" s="107">
        <v>161400</v>
      </c>
      <c r="N30" s="390">
        <v>28794435</v>
      </c>
      <c r="O30" s="390">
        <v>0</v>
      </c>
      <c r="P30" s="107">
        <v>0</v>
      </c>
      <c r="Q30" s="390">
        <v>0</v>
      </c>
      <c r="R30" s="390">
        <v>0</v>
      </c>
      <c r="S30" s="390">
        <v>0</v>
      </c>
      <c r="T30" s="374">
        <v>0</v>
      </c>
      <c r="U30" s="374">
        <v>0</v>
      </c>
      <c r="V30" s="374">
        <v>0</v>
      </c>
      <c r="W30" s="375">
        <v>0</v>
      </c>
      <c r="X30" s="374">
        <v>0</v>
      </c>
      <c r="Y30" s="374">
        <v>0</v>
      </c>
      <c r="Z30" s="374">
        <v>0</v>
      </c>
      <c r="AA30" s="375">
        <v>0</v>
      </c>
    </row>
    <row r="31" spans="1:27">
      <c r="A31" s="182"/>
      <c r="B31" s="477" t="s">
        <v>15</v>
      </c>
      <c r="C31" s="390">
        <v>43531</v>
      </c>
      <c r="D31" s="107">
        <v>10848</v>
      </c>
      <c r="E31" s="107">
        <v>1545</v>
      </c>
      <c r="F31" s="107">
        <v>2184</v>
      </c>
      <c r="G31" s="107">
        <v>0</v>
      </c>
      <c r="H31" s="107">
        <v>16</v>
      </c>
      <c r="I31" s="390">
        <v>58124</v>
      </c>
      <c r="J31" s="390">
        <v>423576</v>
      </c>
      <c r="K31" s="107">
        <v>299559</v>
      </c>
      <c r="L31" s="107">
        <v>122193</v>
      </c>
      <c r="M31" s="107">
        <v>5189</v>
      </c>
      <c r="N31" s="390">
        <v>850517</v>
      </c>
      <c r="O31" s="390">
        <v>0</v>
      </c>
      <c r="P31" s="107">
        <v>0</v>
      </c>
      <c r="Q31" s="390">
        <v>0</v>
      </c>
      <c r="R31" s="390">
        <v>0</v>
      </c>
      <c r="S31" s="390">
        <v>0</v>
      </c>
      <c r="T31" s="374">
        <v>0</v>
      </c>
      <c r="U31" s="374">
        <v>0</v>
      </c>
      <c r="V31" s="374">
        <v>0</v>
      </c>
      <c r="W31" s="375">
        <v>0</v>
      </c>
      <c r="X31" s="374">
        <v>0</v>
      </c>
      <c r="Y31" s="374">
        <v>0</v>
      </c>
      <c r="Z31" s="374">
        <v>0</v>
      </c>
      <c r="AA31" s="375">
        <v>0</v>
      </c>
    </row>
    <row r="32" spans="1:27" s="1" customFormat="1">
      <c r="A32" s="182"/>
      <c r="B32" s="475" t="s">
        <v>17</v>
      </c>
      <c r="C32" s="476">
        <v>8.1947616476645939E-3</v>
      </c>
      <c r="D32" s="511">
        <v>1.7288503495790232E-2</v>
      </c>
      <c r="E32" s="511">
        <v>1.6898469184629722E-3</v>
      </c>
      <c r="F32" s="511">
        <v>6.8179264013585907E-3</v>
      </c>
      <c r="G32" s="511">
        <v>0</v>
      </c>
      <c r="H32" s="511">
        <v>5.7645193831964265E-4</v>
      </c>
      <c r="I32" s="476">
        <v>8.0706558678391924E-3</v>
      </c>
      <c r="J32" s="476">
        <v>2.3621136984983613E-2</v>
      </c>
      <c r="K32" s="511">
        <v>3.1998177264255662E-2</v>
      </c>
      <c r="L32" s="511">
        <v>9.1242734511741266E-2</v>
      </c>
      <c r="M32" s="511">
        <v>3.214993804213135E-2</v>
      </c>
      <c r="N32" s="476">
        <v>2.9537547793523296E-2</v>
      </c>
      <c r="O32" s="476">
        <v>0</v>
      </c>
      <c r="P32" s="511">
        <v>0</v>
      </c>
      <c r="Q32" s="476">
        <v>0</v>
      </c>
      <c r="R32" s="475">
        <v>0</v>
      </c>
      <c r="S32" s="475">
        <v>0</v>
      </c>
      <c r="T32" s="378">
        <v>0</v>
      </c>
      <c r="U32" s="378">
        <v>0</v>
      </c>
      <c r="V32" s="378">
        <v>0</v>
      </c>
      <c r="W32" s="379">
        <v>0</v>
      </c>
      <c r="X32" s="378">
        <v>0</v>
      </c>
      <c r="Y32" s="378">
        <v>0</v>
      </c>
      <c r="Z32" s="378">
        <v>0</v>
      </c>
      <c r="AA32" s="379">
        <v>0</v>
      </c>
    </row>
    <row r="33" spans="1:27">
      <c r="A33" s="185"/>
      <c r="B33" s="474" t="s">
        <v>204</v>
      </c>
      <c r="C33" s="512">
        <v>1.1642099246026907E-3</v>
      </c>
      <c r="D33" s="513">
        <v>4.2033307102259127E-3</v>
      </c>
      <c r="E33" s="513">
        <v>4.5391560589305106E-5</v>
      </c>
      <c r="F33" s="513">
        <v>-3.8091534347839927E-3</v>
      </c>
      <c r="G33" s="513">
        <v>0</v>
      </c>
      <c r="H33" s="513">
        <v>-1.248103337701189E-4</v>
      </c>
      <c r="I33" s="512">
        <v>1.0975764031348053E-3</v>
      </c>
      <c r="J33" s="512">
        <v>1.5141796970566737E-4</v>
      </c>
      <c r="K33" s="513">
        <v>8.2909499962459041E-4</v>
      </c>
      <c r="L33" s="513">
        <v>-8.8231463595232762E-4</v>
      </c>
      <c r="M33" s="513">
        <v>6.4403287525635622E-4</v>
      </c>
      <c r="N33" s="512">
        <v>2.0384950417659531E-5</v>
      </c>
      <c r="O33" s="512">
        <v>0</v>
      </c>
      <c r="P33" s="513">
        <v>0</v>
      </c>
      <c r="Q33" s="512">
        <v>0</v>
      </c>
      <c r="R33" s="512">
        <v>0</v>
      </c>
      <c r="S33" s="512">
        <v>0</v>
      </c>
      <c r="T33" s="380">
        <v>0</v>
      </c>
      <c r="U33" s="380">
        <v>0</v>
      </c>
      <c r="V33" s="380">
        <v>0</v>
      </c>
      <c r="W33" s="381">
        <v>0</v>
      </c>
      <c r="X33" s="380">
        <v>0</v>
      </c>
      <c r="Y33" s="380">
        <v>0</v>
      </c>
      <c r="Z33" s="380">
        <v>0</v>
      </c>
      <c r="AA33" s="381">
        <v>0</v>
      </c>
    </row>
    <row r="34" spans="1:27" s="1" customFormat="1">
      <c r="A34" s="365" t="s">
        <v>142</v>
      </c>
      <c r="B34" s="384" t="s">
        <v>10</v>
      </c>
      <c r="C34" s="388">
        <v>1404578.4</v>
      </c>
      <c r="D34" s="389">
        <v>423928</v>
      </c>
      <c r="E34" s="389">
        <v>1672234</v>
      </c>
      <c r="F34" s="389">
        <v>1136802.5</v>
      </c>
      <c r="G34" s="389">
        <v>456309</v>
      </c>
      <c r="H34" s="389">
        <v>562469</v>
      </c>
      <c r="I34" s="388">
        <v>5656320.9000000004</v>
      </c>
      <c r="J34" s="388">
        <v>256776</v>
      </c>
      <c r="K34" s="389">
        <v>551455</v>
      </c>
      <c r="L34" s="389">
        <v>586079.5</v>
      </c>
      <c r="M34" s="389">
        <v>0</v>
      </c>
      <c r="N34" s="388">
        <v>1394310.5</v>
      </c>
      <c r="O34" s="388">
        <v>0</v>
      </c>
      <c r="P34" s="389">
        <v>0</v>
      </c>
      <c r="Q34" s="388">
        <v>2339271.7000000002</v>
      </c>
      <c r="R34" s="388">
        <v>0</v>
      </c>
      <c r="S34" s="388">
        <v>2339271.7000000002</v>
      </c>
      <c r="T34" s="372">
        <v>0</v>
      </c>
      <c r="U34" s="372">
        <v>0</v>
      </c>
      <c r="V34" s="372">
        <v>0</v>
      </c>
      <c r="W34" s="373">
        <v>0</v>
      </c>
      <c r="X34" s="372">
        <v>0</v>
      </c>
      <c r="Y34" s="372">
        <v>0</v>
      </c>
      <c r="Z34" s="372">
        <v>0</v>
      </c>
      <c r="AA34" s="373">
        <v>0</v>
      </c>
    </row>
    <row r="35" spans="1:27">
      <c r="A35" s="182"/>
      <c r="B35" s="477" t="s">
        <v>14</v>
      </c>
      <c r="C35" s="390">
        <v>2437</v>
      </c>
      <c r="D35" s="107">
        <v>2490</v>
      </c>
      <c r="E35" s="107">
        <v>9046</v>
      </c>
      <c r="F35" s="107">
        <v>6063</v>
      </c>
      <c r="G35" s="107">
        <v>6340</v>
      </c>
      <c r="H35" s="107">
        <v>9777</v>
      </c>
      <c r="I35" s="390">
        <v>36153</v>
      </c>
      <c r="J35" s="390">
        <v>4101</v>
      </c>
      <c r="K35" s="107">
        <v>11740</v>
      </c>
      <c r="L35" s="107">
        <v>6521.5</v>
      </c>
      <c r="M35" s="107">
        <v>0</v>
      </c>
      <c r="N35" s="390">
        <v>22362.5</v>
      </c>
      <c r="O35" s="390">
        <v>0</v>
      </c>
      <c r="P35" s="107">
        <v>0</v>
      </c>
      <c r="Q35" s="390">
        <v>60174.100000000006</v>
      </c>
      <c r="R35" s="390">
        <v>0</v>
      </c>
      <c r="S35" s="390">
        <v>60174.100000000006</v>
      </c>
      <c r="T35" s="374">
        <v>0</v>
      </c>
      <c r="U35" s="374">
        <v>0</v>
      </c>
      <c r="V35" s="374">
        <v>0</v>
      </c>
      <c r="W35" s="375">
        <v>0</v>
      </c>
      <c r="X35" s="374">
        <v>0</v>
      </c>
      <c r="Y35" s="374">
        <v>0</v>
      </c>
      <c r="Z35" s="374">
        <v>0</v>
      </c>
      <c r="AA35" s="375">
        <v>0</v>
      </c>
    </row>
    <row r="36" spans="1:27" s="1" customFormat="1">
      <c r="A36" s="182"/>
      <c r="B36" s="476" t="s">
        <v>16</v>
      </c>
      <c r="C36" s="476">
        <v>1.7350402085066952E-3</v>
      </c>
      <c r="D36" s="511">
        <v>5.8736389198165723E-3</v>
      </c>
      <c r="E36" s="511">
        <v>5.4095300059680647E-3</v>
      </c>
      <c r="F36" s="511">
        <v>5.3333802485480107E-3</v>
      </c>
      <c r="G36" s="511">
        <v>1.3894093695281048E-2</v>
      </c>
      <c r="H36" s="511">
        <v>1.7382291290720022E-2</v>
      </c>
      <c r="I36" s="476">
        <v>6.3916104901332593E-3</v>
      </c>
      <c r="J36" s="476">
        <v>1.5971118796149174E-2</v>
      </c>
      <c r="K36" s="511">
        <v>2.1289135106219003E-2</v>
      </c>
      <c r="L36" s="511">
        <v>1.1127329995333397E-2</v>
      </c>
      <c r="M36" s="511">
        <v>0</v>
      </c>
      <c r="N36" s="476">
        <v>1.603839316995748E-2</v>
      </c>
      <c r="O36" s="476">
        <v>0</v>
      </c>
      <c r="P36" s="511">
        <v>0</v>
      </c>
      <c r="Q36" s="476">
        <v>2.5723433494279437E-2</v>
      </c>
      <c r="R36" s="476">
        <v>0</v>
      </c>
      <c r="S36" s="476">
        <v>2.5723433494279437E-2</v>
      </c>
      <c r="T36" s="376">
        <v>0</v>
      </c>
      <c r="U36" s="376">
        <v>0</v>
      </c>
      <c r="V36" s="376">
        <v>0</v>
      </c>
      <c r="W36" s="377">
        <v>0</v>
      </c>
      <c r="X36" s="376">
        <v>0</v>
      </c>
      <c r="Y36" s="376">
        <v>0</v>
      </c>
      <c r="Z36" s="376">
        <v>0</v>
      </c>
      <c r="AA36" s="377">
        <v>0</v>
      </c>
    </row>
    <row r="37" spans="1:27">
      <c r="A37" s="182"/>
      <c r="B37" s="477" t="s">
        <v>11</v>
      </c>
      <c r="C37" s="390">
        <v>1412547</v>
      </c>
      <c r="D37" s="107">
        <v>431636</v>
      </c>
      <c r="E37" s="107">
        <v>1642810</v>
      </c>
      <c r="F37" s="107">
        <v>1131594</v>
      </c>
      <c r="G37" s="107">
        <v>447884</v>
      </c>
      <c r="H37" s="107">
        <v>558603</v>
      </c>
      <c r="I37" s="390">
        <v>5625074</v>
      </c>
      <c r="J37" s="390">
        <v>249809</v>
      </c>
      <c r="K37" s="107">
        <v>471602</v>
      </c>
      <c r="L37" s="107">
        <v>543349</v>
      </c>
      <c r="M37" s="107">
        <v>0</v>
      </c>
      <c r="N37" s="390">
        <v>1264760</v>
      </c>
      <c r="O37" s="390">
        <v>0</v>
      </c>
      <c r="P37" s="107">
        <v>0</v>
      </c>
      <c r="Q37" s="390">
        <v>2301620</v>
      </c>
      <c r="R37" s="390">
        <v>0</v>
      </c>
      <c r="S37" s="390">
        <v>2301620</v>
      </c>
      <c r="T37" s="374">
        <v>0</v>
      </c>
      <c r="U37" s="374">
        <v>0</v>
      </c>
      <c r="V37" s="374">
        <v>0</v>
      </c>
      <c r="W37" s="375">
        <v>0</v>
      </c>
      <c r="X37" s="374">
        <v>0</v>
      </c>
      <c r="Y37" s="374">
        <v>0</v>
      </c>
      <c r="Z37" s="374">
        <v>0</v>
      </c>
      <c r="AA37" s="375">
        <v>0</v>
      </c>
    </row>
    <row r="38" spans="1:27" s="1" customFormat="1">
      <c r="A38" s="182"/>
      <c r="B38" s="477" t="s">
        <v>15</v>
      </c>
      <c r="C38" s="390">
        <v>3098</v>
      </c>
      <c r="D38" s="107">
        <v>2652</v>
      </c>
      <c r="E38" s="107">
        <v>9684</v>
      </c>
      <c r="F38" s="107">
        <v>8504</v>
      </c>
      <c r="G38" s="107">
        <v>7522</v>
      </c>
      <c r="H38" s="107">
        <v>11913</v>
      </c>
      <c r="I38" s="390">
        <v>43373</v>
      </c>
      <c r="J38" s="390">
        <v>5346</v>
      </c>
      <c r="K38" s="107">
        <v>12736</v>
      </c>
      <c r="L38" s="107">
        <v>7214</v>
      </c>
      <c r="M38" s="107">
        <v>0</v>
      </c>
      <c r="N38" s="390">
        <v>25296</v>
      </c>
      <c r="O38" s="390">
        <v>0</v>
      </c>
      <c r="P38" s="107">
        <v>0</v>
      </c>
      <c r="Q38" s="390">
        <v>78072.399999999994</v>
      </c>
      <c r="R38" s="390">
        <v>0</v>
      </c>
      <c r="S38" s="390">
        <v>78072.399999999994</v>
      </c>
      <c r="T38" s="374">
        <v>0</v>
      </c>
      <c r="U38" s="374">
        <v>0</v>
      </c>
      <c r="V38" s="374">
        <v>0</v>
      </c>
      <c r="W38" s="375">
        <v>0</v>
      </c>
      <c r="X38" s="374">
        <v>0</v>
      </c>
      <c r="Y38" s="374">
        <v>0</v>
      </c>
      <c r="Z38" s="374">
        <v>0</v>
      </c>
      <c r="AA38" s="375">
        <v>0</v>
      </c>
    </row>
    <row r="39" spans="1:27">
      <c r="A39" s="182"/>
      <c r="B39" s="475" t="s">
        <v>17</v>
      </c>
      <c r="C39" s="476">
        <v>2.193201358963631E-3</v>
      </c>
      <c r="D39" s="511">
        <v>6.144065833248385E-3</v>
      </c>
      <c r="E39" s="511">
        <v>5.8947778501470044E-3</v>
      </c>
      <c r="F39" s="511">
        <v>7.5150628228852394E-3</v>
      </c>
      <c r="G39" s="511">
        <v>1.6794527154352465E-2</v>
      </c>
      <c r="H39" s="511">
        <v>2.1326416077249853E-2</v>
      </c>
      <c r="I39" s="476">
        <v>7.7106541176169413E-3</v>
      </c>
      <c r="J39" s="476">
        <v>2.1400349867298617E-2</v>
      </c>
      <c r="K39" s="511">
        <v>2.7005822706434663E-2</v>
      </c>
      <c r="L39" s="511">
        <v>1.3276917782125301E-2</v>
      </c>
      <c r="M39" s="511">
        <v>0</v>
      </c>
      <c r="N39" s="476">
        <v>2.0000632531073089E-2</v>
      </c>
      <c r="O39" s="476">
        <v>0</v>
      </c>
      <c r="P39" s="511">
        <v>0</v>
      </c>
      <c r="Q39" s="476">
        <v>3.3920629817259143E-2</v>
      </c>
      <c r="R39" s="475">
        <v>0</v>
      </c>
      <c r="S39" s="475">
        <v>3.3920629817259143E-2</v>
      </c>
      <c r="T39" s="378">
        <v>0</v>
      </c>
      <c r="U39" s="378">
        <v>0</v>
      </c>
      <c r="V39" s="378">
        <v>0</v>
      </c>
      <c r="W39" s="379">
        <v>0</v>
      </c>
      <c r="X39" s="378">
        <v>0</v>
      </c>
      <c r="Y39" s="378">
        <v>0</v>
      </c>
      <c r="Z39" s="378">
        <v>0</v>
      </c>
      <c r="AA39" s="379">
        <v>0</v>
      </c>
    </row>
    <row r="40" spans="1:27" s="1" customFormat="1">
      <c r="A40" s="185"/>
      <c r="B40" s="474" t="s">
        <v>204</v>
      </c>
      <c r="C40" s="512">
        <v>4.5816115045693587E-4</v>
      </c>
      <c r="D40" s="513">
        <v>2.7042691343181265E-4</v>
      </c>
      <c r="E40" s="513">
        <v>4.8524784417893971E-4</v>
      </c>
      <c r="F40" s="513">
        <v>2.1816825743372287E-3</v>
      </c>
      <c r="G40" s="513">
        <v>2.9004334590714172E-3</v>
      </c>
      <c r="H40" s="513">
        <v>3.9441247865298311E-3</v>
      </c>
      <c r="I40" s="512">
        <v>1.319043627483682E-3</v>
      </c>
      <c r="J40" s="512">
        <v>5.4292310711494436E-3</v>
      </c>
      <c r="K40" s="513">
        <v>5.71668760021566E-3</v>
      </c>
      <c r="L40" s="513">
        <v>2.1495877867919039E-3</v>
      </c>
      <c r="M40" s="513">
        <v>0</v>
      </c>
      <c r="N40" s="512">
        <v>3.962239361115609E-3</v>
      </c>
      <c r="O40" s="512">
        <v>0</v>
      </c>
      <c r="P40" s="513">
        <v>0</v>
      </c>
      <c r="Q40" s="512">
        <v>8.1971963229797058E-3</v>
      </c>
      <c r="R40" s="512">
        <v>0</v>
      </c>
      <c r="S40" s="512">
        <v>8.1971963229797058E-3</v>
      </c>
      <c r="T40" s="380">
        <v>0</v>
      </c>
      <c r="U40" s="380">
        <v>0</v>
      </c>
      <c r="V40" s="380">
        <v>0</v>
      </c>
      <c r="W40" s="381">
        <v>0</v>
      </c>
      <c r="X40" s="380">
        <v>0</v>
      </c>
      <c r="Y40" s="380">
        <v>0</v>
      </c>
      <c r="Z40" s="380">
        <v>0</v>
      </c>
      <c r="AA40" s="381">
        <v>0</v>
      </c>
    </row>
    <row r="41" spans="1:27">
      <c r="A41" s="365" t="s">
        <v>219</v>
      </c>
      <c r="B41" s="384" t="s">
        <v>10</v>
      </c>
      <c r="C41" s="388">
        <v>967728</v>
      </c>
      <c r="D41" s="389">
        <v>0</v>
      </c>
      <c r="E41" s="389">
        <v>1242399</v>
      </c>
      <c r="F41" s="389">
        <v>392607</v>
      </c>
      <c r="G41" s="389">
        <v>0</v>
      </c>
      <c r="H41" s="389">
        <v>0</v>
      </c>
      <c r="I41" s="388">
        <v>2602734</v>
      </c>
      <c r="J41" s="388">
        <v>0</v>
      </c>
      <c r="K41" s="389">
        <v>513360</v>
      </c>
      <c r="L41" s="389">
        <v>985008</v>
      </c>
      <c r="M41" s="389">
        <v>38213</v>
      </c>
      <c r="N41" s="388">
        <v>1536581</v>
      </c>
      <c r="O41" s="388">
        <v>0</v>
      </c>
      <c r="P41" s="389">
        <v>0</v>
      </c>
      <c r="Q41" s="388">
        <v>151412</v>
      </c>
      <c r="R41" s="388">
        <v>0</v>
      </c>
      <c r="S41" s="388">
        <v>151412</v>
      </c>
      <c r="T41" s="372">
        <v>0</v>
      </c>
      <c r="U41" s="372">
        <v>0</v>
      </c>
      <c r="V41" s="372">
        <v>0</v>
      </c>
      <c r="W41" s="373">
        <v>0</v>
      </c>
      <c r="X41" s="372">
        <v>0</v>
      </c>
      <c r="Y41" s="372">
        <v>0</v>
      </c>
      <c r="Z41" s="372">
        <v>0</v>
      </c>
      <c r="AA41" s="373">
        <v>0</v>
      </c>
    </row>
    <row r="42" spans="1:27" s="1" customFormat="1">
      <c r="A42" s="182"/>
      <c r="B42" s="477" t="s">
        <v>14</v>
      </c>
      <c r="C42" s="390">
        <v>1552</v>
      </c>
      <c r="D42" s="107">
        <v>0</v>
      </c>
      <c r="E42" s="107">
        <v>34638</v>
      </c>
      <c r="F42" s="107">
        <v>5500</v>
      </c>
      <c r="G42" s="107">
        <v>0</v>
      </c>
      <c r="H42" s="107">
        <v>0</v>
      </c>
      <c r="I42" s="390">
        <v>41690</v>
      </c>
      <c r="J42" s="390">
        <v>0</v>
      </c>
      <c r="K42" s="107">
        <v>17663</v>
      </c>
      <c r="L42" s="107">
        <v>53987</v>
      </c>
      <c r="M42" s="107">
        <v>1813</v>
      </c>
      <c r="N42" s="390">
        <v>73463</v>
      </c>
      <c r="O42" s="390">
        <v>0</v>
      </c>
      <c r="P42" s="107">
        <v>0</v>
      </c>
      <c r="Q42" s="390">
        <v>6618</v>
      </c>
      <c r="R42" s="390">
        <v>0</v>
      </c>
      <c r="S42" s="390">
        <v>6618</v>
      </c>
      <c r="T42" s="374">
        <v>0</v>
      </c>
      <c r="U42" s="374">
        <v>0</v>
      </c>
      <c r="V42" s="374">
        <v>0</v>
      </c>
      <c r="W42" s="375">
        <v>0</v>
      </c>
      <c r="X42" s="374">
        <v>0</v>
      </c>
      <c r="Y42" s="374">
        <v>0</v>
      </c>
      <c r="Z42" s="374">
        <v>0</v>
      </c>
      <c r="AA42" s="375">
        <v>0</v>
      </c>
    </row>
    <row r="43" spans="1:27">
      <c r="A43" s="182"/>
      <c r="B43" s="476" t="s">
        <v>16</v>
      </c>
      <c r="C43" s="476">
        <v>1.6037564274258883E-3</v>
      </c>
      <c r="D43" s="511">
        <v>0</v>
      </c>
      <c r="E43" s="511">
        <v>2.7879932292282913E-2</v>
      </c>
      <c r="F43" s="511">
        <v>1.4008919861337165E-2</v>
      </c>
      <c r="G43" s="511">
        <v>0</v>
      </c>
      <c r="H43" s="511">
        <v>0</v>
      </c>
      <c r="I43" s="476">
        <v>1.6017772081203842E-2</v>
      </c>
      <c r="J43" s="476">
        <v>0</v>
      </c>
      <c r="K43" s="511">
        <v>3.4406654199781832E-2</v>
      </c>
      <c r="L43" s="511">
        <v>5.4808691909101245E-2</v>
      </c>
      <c r="M43" s="511">
        <v>4.7444586920681445E-2</v>
      </c>
      <c r="N43" s="476">
        <v>4.7809389807631358E-2</v>
      </c>
      <c r="O43" s="476">
        <v>0</v>
      </c>
      <c r="P43" s="511">
        <v>0</v>
      </c>
      <c r="Q43" s="476">
        <v>4.370855678545954E-2</v>
      </c>
      <c r="R43" s="476">
        <v>0</v>
      </c>
      <c r="S43" s="476">
        <v>4.370855678545954E-2</v>
      </c>
      <c r="T43" s="376">
        <v>0</v>
      </c>
      <c r="U43" s="376">
        <v>0</v>
      </c>
      <c r="V43" s="376">
        <v>0</v>
      </c>
      <c r="W43" s="377">
        <v>0</v>
      </c>
      <c r="X43" s="376">
        <v>0</v>
      </c>
      <c r="Y43" s="376">
        <v>0</v>
      </c>
      <c r="Z43" s="376">
        <v>0</v>
      </c>
      <c r="AA43" s="377">
        <v>0</v>
      </c>
    </row>
    <row r="44" spans="1:27" s="1" customFormat="1">
      <c r="A44" s="182"/>
      <c r="B44" s="477" t="s">
        <v>11</v>
      </c>
      <c r="C44" s="390">
        <v>993278</v>
      </c>
      <c r="D44" s="107">
        <v>0</v>
      </c>
      <c r="E44" s="107">
        <v>1236464</v>
      </c>
      <c r="F44" s="107">
        <v>387111</v>
      </c>
      <c r="G44" s="107">
        <v>0</v>
      </c>
      <c r="H44" s="107">
        <v>0</v>
      </c>
      <c r="I44" s="390">
        <v>2616853</v>
      </c>
      <c r="J44" s="390">
        <v>0</v>
      </c>
      <c r="K44" s="107">
        <v>467654</v>
      </c>
      <c r="L44" s="107">
        <v>956591</v>
      </c>
      <c r="M44" s="107">
        <v>39113</v>
      </c>
      <c r="N44" s="390">
        <v>1463358</v>
      </c>
      <c r="O44" s="390">
        <v>0</v>
      </c>
      <c r="P44" s="107">
        <v>0</v>
      </c>
      <c r="Q44" s="390">
        <v>161316</v>
      </c>
      <c r="R44" s="390">
        <v>0</v>
      </c>
      <c r="S44" s="390">
        <v>161316</v>
      </c>
      <c r="T44" s="374">
        <v>0</v>
      </c>
      <c r="U44" s="374">
        <v>0</v>
      </c>
      <c r="V44" s="374">
        <v>0</v>
      </c>
      <c r="W44" s="375">
        <v>0</v>
      </c>
      <c r="X44" s="374">
        <v>0</v>
      </c>
      <c r="Y44" s="374">
        <v>0</v>
      </c>
      <c r="Z44" s="374">
        <v>0</v>
      </c>
      <c r="AA44" s="375">
        <v>0</v>
      </c>
    </row>
    <row r="45" spans="1:27">
      <c r="A45" s="182"/>
      <c r="B45" s="477" t="s">
        <v>15</v>
      </c>
      <c r="C45" s="390">
        <v>1760</v>
      </c>
      <c r="D45" s="107">
        <v>0</v>
      </c>
      <c r="E45" s="107">
        <v>36846</v>
      </c>
      <c r="F45" s="107">
        <v>6683</v>
      </c>
      <c r="G45" s="107">
        <v>0</v>
      </c>
      <c r="H45" s="107">
        <v>0</v>
      </c>
      <c r="I45" s="390">
        <v>45289</v>
      </c>
      <c r="J45" s="390">
        <v>0</v>
      </c>
      <c r="K45" s="107">
        <v>19364</v>
      </c>
      <c r="L45" s="107">
        <v>50345</v>
      </c>
      <c r="M45" s="107">
        <v>1644</v>
      </c>
      <c r="N45" s="390">
        <v>71353</v>
      </c>
      <c r="O45" s="390">
        <v>0</v>
      </c>
      <c r="P45" s="107">
        <v>0</v>
      </c>
      <c r="Q45" s="390">
        <v>7133</v>
      </c>
      <c r="R45" s="390">
        <v>0</v>
      </c>
      <c r="S45" s="390">
        <v>7133</v>
      </c>
      <c r="T45" s="374">
        <v>0</v>
      </c>
      <c r="U45" s="374">
        <v>0</v>
      </c>
      <c r="V45" s="374">
        <v>0</v>
      </c>
      <c r="W45" s="375">
        <v>0</v>
      </c>
      <c r="X45" s="374">
        <v>0</v>
      </c>
      <c r="Y45" s="374">
        <v>0</v>
      </c>
      <c r="Z45" s="374">
        <v>0</v>
      </c>
      <c r="AA45" s="375">
        <v>0</v>
      </c>
    </row>
    <row r="46" spans="1:27" s="1" customFormat="1">
      <c r="A46" s="182"/>
      <c r="B46" s="475" t="s">
        <v>17</v>
      </c>
      <c r="C46" s="476">
        <v>1.7719107842920109E-3</v>
      </c>
      <c r="D46" s="511">
        <v>0</v>
      </c>
      <c r="E46" s="511">
        <v>2.9799492747059356E-2</v>
      </c>
      <c r="F46" s="511">
        <v>1.7263782222669985E-2</v>
      </c>
      <c r="G46" s="511">
        <v>0</v>
      </c>
      <c r="H46" s="511">
        <v>0</v>
      </c>
      <c r="I46" s="476">
        <v>1.7306665678202025E-2</v>
      </c>
      <c r="J46" s="476">
        <v>0</v>
      </c>
      <c r="K46" s="511">
        <v>4.1406681007753597E-2</v>
      </c>
      <c r="L46" s="511">
        <v>5.2629598229546382E-2</v>
      </c>
      <c r="M46" s="511">
        <v>4.2032060951601773E-2</v>
      </c>
      <c r="N46" s="476">
        <v>4.8759770336445352E-2</v>
      </c>
      <c r="O46" s="476">
        <v>0</v>
      </c>
      <c r="P46" s="511">
        <v>0</v>
      </c>
      <c r="Q46" s="476">
        <v>4.4217560564358153E-2</v>
      </c>
      <c r="R46" s="475">
        <v>0</v>
      </c>
      <c r="S46" s="475">
        <v>4.4217560564358153E-2</v>
      </c>
      <c r="T46" s="378">
        <v>0</v>
      </c>
      <c r="U46" s="378">
        <v>0</v>
      </c>
      <c r="V46" s="378">
        <v>0</v>
      </c>
      <c r="W46" s="379">
        <v>0</v>
      </c>
      <c r="X46" s="378">
        <v>0</v>
      </c>
      <c r="Y46" s="378">
        <v>0</v>
      </c>
      <c r="Z46" s="378">
        <v>0</v>
      </c>
      <c r="AA46" s="379">
        <v>0</v>
      </c>
    </row>
    <row r="47" spans="1:27">
      <c r="A47" s="185"/>
      <c r="B47" s="474" t="s">
        <v>204</v>
      </c>
      <c r="C47" s="512">
        <v>1.6815435686612259E-4</v>
      </c>
      <c r="D47" s="513">
        <v>0</v>
      </c>
      <c r="E47" s="513">
        <v>1.9195604547764429E-3</v>
      </c>
      <c r="F47" s="513">
        <v>3.2548623613328203E-3</v>
      </c>
      <c r="G47" s="513">
        <v>0</v>
      </c>
      <c r="H47" s="513">
        <v>0</v>
      </c>
      <c r="I47" s="512">
        <v>1.2888935969981828E-3</v>
      </c>
      <c r="J47" s="512">
        <v>0</v>
      </c>
      <c r="K47" s="513">
        <v>7.0000268079717654E-3</v>
      </c>
      <c r="L47" s="513">
        <v>-2.1790936795548638E-3</v>
      </c>
      <c r="M47" s="513">
        <v>-5.412525969079672E-3</v>
      </c>
      <c r="N47" s="512">
        <v>9.5038052881399326E-4</v>
      </c>
      <c r="O47" s="512">
        <v>0</v>
      </c>
      <c r="P47" s="513">
        <v>0</v>
      </c>
      <c r="Q47" s="512">
        <v>5.090037788986132E-4</v>
      </c>
      <c r="R47" s="512">
        <v>0</v>
      </c>
      <c r="S47" s="512">
        <v>5.090037788986132E-4</v>
      </c>
      <c r="T47" s="380">
        <v>0</v>
      </c>
      <c r="U47" s="380">
        <v>0</v>
      </c>
      <c r="V47" s="380">
        <v>0</v>
      </c>
      <c r="W47" s="381">
        <v>0</v>
      </c>
      <c r="X47" s="380">
        <v>0</v>
      </c>
      <c r="Y47" s="380">
        <v>0</v>
      </c>
      <c r="Z47" s="380">
        <v>0</v>
      </c>
      <c r="AA47" s="381">
        <v>0</v>
      </c>
    </row>
    <row r="48" spans="1:27" s="1" customFormat="1">
      <c r="A48" s="365" t="s">
        <v>267</v>
      </c>
      <c r="B48" s="384" t="s">
        <v>10</v>
      </c>
      <c r="C48" s="388">
        <v>725007</v>
      </c>
      <c r="D48" s="389">
        <v>843033</v>
      </c>
      <c r="E48" s="389">
        <v>697069</v>
      </c>
      <c r="F48" s="389">
        <v>888491</v>
      </c>
      <c r="G48" s="389">
        <v>0</v>
      </c>
      <c r="H48" s="389">
        <v>51729</v>
      </c>
      <c r="I48" s="388">
        <v>3205329</v>
      </c>
      <c r="J48" s="388">
        <v>0</v>
      </c>
      <c r="K48" s="389">
        <v>755506</v>
      </c>
      <c r="L48" s="389">
        <v>380607.5</v>
      </c>
      <c r="M48" s="389">
        <v>96051</v>
      </c>
      <c r="N48" s="388">
        <v>1232164.5</v>
      </c>
      <c r="O48" s="388">
        <v>0</v>
      </c>
      <c r="P48" s="389">
        <v>0</v>
      </c>
      <c r="Q48" s="388">
        <v>411544</v>
      </c>
      <c r="R48" s="388">
        <v>0</v>
      </c>
      <c r="S48" s="388">
        <v>411544</v>
      </c>
      <c r="T48" s="372">
        <v>0</v>
      </c>
      <c r="U48" s="372">
        <v>0</v>
      </c>
      <c r="V48" s="372">
        <v>0</v>
      </c>
      <c r="W48" s="373">
        <v>0</v>
      </c>
      <c r="X48" s="372">
        <v>0</v>
      </c>
      <c r="Y48" s="372">
        <v>0</v>
      </c>
      <c r="Z48" s="372">
        <v>0</v>
      </c>
      <c r="AA48" s="373">
        <v>0</v>
      </c>
    </row>
    <row r="49" spans="1:27">
      <c r="A49" s="182"/>
      <c r="B49" s="477" t="s">
        <v>14</v>
      </c>
      <c r="C49" s="390">
        <v>2047</v>
      </c>
      <c r="D49" s="107">
        <v>14459</v>
      </c>
      <c r="E49" s="107">
        <v>22815</v>
      </c>
      <c r="F49" s="107">
        <v>24851</v>
      </c>
      <c r="G49" s="107">
        <v>0</v>
      </c>
      <c r="H49" s="107">
        <v>2869</v>
      </c>
      <c r="I49" s="390">
        <v>67041</v>
      </c>
      <c r="J49" s="390">
        <v>0</v>
      </c>
      <c r="K49" s="107">
        <v>6830</v>
      </c>
      <c r="L49" s="107">
        <v>25814</v>
      </c>
      <c r="M49" s="107">
        <v>15102</v>
      </c>
      <c r="N49" s="390">
        <v>47746</v>
      </c>
      <c r="O49" s="390">
        <v>0</v>
      </c>
      <c r="P49" s="107">
        <v>0</v>
      </c>
      <c r="Q49" s="390">
        <v>51923</v>
      </c>
      <c r="R49" s="390">
        <v>0</v>
      </c>
      <c r="S49" s="390">
        <v>51923</v>
      </c>
      <c r="T49" s="374">
        <v>0</v>
      </c>
      <c r="U49" s="374">
        <v>0</v>
      </c>
      <c r="V49" s="374">
        <v>0</v>
      </c>
      <c r="W49" s="375">
        <v>0</v>
      </c>
      <c r="X49" s="374">
        <v>0</v>
      </c>
      <c r="Y49" s="374">
        <v>0</v>
      </c>
      <c r="Z49" s="374">
        <v>0</v>
      </c>
      <c r="AA49" s="375">
        <v>0</v>
      </c>
    </row>
    <row r="50" spans="1:27" s="1" customFormat="1">
      <c r="A50" s="182"/>
      <c r="B50" s="476" t="s">
        <v>16</v>
      </c>
      <c r="C50" s="476">
        <v>2.8234210152453701E-3</v>
      </c>
      <c r="D50" s="511">
        <v>1.7151167273404481E-2</v>
      </c>
      <c r="E50" s="511">
        <v>3.2729901917887612E-2</v>
      </c>
      <c r="F50" s="511">
        <v>2.7969895024260234E-2</v>
      </c>
      <c r="G50" s="511">
        <v>0</v>
      </c>
      <c r="H50" s="511">
        <v>5.5462119894063293E-2</v>
      </c>
      <c r="I50" s="476">
        <v>2.091548168690328E-2</v>
      </c>
      <c r="J50" s="476">
        <v>0</v>
      </c>
      <c r="K50" s="511">
        <v>9.0402988195990505E-3</v>
      </c>
      <c r="L50" s="511">
        <v>6.7823151146522334E-2</v>
      </c>
      <c r="M50" s="511">
        <v>0.15722897210856732</v>
      </c>
      <c r="N50" s="476">
        <v>3.8749696164757222E-2</v>
      </c>
      <c r="O50" s="476">
        <v>0</v>
      </c>
      <c r="P50" s="511">
        <v>0</v>
      </c>
      <c r="Q50" s="476">
        <v>0.12616633944365607</v>
      </c>
      <c r="R50" s="476">
        <v>0</v>
      </c>
      <c r="S50" s="476">
        <v>0.12616633944365607</v>
      </c>
      <c r="T50" s="376">
        <v>0</v>
      </c>
      <c r="U50" s="376">
        <v>0</v>
      </c>
      <c r="V50" s="376">
        <v>0</v>
      </c>
      <c r="W50" s="377">
        <v>0</v>
      </c>
      <c r="X50" s="376">
        <v>0</v>
      </c>
      <c r="Y50" s="376">
        <v>0</v>
      </c>
      <c r="Z50" s="376">
        <v>0</v>
      </c>
      <c r="AA50" s="377">
        <v>0</v>
      </c>
    </row>
    <row r="51" spans="1:27">
      <c r="A51" s="182"/>
      <c r="B51" s="477" t="s">
        <v>11</v>
      </c>
      <c r="C51" s="390">
        <v>716342</v>
      </c>
      <c r="D51" s="107">
        <v>815614</v>
      </c>
      <c r="E51" s="107">
        <v>675241</v>
      </c>
      <c r="F51" s="107">
        <v>843741</v>
      </c>
      <c r="G51" s="107">
        <v>0</v>
      </c>
      <c r="H51" s="107">
        <v>49205</v>
      </c>
      <c r="I51" s="390">
        <v>3100143</v>
      </c>
      <c r="J51" s="390">
        <v>0</v>
      </c>
      <c r="K51" s="107">
        <v>755630</v>
      </c>
      <c r="L51" s="107">
        <v>352886</v>
      </c>
      <c r="M51" s="107">
        <v>93247</v>
      </c>
      <c r="N51" s="390">
        <v>1201763</v>
      </c>
      <c r="O51" s="390">
        <v>0</v>
      </c>
      <c r="P51" s="107">
        <v>0</v>
      </c>
      <c r="Q51" s="390">
        <v>309655</v>
      </c>
      <c r="R51" s="390">
        <v>0</v>
      </c>
      <c r="S51" s="390">
        <v>309655</v>
      </c>
      <c r="T51" s="374">
        <v>0</v>
      </c>
      <c r="U51" s="374">
        <v>0</v>
      </c>
      <c r="V51" s="374">
        <v>0</v>
      </c>
      <c r="W51" s="375">
        <v>0</v>
      </c>
      <c r="X51" s="374">
        <v>0</v>
      </c>
      <c r="Y51" s="374">
        <v>0</v>
      </c>
      <c r="Z51" s="374">
        <v>0</v>
      </c>
      <c r="AA51" s="375">
        <v>0</v>
      </c>
    </row>
    <row r="52" spans="1:27" s="1" customFormat="1">
      <c r="A52" s="182"/>
      <c r="B52" s="477" t="s">
        <v>15</v>
      </c>
      <c r="C52" s="390">
        <v>3412</v>
      </c>
      <c r="D52" s="107">
        <v>17641</v>
      </c>
      <c r="E52" s="107">
        <v>29910</v>
      </c>
      <c r="F52" s="107">
        <v>25284</v>
      </c>
      <c r="G52" s="107">
        <v>0</v>
      </c>
      <c r="H52" s="107">
        <v>2366</v>
      </c>
      <c r="I52" s="390">
        <v>78613</v>
      </c>
      <c r="J52" s="390">
        <v>0</v>
      </c>
      <c r="K52" s="107">
        <v>8947</v>
      </c>
      <c r="L52" s="107">
        <v>27067</v>
      </c>
      <c r="M52" s="107">
        <v>16259</v>
      </c>
      <c r="N52" s="390">
        <v>52273</v>
      </c>
      <c r="O52" s="390">
        <v>0</v>
      </c>
      <c r="P52" s="107">
        <v>0</v>
      </c>
      <c r="Q52" s="390">
        <v>42049</v>
      </c>
      <c r="R52" s="390">
        <v>0</v>
      </c>
      <c r="S52" s="390">
        <v>42049</v>
      </c>
      <c r="T52" s="374">
        <v>0</v>
      </c>
      <c r="U52" s="374">
        <v>0</v>
      </c>
      <c r="V52" s="374">
        <v>0</v>
      </c>
      <c r="W52" s="375">
        <v>0</v>
      </c>
      <c r="X52" s="374">
        <v>0</v>
      </c>
      <c r="Y52" s="374">
        <v>0</v>
      </c>
      <c r="Z52" s="374">
        <v>0</v>
      </c>
      <c r="AA52" s="375">
        <v>0</v>
      </c>
    </row>
    <row r="53" spans="1:27">
      <c r="A53" s="182"/>
      <c r="B53" s="475" t="s">
        <v>17</v>
      </c>
      <c r="C53" s="476">
        <v>4.7630880222016862E-3</v>
      </c>
      <c r="D53" s="511">
        <v>2.1629103963394448E-2</v>
      </c>
      <c r="E53" s="511">
        <v>4.4295296049854792E-2</v>
      </c>
      <c r="F53" s="511">
        <v>2.9966541865335452E-2</v>
      </c>
      <c r="G53" s="511">
        <v>0</v>
      </c>
      <c r="H53" s="511">
        <v>4.8084544253632761E-2</v>
      </c>
      <c r="I53" s="476">
        <v>2.5357862524406131E-2</v>
      </c>
      <c r="J53" s="476">
        <v>0</v>
      </c>
      <c r="K53" s="511">
        <v>1.1840451014385347E-2</v>
      </c>
      <c r="L53" s="511">
        <v>7.6701824385212225E-2</v>
      </c>
      <c r="M53" s="511">
        <v>0.17436485892307527</v>
      </c>
      <c r="N53" s="476">
        <v>4.3496929095004591E-2</v>
      </c>
      <c r="O53" s="476">
        <v>0</v>
      </c>
      <c r="P53" s="511">
        <v>0</v>
      </c>
      <c r="Q53" s="476">
        <v>0.13579306001840757</v>
      </c>
      <c r="R53" s="475">
        <v>0</v>
      </c>
      <c r="S53" s="475">
        <v>0.13579306001840757</v>
      </c>
      <c r="T53" s="378">
        <v>0</v>
      </c>
      <c r="U53" s="378">
        <v>0</v>
      </c>
      <c r="V53" s="378">
        <v>0</v>
      </c>
      <c r="W53" s="379">
        <v>0</v>
      </c>
      <c r="X53" s="378">
        <v>0</v>
      </c>
      <c r="Y53" s="378">
        <v>0</v>
      </c>
      <c r="Z53" s="378">
        <v>0</v>
      </c>
      <c r="AA53" s="379">
        <v>0</v>
      </c>
    </row>
    <row r="54" spans="1:27" s="1" customFormat="1">
      <c r="A54" s="185"/>
      <c r="B54" s="474" t="s">
        <v>204</v>
      </c>
      <c r="C54" s="512">
        <v>1.9396670069563161E-3</v>
      </c>
      <c r="D54" s="513">
        <v>4.4779366899899663E-3</v>
      </c>
      <c r="E54" s="517">
        <v>1.156539413196718E-2</v>
      </c>
      <c r="F54" s="513">
        <v>1.9966468410752176E-3</v>
      </c>
      <c r="G54" s="513">
        <v>0</v>
      </c>
      <c r="H54" s="513">
        <v>-7.3775756404305323E-3</v>
      </c>
      <c r="I54" s="512">
        <v>4.442380837502851E-3</v>
      </c>
      <c r="J54" s="512">
        <v>0</v>
      </c>
      <c r="K54" s="513">
        <v>2.8001521947862967E-3</v>
      </c>
      <c r="L54" s="517">
        <v>8.8786732386898909E-3</v>
      </c>
      <c r="M54" s="517">
        <v>1.713588681450795E-2</v>
      </c>
      <c r="N54" s="512">
        <v>4.7472329302473693E-3</v>
      </c>
      <c r="O54" s="512">
        <v>0</v>
      </c>
      <c r="P54" s="513">
        <v>0</v>
      </c>
      <c r="Q54" s="512">
        <v>9.6267205747515017E-3</v>
      </c>
      <c r="R54" s="512">
        <v>0</v>
      </c>
      <c r="S54" s="512">
        <v>9.6267205747515017E-3</v>
      </c>
      <c r="T54" s="380">
        <v>0</v>
      </c>
      <c r="U54" s="380">
        <v>0</v>
      </c>
      <c r="V54" s="380">
        <v>0</v>
      </c>
      <c r="W54" s="381">
        <v>0</v>
      </c>
      <c r="X54" s="380">
        <v>0</v>
      </c>
      <c r="Y54" s="380">
        <v>0</v>
      </c>
      <c r="Z54" s="380">
        <v>0</v>
      </c>
      <c r="AA54" s="381">
        <v>0</v>
      </c>
    </row>
    <row r="55" spans="1:27">
      <c r="A55" s="365" t="s">
        <v>286</v>
      </c>
      <c r="B55" s="384" t="s">
        <v>10</v>
      </c>
      <c r="C55" s="388">
        <v>0</v>
      </c>
      <c r="D55" s="389">
        <v>0</v>
      </c>
      <c r="E55" s="389">
        <v>0</v>
      </c>
      <c r="F55" s="389">
        <v>0</v>
      </c>
      <c r="G55" s="389">
        <v>0</v>
      </c>
      <c r="H55" s="389">
        <v>0</v>
      </c>
      <c r="I55" s="388">
        <v>0</v>
      </c>
      <c r="J55" s="388">
        <v>0</v>
      </c>
      <c r="K55" s="389">
        <v>0</v>
      </c>
      <c r="L55" s="389">
        <v>0</v>
      </c>
      <c r="M55" s="389">
        <v>0</v>
      </c>
      <c r="N55" s="388">
        <v>0</v>
      </c>
      <c r="O55" s="388">
        <v>0</v>
      </c>
      <c r="P55" s="389">
        <v>0</v>
      </c>
      <c r="Q55" s="388">
        <v>0</v>
      </c>
      <c r="R55" s="388">
        <v>0</v>
      </c>
      <c r="S55" s="388">
        <v>0</v>
      </c>
      <c r="T55" s="372">
        <v>0</v>
      </c>
      <c r="U55" s="372">
        <v>0</v>
      </c>
      <c r="V55" s="372">
        <v>0</v>
      </c>
      <c r="W55" s="373">
        <v>0</v>
      </c>
      <c r="X55" s="372">
        <v>0</v>
      </c>
      <c r="Y55" s="372">
        <v>0</v>
      </c>
      <c r="Z55" s="372">
        <v>0</v>
      </c>
      <c r="AA55" s="373">
        <v>0</v>
      </c>
    </row>
    <row r="56" spans="1:27" s="1" customFormat="1">
      <c r="A56" s="182"/>
      <c r="B56" s="477" t="s">
        <v>14</v>
      </c>
      <c r="C56" s="390">
        <v>0</v>
      </c>
      <c r="D56" s="107">
        <v>0</v>
      </c>
      <c r="E56" s="107">
        <v>0</v>
      </c>
      <c r="F56" s="107">
        <v>0</v>
      </c>
      <c r="G56" s="107">
        <v>0</v>
      </c>
      <c r="H56" s="107">
        <v>0</v>
      </c>
      <c r="I56" s="390">
        <v>0</v>
      </c>
      <c r="J56" s="390">
        <v>0</v>
      </c>
      <c r="K56" s="107">
        <v>0</v>
      </c>
      <c r="L56" s="107">
        <v>0</v>
      </c>
      <c r="M56" s="107">
        <v>0</v>
      </c>
      <c r="N56" s="390">
        <v>0</v>
      </c>
      <c r="O56" s="390">
        <v>0</v>
      </c>
      <c r="P56" s="107">
        <v>0</v>
      </c>
      <c r="Q56" s="390">
        <v>0</v>
      </c>
      <c r="R56" s="390">
        <v>0</v>
      </c>
      <c r="S56" s="390">
        <v>0</v>
      </c>
      <c r="T56" s="374">
        <v>0</v>
      </c>
      <c r="U56" s="374">
        <v>0</v>
      </c>
      <c r="V56" s="374">
        <v>0</v>
      </c>
      <c r="W56" s="375">
        <v>0</v>
      </c>
      <c r="X56" s="374">
        <v>0</v>
      </c>
      <c r="Y56" s="374">
        <v>0</v>
      </c>
      <c r="Z56" s="374">
        <v>0</v>
      </c>
      <c r="AA56" s="375">
        <v>0</v>
      </c>
    </row>
    <row r="57" spans="1:27">
      <c r="A57" s="182"/>
      <c r="B57" s="476" t="s">
        <v>16</v>
      </c>
      <c r="C57" s="476">
        <v>0</v>
      </c>
      <c r="D57" s="511">
        <v>0</v>
      </c>
      <c r="E57" s="511">
        <v>0</v>
      </c>
      <c r="F57" s="511">
        <v>0</v>
      </c>
      <c r="G57" s="511">
        <v>0</v>
      </c>
      <c r="H57" s="511">
        <v>0</v>
      </c>
      <c r="I57" s="476">
        <v>0</v>
      </c>
      <c r="J57" s="476">
        <v>0</v>
      </c>
      <c r="K57" s="511">
        <v>0</v>
      </c>
      <c r="L57" s="511">
        <v>0</v>
      </c>
      <c r="M57" s="511">
        <v>0</v>
      </c>
      <c r="N57" s="476">
        <v>0</v>
      </c>
      <c r="O57" s="476">
        <v>0</v>
      </c>
      <c r="P57" s="511">
        <v>0</v>
      </c>
      <c r="Q57" s="476">
        <v>0</v>
      </c>
      <c r="R57" s="476">
        <v>0</v>
      </c>
      <c r="S57" s="476">
        <v>0</v>
      </c>
      <c r="T57" s="376">
        <v>0</v>
      </c>
      <c r="U57" s="376">
        <v>0</v>
      </c>
      <c r="V57" s="376">
        <v>0</v>
      </c>
      <c r="W57" s="377">
        <v>0</v>
      </c>
      <c r="X57" s="376">
        <v>0</v>
      </c>
      <c r="Y57" s="376">
        <v>0</v>
      </c>
      <c r="Z57" s="376">
        <v>0</v>
      </c>
      <c r="AA57" s="377">
        <v>0</v>
      </c>
    </row>
    <row r="58" spans="1:27" s="1" customFormat="1">
      <c r="A58" s="182"/>
      <c r="B58" s="477" t="s">
        <v>11</v>
      </c>
      <c r="C58" s="390">
        <v>0</v>
      </c>
      <c r="D58" s="107">
        <v>0</v>
      </c>
      <c r="E58" s="107">
        <v>0</v>
      </c>
      <c r="F58" s="107">
        <v>0</v>
      </c>
      <c r="G58" s="107">
        <v>0</v>
      </c>
      <c r="H58" s="107">
        <v>0</v>
      </c>
      <c r="I58" s="390">
        <v>0</v>
      </c>
      <c r="J58" s="390">
        <v>0</v>
      </c>
      <c r="K58" s="107">
        <v>0</v>
      </c>
      <c r="L58" s="107">
        <v>0</v>
      </c>
      <c r="M58" s="107">
        <v>0</v>
      </c>
      <c r="N58" s="390">
        <v>0</v>
      </c>
      <c r="O58" s="390">
        <v>0</v>
      </c>
      <c r="P58" s="107">
        <v>0</v>
      </c>
      <c r="Q58" s="390">
        <v>0</v>
      </c>
      <c r="R58" s="390">
        <v>0</v>
      </c>
      <c r="S58" s="390">
        <v>0</v>
      </c>
      <c r="T58" s="374">
        <v>0</v>
      </c>
      <c r="U58" s="374">
        <v>0</v>
      </c>
      <c r="V58" s="374">
        <v>0</v>
      </c>
      <c r="W58" s="375">
        <v>0</v>
      </c>
      <c r="X58" s="374">
        <v>0</v>
      </c>
      <c r="Y58" s="374">
        <v>0</v>
      </c>
      <c r="Z58" s="374">
        <v>0</v>
      </c>
      <c r="AA58" s="375">
        <v>0</v>
      </c>
    </row>
    <row r="59" spans="1:27">
      <c r="A59" s="182"/>
      <c r="B59" s="477" t="s">
        <v>15</v>
      </c>
      <c r="C59" s="390">
        <v>0</v>
      </c>
      <c r="D59" s="107">
        <v>0</v>
      </c>
      <c r="E59" s="107">
        <v>0</v>
      </c>
      <c r="F59" s="107">
        <v>0</v>
      </c>
      <c r="G59" s="107">
        <v>0</v>
      </c>
      <c r="H59" s="107">
        <v>0</v>
      </c>
      <c r="I59" s="390">
        <v>0</v>
      </c>
      <c r="J59" s="390">
        <v>0</v>
      </c>
      <c r="K59" s="107">
        <v>0</v>
      </c>
      <c r="L59" s="107">
        <v>0</v>
      </c>
      <c r="M59" s="107">
        <v>0</v>
      </c>
      <c r="N59" s="390">
        <v>0</v>
      </c>
      <c r="O59" s="390">
        <v>0</v>
      </c>
      <c r="P59" s="107">
        <v>0</v>
      </c>
      <c r="Q59" s="390">
        <v>0</v>
      </c>
      <c r="R59" s="390">
        <v>0</v>
      </c>
      <c r="S59" s="390">
        <v>0</v>
      </c>
      <c r="T59" s="374">
        <v>0</v>
      </c>
      <c r="U59" s="374">
        <v>0</v>
      </c>
      <c r="V59" s="374">
        <v>0</v>
      </c>
      <c r="W59" s="375">
        <v>0</v>
      </c>
      <c r="X59" s="374">
        <v>0</v>
      </c>
      <c r="Y59" s="374">
        <v>0</v>
      </c>
      <c r="Z59" s="374">
        <v>0</v>
      </c>
      <c r="AA59" s="375">
        <v>0</v>
      </c>
    </row>
    <row r="60" spans="1:27" s="1" customFormat="1">
      <c r="A60" s="182"/>
      <c r="B60" s="475" t="s">
        <v>17</v>
      </c>
      <c r="C60" s="476">
        <v>0</v>
      </c>
      <c r="D60" s="511">
        <v>0</v>
      </c>
      <c r="E60" s="511">
        <v>0</v>
      </c>
      <c r="F60" s="511">
        <v>0</v>
      </c>
      <c r="G60" s="511">
        <v>0</v>
      </c>
      <c r="H60" s="511">
        <v>0</v>
      </c>
      <c r="I60" s="476">
        <v>0</v>
      </c>
      <c r="J60" s="476">
        <v>0</v>
      </c>
      <c r="K60" s="511">
        <v>0</v>
      </c>
      <c r="L60" s="511">
        <v>0</v>
      </c>
      <c r="M60" s="511">
        <v>0</v>
      </c>
      <c r="N60" s="476">
        <v>0</v>
      </c>
      <c r="O60" s="476">
        <v>0</v>
      </c>
      <c r="P60" s="511">
        <v>0</v>
      </c>
      <c r="Q60" s="476">
        <v>0</v>
      </c>
      <c r="R60" s="475">
        <v>0</v>
      </c>
      <c r="S60" s="475">
        <v>0</v>
      </c>
      <c r="T60" s="378">
        <v>0</v>
      </c>
      <c r="U60" s="378">
        <v>0</v>
      </c>
      <c r="V60" s="378">
        <v>0</v>
      </c>
      <c r="W60" s="379">
        <v>0</v>
      </c>
      <c r="X60" s="378">
        <v>0</v>
      </c>
      <c r="Y60" s="378">
        <v>0</v>
      </c>
      <c r="Z60" s="378">
        <v>0</v>
      </c>
      <c r="AA60" s="379">
        <v>0</v>
      </c>
    </row>
    <row r="61" spans="1:27">
      <c r="A61" s="185"/>
      <c r="B61" s="474" t="s">
        <v>204</v>
      </c>
      <c r="C61" s="512">
        <v>0</v>
      </c>
      <c r="D61" s="513">
        <v>0</v>
      </c>
      <c r="E61" s="513">
        <v>0</v>
      </c>
      <c r="F61" s="513">
        <v>0</v>
      </c>
      <c r="G61" s="513">
        <v>0</v>
      </c>
      <c r="H61" s="513">
        <v>0</v>
      </c>
      <c r="I61" s="512">
        <v>0</v>
      </c>
      <c r="J61" s="512">
        <v>0</v>
      </c>
      <c r="K61" s="513">
        <v>0</v>
      </c>
      <c r="L61" s="513">
        <v>0</v>
      </c>
      <c r="M61" s="513">
        <v>0</v>
      </c>
      <c r="N61" s="512">
        <v>0</v>
      </c>
      <c r="O61" s="512">
        <v>0</v>
      </c>
      <c r="P61" s="513">
        <v>0</v>
      </c>
      <c r="Q61" s="512">
        <v>0</v>
      </c>
      <c r="R61" s="512">
        <v>0</v>
      </c>
      <c r="S61" s="512">
        <v>0</v>
      </c>
      <c r="T61" s="380">
        <v>0</v>
      </c>
      <c r="U61" s="380">
        <v>0</v>
      </c>
      <c r="V61" s="380">
        <v>0</v>
      </c>
      <c r="W61" s="381">
        <v>0</v>
      </c>
      <c r="X61" s="380">
        <v>0</v>
      </c>
      <c r="Y61" s="380">
        <v>0</v>
      </c>
      <c r="Z61" s="380">
        <v>0</v>
      </c>
      <c r="AA61" s="381">
        <v>0</v>
      </c>
    </row>
    <row r="62" spans="1:27" s="1" customFormat="1">
      <c r="A62" s="365" t="s">
        <v>270</v>
      </c>
      <c r="B62" s="384" t="s">
        <v>10</v>
      </c>
      <c r="C62" s="388">
        <v>0</v>
      </c>
      <c r="D62" s="389">
        <v>0</v>
      </c>
      <c r="E62" s="389">
        <v>0</v>
      </c>
      <c r="F62" s="389">
        <v>0</v>
      </c>
      <c r="G62" s="389">
        <v>0</v>
      </c>
      <c r="H62" s="389">
        <v>0</v>
      </c>
      <c r="I62" s="388">
        <v>0</v>
      </c>
      <c r="J62" s="388">
        <v>0</v>
      </c>
      <c r="K62" s="389">
        <v>921568</v>
      </c>
      <c r="L62" s="389">
        <v>939522</v>
      </c>
      <c r="M62" s="389">
        <v>114418</v>
      </c>
      <c r="N62" s="388">
        <v>1975508</v>
      </c>
      <c r="O62" s="388">
        <v>0</v>
      </c>
      <c r="P62" s="389">
        <v>0</v>
      </c>
      <c r="Q62" s="388">
        <v>0</v>
      </c>
      <c r="R62" s="388">
        <v>0</v>
      </c>
      <c r="S62" s="388">
        <v>0</v>
      </c>
      <c r="T62" s="372">
        <v>0</v>
      </c>
      <c r="U62" s="372">
        <v>0</v>
      </c>
      <c r="V62" s="372">
        <v>0</v>
      </c>
      <c r="W62" s="373">
        <v>0</v>
      </c>
      <c r="X62" s="372">
        <v>0</v>
      </c>
      <c r="Y62" s="372">
        <v>0</v>
      </c>
      <c r="Z62" s="372">
        <v>0</v>
      </c>
      <c r="AA62" s="373">
        <v>0</v>
      </c>
    </row>
    <row r="63" spans="1:27">
      <c r="A63" s="182"/>
      <c r="B63" s="477" t="s">
        <v>14</v>
      </c>
      <c r="C63" s="390">
        <v>0</v>
      </c>
      <c r="D63" s="107">
        <v>0</v>
      </c>
      <c r="E63" s="107">
        <v>0</v>
      </c>
      <c r="F63" s="107">
        <v>0</v>
      </c>
      <c r="G63" s="107">
        <v>0</v>
      </c>
      <c r="H63" s="107">
        <v>0</v>
      </c>
      <c r="I63" s="390">
        <v>0</v>
      </c>
      <c r="J63" s="390">
        <v>0</v>
      </c>
      <c r="K63" s="107">
        <v>11067</v>
      </c>
      <c r="L63" s="107">
        <v>10602</v>
      </c>
      <c r="M63" s="107">
        <v>1280</v>
      </c>
      <c r="N63" s="390">
        <v>22949</v>
      </c>
      <c r="O63" s="390">
        <v>0</v>
      </c>
      <c r="P63" s="107">
        <v>0</v>
      </c>
      <c r="Q63" s="390">
        <v>0</v>
      </c>
      <c r="R63" s="390">
        <v>0</v>
      </c>
      <c r="S63" s="390">
        <v>0</v>
      </c>
      <c r="T63" s="374">
        <v>0</v>
      </c>
      <c r="U63" s="374">
        <v>0</v>
      </c>
      <c r="V63" s="374">
        <v>0</v>
      </c>
      <c r="W63" s="375">
        <v>0</v>
      </c>
      <c r="X63" s="374">
        <v>0</v>
      </c>
      <c r="Y63" s="374">
        <v>0</v>
      </c>
      <c r="Z63" s="374">
        <v>0</v>
      </c>
      <c r="AA63" s="375">
        <v>0</v>
      </c>
    </row>
    <row r="64" spans="1:27" s="1" customFormat="1">
      <c r="A64" s="182"/>
      <c r="B64" s="476" t="s">
        <v>16</v>
      </c>
      <c r="C64" s="476">
        <v>0</v>
      </c>
      <c r="D64" s="511">
        <v>0</v>
      </c>
      <c r="E64" s="511">
        <v>0</v>
      </c>
      <c r="F64" s="511">
        <v>0</v>
      </c>
      <c r="G64" s="511">
        <v>0</v>
      </c>
      <c r="H64" s="511">
        <v>0</v>
      </c>
      <c r="I64" s="476">
        <v>0</v>
      </c>
      <c r="J64" s="476">
        <v>0</v>
      </c>
      <c r="K64" s="511">
        <v>1.2008880516684608E-2</v>
      </c>
      <c r="L64" s="511">
        <v>1.1284461673063536E-2</v>
      </c>
      <c r="M64" s="511">
        <v>1.1187050988480834E-2</v>
      </c>
      <c r="N64" s="476">
        <v>1.1616758828615221E-2</v>
      </c>
      <c r="O64" s="476">
        <v>0</v>
      </c>
      <c r="P64" s="511">
        <v>0</v>
      </c>
      <c r="Q64" s="476">
        <v>0</v>
      </c>
      <c r="R64" s="476">
        <v>0</v>
      </c>
      <c r="S64" s="476">
        <v>0</v>
      </c>
      <c r="T64" s="376">
        <v>0</v>
      </c>
      <c r="U64" s="376">
        <v>0</v>
      </c>
      <c r="V64" s="376">
        <v>0</v>
      </c>
      <c r="W64" s="377">
        <v>0</v>
      </c>
      <c r="X64" s="376">
        <v>0</v>
      </c>
      <c r="Y64" s="376">
        <v>0</v>
      </c>
      <c r="Z64" s="376">
        <v>0</v>
      </c>
      <c r="AA64" s="377">
        <v>0</v>
      </c>
    </row>
    <row r="65" spans="1:27">
      <c r="A65" s="182"/>
      <c r="B65" s="477" t="s">
        <v>11</v>
      </c>
      <c r="C65" s="390">
        <v>0</v>
      </c>
      <c r="D65" s="107">
        <v>0</v>
      </c>
      <c r="E65" s="107">
        <v>0</v>
      </c>
      <c r="F65" s="107">
        <v>0</v>
      </c>
      <c r="G65" s="107">
        <v>0</v>
      </c>
      <c r="H65" s="107">
        <v>0</v>
      </c>
      <c r="I65" s="390">
        <v>0</v>
      </c>
      <c r="J65" s="390">
        <v>0</v>
      </c>
      <c r="K65" s="107">
        <v>878501</v>
      </c>
      <c r="L65" s="107">
        <v>902858</v>
      </c>
      <c r="M65" s="107">
        <v>97679</v>
      </c>
      <c r="N65" s="390">
        <v>1879038</v>
      </c>
      <c r="O65" s="390">
        <v>0</v>
      </c>
      <c r="P65" s="107">
        <v>0</v>
      </c>
      <c r="Q65" s="390">
        <v>0</v>
      </c>
      <c r="R65" s="390">
        <v>0</v>
      </c>
      <c r="S65" s="390">
        <v>0</v>
      </c>
      <c r="T65" s="374">
        <v>0</v>
      </c>
      <c r="U65" s="374">
        <v>0</v>
      </c>
      <c r="V65" s="374">
        <v>0</v>
      </c>
      <c r="W65" s="375">
        <v>0</v>
      </c>
      <c r="X65" s="374">
        <v>0</v>
      </c>
      <c r="Y65" s="374">
        <v>0</v>
      </c>
      <c r="Z65" s="374">
        <v>0</v>
      </c>
      <c r="AA65" s="375">
        <v>0</v>
      </c>
    </row>
    <row r="66" spans="1:27" s="1" customFormat="1">
      <c r="A66" s="182"/>
      <c r="B66" s="477" t="s">
        <v>15</v>
      </c>
      <c r="C66" s="390">
        <v>0</v>
      </c>
      <c r="D66" s="107">
        <v>0</v>
      </c>
      <c r="E66" s="107">
        <v>0</v>
      </c>
      <c r="F66" s="107">
        <v>0</v>
      </c>
      <c r="G66" s="107">
        <v>0</v>
      </c>
      <c r="H66" s="107">
        <v>0</v>
      </c>
      <c r="I66" s="390">
        <v>0</v>
      </c>
      <c r="J66" s="390">
        <v>0</v>
      </c>
      <c r="K66" s="107">
        <v>14776</v>
      </c>
      <c r="L66" s="107">
        <v>14435</v>
      </c>
      <c r="M66" s="107">
        <v>1625</v>
      </c>
      <c r="N66" s="390">
        <v>30836</v>
      </c>
      <c r="O66" s="390">
        <v>0</v>
      </c>
      <c r="P66" s="107">
        <v>0</v>
      </c>
      <c r="Q66" s="390">
        <v>0</v>
      </c>
      <c r="R66" s="390">
        <v>0</v>
      </c>
      <c r="S66" s="390">
        <v>0</v>
      </c>
      <c r="T66" s="374">
        <v>0</v>
      </c>
      <c r="U66" s="374">
        <v>0</v>
      </c>
      <c r="V66" s="374">
        <v>0</v>
      </c>
      <c r="W66" s="375">
        <v>0</v>
      </c>
      <c r="X66" s="374">
        <v>0</v>
      </c>
      <c r="Y66" s="374">
        <v>0</v>
      </c>
      <c r="Z66" s="374">
        <v>0</v>
      </c>
      <c r="AA66" s="375">
        <v>0</v>
      </c>
    </row>
    <row r="67" spans="1:27">
      <c r="A67" s="182"/>
      <c r="B67" s="475" t="s">
        <v>17</v>
      </c>
      <c r="C67" s="476">
        <v>0</v>
      </c>
      <c r="D67" s="511">
        <v>0</v>
      </c>
      <c r="E67" s="511">
        <v>0</v>
      </c>
      <c r="F67" s="511">
        <v>0</v>
      </c>
      <c r="G67" s="511">
        <v>0</v>
      </c>
      <c r="H67" s="511">
        <v>0</v>
      </c>
      <c r="I67" s="476">
        <v>0</v>
      </c>
      <c r="J67" s="476">
        <v>0</v>
      </c>
      <c r="K67" s="511">
        <v>1.6819559681776116E-2</v>
      </c>
      <c r="L67" s="511">
        <v>1.5988117732799619E-2</v>
      </c>
      <c r="M67" s="511">
        <v>1.6636124448448489E-2</v>
      </c>
      <c r="N67" s="476">
        <v>1.6410524960112569E-2</v>
      </c>
      <c r="O67" s="476">
        <v>0</v>
      </c>
      <c r="P67" s="511">
        <v>0</v>
      </c>
      <c r="Q67" s="476">
        <v>0</v>
      </c>
      <c r="R67" s="475">
        <v>0</v>
      </c>
      <c r="S67" s="475">
        <v>0</v>
      </c>
      <c r="T67" s="378">
        <v>0</v>
      </c>
      <c r="U67" s="378">
        <v>0</v>
      </c>
      <c r="V67" s="378">
        <v>0</v>
      </c>
      <c r="W67" s="379">
        <v>0</v>
      </c>
      <c r="X67" s="378">
        <v>0</v>
      </c>
      <c r="Y67" s="378">
        <v>0</v>
      </c>
      <c r="Z67" s="378">
        <v>0</v>
      </c>
      <c r="AA67" s="379">
        <v>0</v>
      </c>
    </row>
    <row r="68" spans="1:27" s="1" customFormat="1">
      <c r="A68" s="182"/>
      <c r="B68" s="474" t="s">
        <v>204</v>
      </c>
      <c r="C68" s="512">
        <v>0</v>
      </c>
      <c r="D68" s="513">
        <v>0</v>
      </c>
      <c r="E68" s="513">
        <v>0</v>
      </c>
      <c r="F68" s="513">
        <v>0</v>
      </c>
      <c r="G68" s="513">
        <v>0</v>
      </c>
      <c r="H68" s="513">
        <v>0</v>
      </c>
      <c r="I68" s="512">
        <v>0</v>
      </c>
      <c r="J68" s="512">
        <v>0</v>
      </c>
      <c r="K68" s="513">
        <v>4.8106791650915082E-3</v>
      </c>
      <c r="L68" s="513">
        <v>4.7036560597360829E-3</v>
      </c>
      <c r="M68" s="513">
        <v>5.4490734599676547E-3</v>
      </c>
      <c r="N68" s="512">
        <v>4.7937661314973474E-3</v>
      </c>
      <c r="O68" s="512">
        <v>0</v>
      </c>
      <c r="P68" s="513">
        <v>0</v>
      </c>
      <c r="Q68" s="512">
        <v>0</v>
      </c>
      <c r="R68" s="512">
        <v>0</v>
      </c>
      <c r="S68" s="512">
        <v>0</v>
      </c>
      <c r="T68" s="380">
        <v>0</v>
      </c>
      <c r="U68" s="380">
        <v>0</v>
      </c>
      <c r="V68" s="380">
        <v>0</v>
      </c>
      <c r="W68" s="381">
        <v>0</v>
      </c>
      <c r="X68" s="380">
        <v>0</v>
      </c>
      <c r="Y68" s="380">
        <v>0</v>
      </c>
      <c r="Z68" s="380">
        <v>0</v>
      </c>
      <c r="AA68" s="381">
        <v>0</v>
      </c>
    </row>
    <row r="69" spans="1:27">
      <c r="A69" s="365" t="s">
        <v>268</v>
      </c>
      <c r="B69" s="384" t="s">
        <v>10</v>
      </c>
      <c r="C69" s="388">
        <v>1635177</v>
      </c>
      <c r="D69" s="389">
        <v>1152657</v>
      </c>
      <c r="E69" s="389">
        <v>1502305</v>
      </c>
      <c r="F69" s="389">
        <v>148822</v>
      </c>
      <c r="G69" s="389">
        <v>307789</v>
      </c>
      <c r="H69" s="389">
        <v>182524</v>
      </c>
      <c r="I69" s="388">
        <v>4929274</v>
      </c>
      <c r="J69" s="388">
        <v>0</v>
      </c>
      <c r="K69" s="389">
        <v>2324717</v>
      </c>
      <c r="L69" s="389">
        <v>1949448</v>
      </c>
      <c r="M69" s="389">
        <v>804871</v>
      </c>
      <c r="N69" s="388">
        <v>5079036</v>
      </c>
      <c r="O69" s="388">
        <v>0</v>
      </c>
      <c r="P69" s="389">
        <v>0</v>
      </c>
      <c r="Q69" s="388">
        <v>0</v>
      </c>
      <c r="R69" s="388">
        <v>0</v>
      </c>
      <c r="S69" s="388">
        <v>0</v>
      </c>
      <c r="T69" s="372">
        <v>0</v>
      </c>
      <c r="U69" s="372">
        <v>0</v>
      </c>
      <c r="V69" s="372">
        <v>0</v>
      </c>
      <c r="W69" s="373">
        <v>0</v>
      </c>
      <c r="X69" s="372">
        <v>0</v>
      </c>
      <c r="Y69" s="372">
        <v>0</v>
      </c>
      <c r="Z69" s="372">
        <v>0</v>
      </c>
      <c r="AA69" s="373">
        <v>0</v>
      </c>
    </row>
    <row r="70" spans="1:27" s="1" customFormat="1">
      <c r="A70" s="182"/>
      <c r="B70" s="477" t="s">
        <v>14</v>
      </c>
      <c r="C70" s="390">
        <v>9</v>
      </c>
      <c r="D70" s="107">
        <v>600</v>
      </c>
      <c r="E70" s="107">
        <v>6503</v>
      </c>
      <c r="F70" s="107">
        <v>2538</v>
      </c>
      <c r="G70" s="107">
        <v>0</v>
      </c>
      <c r="H70" s="107">
        <v>0</v>
      </c>
      <c r="I70" s="390">
        <v>9650</v>
      </c>
      <c r="J70" s="390">
        <v>0</v>
      </c>
      <c r="K70" s="107">
        <v>55201</v>
      </c>
      <c r="L70" s="107">
        <v>134240</v>
      </c>
      <c r="M70" s="107">
        <v>78396</v>
      </c>
      <c r="N70" s="390">
        <v>267837</v>
      </c>
      <c r="O70" s="390">
        <v>0</v>
      </c>
      <c r="P70" s="107">
        <v>0</v>
      </c>
      <c r="Q70" s="390">
        <v>0</v>
      </c>
      <c r="R70" s="390">
        <v>0</v>
      </c>
      <c r="S70" s="390">
        <v>0</v>
      </c>
      <c r="T70" s="374">
        <v>0</v>
      </c>
      <c r="U70" s="374">
        <v>0</v>
      </c>
      <c r="V70" s="374">
        <v>0</v>
      </c>
      <c r="W70" s="375">
        <v>0</v>
      </c>
      <c r="X70" s="374">
        <v>0</v>
      </c>
      <c r="Y70" s="374">
        <v>0</v>
      </c>
      <c r="Z70" s="374">
        <v>0</v>
      </c>
      <c r="AA70" s="375">
        <v>0</v>
      </c>
    </row>
    <row r="71" spans="1:27">
      <c r="A71" s="182"/>
      <c r="B71" s="476" t="s">
        <v>16</v>
      </c>
      <c r="C71" s="476">
        <v>5.5039913110323834E-6</v>
      </c>
      <c r="D71" s="511">
        <v>5.2053646488070602E-4</v>
      </c>
      <c r="E71" s="511">
        <v>4.3286815926193416E-3</v>
      </c>
      <c r="F71" s="511">
        <v>1.7053930198492159E-2</v>
      </c>
      <c r="G71" s="511">
        <v>0</v>
      </c>
      <c r="H71" s="511">
        <v>0</v>
      </c>
      <c r="I71" s="476">
        <v>1.9576919440875066E-3</v>
      </c>
      <c r="J71" s="476">
        <v>0</v>
      </c>
      <c r="K71" s="511">
        <v>2.3745255874155866E-2</v>
      </c>
      <c r="L71" s="511">
        <v>6.886051846471411E-2</v>
      </c>
      <c r="M71" s="511">
        <v>9.7401943913993677E-2</v>
      </c>
      <c r="N71" s="476">
        <v>5.2733825867743403E-2</v>
      </c>
      <c r="O71" s="476">
        <v>0</v>
      </c>
      <c r="P71" s="511">
        <v>0</v>
      </c>
      <c r="Q71" s="476">
        <v>0</v>
      </c>
      <c r="R71" s="476">
        <v>0</v>
      </c>
      <c r="S71" s="476">
        <v>0</v>
      </c>
      <c r="T71" s="376">
        <v>0</v>
      </c>
      <c r="U71" s="376">
        <v>0</v>
      </c>
      <c r="V71" s="376">
        <v>0</v>
      </c>
      <c r="W71" s="377">
        <v>0</v>
      </c>
      <c r="X71" s="376">
        <v>0</v>
      </c>
      <c r="Y71" s="376">
        <v>0</v>
      </c>
      <c r="Z71" s="376">
        <v>0</v>
      </c>
      <c r="AA71" s="377">
        <v>0</v>
      </c>
    </row>
    <row r="72" spans="1:27" s="1" customFormat="1">
      <c r="A72" s="182"/>
      <c r="B72" s="477" t="s">
        <v>11</v>
      </c>
      <c r="C72" s="390">
        <v>1627606</v>
      </c>
      <c r="D72" s="107">
        <v>1179768</v>
      </c>
      <c r="E72" s="107">
        <v>1523967</v>
      </c>
      <c r="F72" s="107">
        <v>149001</v>
      </c>
      <c r="G72" s="107">
        <v>297492</v>
      </c>
      <c r="H72" s="107">
        <v>174036</v>
      </c>
      <c r="I72" s="390">
        <v>4951870</v>
      </c>
      <c r="J72" s="390">
        <v>0</v>
      </c>
      <c r="K72" s="107">
        <v>2341067</v>
      </c>
      <c r="L72" s="107">
        <v>1873548</v>
      </c>
      <c r="M72" s="107">
        <v>764352</v>
      </c>
      <c r="N72" s="390">
        <v>4978967</v>
      </c>
      <c r="O72" s="390">
        <v>0</v>
      </c>
      <c r="P72" s="107">
        <v>0</v>
      </c>
      <c r="Q72" s="390">
        <v>0</v>
      </c>
      <c r="R72" s="390">
        <v>0</v>
      </c>
      <c r="S72" s="390">
        <v>0</v>
      </c>
      <c r="T72" s="374">
        <v>0</v>
      </c>
      <c r="U72" s="374">
        <v>0</v>
      </c>
      <c r="V72" s="374">
        <v>0</v>
      </c>
      <c r="W72" s="375">
        <v>0</v>
      </c>
      <c r="X72" s="374">
        <v>0</v>
      </c>
      <c r="Y72" s="374">
        <v>0</v>
      </c>
      <c r="Z72" s="374">
        <v>0</v>
      </c>
      <c r="AA72" s="375">
        <v>0</v>
      </c>
    </row>
    <row r="73" spans="1:27">
      <c r="A73" s="182"/>
      <c r="B73" s="477" t="s">
        <v>15</v>
      </c>
      <c r="C73" s="390">
        <v>1117</v>
      </c>
      <c r="D73" s="107">
        <v>1254</v>
      </c>
      <c r="E73" s="107">
        <v>5980</v>
      </c>
      <c r="F73" s="107">
        <v>3200</v>
      </c>
      <c r="G73" s="107">
        <v>0</v>
      </c>
      <c r="H73" s="107">
        <v>0</v>
      </c>
      <c r="I73" s="390">
        <v>11551</v>
      </c>
      <c r="J73" s="390">
        <v>0</v>
      </c>
      <c r="K73" s="107">
        <v>51494</v>
      </c>
      <c r="L73" s="107">
        <v>134718</v>
      </c>
      <c r="M73" s="107">
        <v>83507</v>
      </c>
      <c r="N73" s="390">
        <v>269719</v>
      </c>
      <c r="O73" s="390">
        <v>0</v>
      </c>
      <c r="P73" s="107">
        <v>0</v>
      </c>
      <c r="Q73" s="390">
        <v>0</v>
      </c>
      <c r="R73" s="390">
        <v>0</v>
      </c>
      <c r="S73" s="390">
        <v>0</v>
      </c>
      <c r="T73" s="374">
        <v>0</v>
      </c>
      <c r="U73" s="374">
        <v>0</v>
      </c>
      <c r="V73" s="374">
        <v>0</v>
      </c>
      <c r="W73" s="375">
        <v>0</v>
      </c>
      <c r="X73" s="374">
        <v>0</v>
      </c>
      <c r="Y73" s="374">
        <v>0</v>
      </c>
      <c r="Z73" s="374">
        <v>0</v>
      </c>
      <c r="AA73" s="375">
        <v>0</v>
      </c>
    </row>
    <row r="74" spans="1:27" s="1" customFormat="1">
      <c r="A74" s="182"/>
      <c r="B74" s="475" t="s">
        <v>17</v>
      </c>
      <c r="C74" s="476">
        <v>6.8628402696967205E-4</v>
      </c>
      <c r="D74" s="511">
        <v>1.0629208454543606E-3</v>
      </c>
      <c r="E74" s="511">
        <v>3.9239694822788161E-3</v>
      </c>
      <c r="F74" s="511">
        <v>2.1476365930429998E-2</v>
      </c>
      <c r="G74" s="511">
        <v>0</v>
      </c>
      <c r="H74" s="511">
        <v>0</v>
      </c>
      <c r="I74" s="476">
        <v>2.3326541286423108E-3</v>
      </c>
      <c r="J74" s="476">
        <v>0</v>
      </c>
      <c r="K74" s="511">
        <v>2.1995953127356031E-2</v>
      </c>
      <c r="L74" s="511">
        <v>7.1905283451504848E-2</v>
      </c>
      <c r="M74" s="511">
        <v>0.10925202001172235</v>
      </c>
      <c r="N74" s="476">
        <v>5.4171678583127783E-2</v>
      </c>
      <c r="O74" s="476">
        <v>0</v>
      </c>
      <c r="P74" s="511">
        <v>0</v>
      </c>
      <c r="Q74" s="476">
        <v>0</v>
      </c>
      <c r="R74" s="475">
        <v>0</v>
      </c>
      <c r="S74" s="475">
        <v>0</v>
      </c>
      <c r="T74" s="378">
        <v>0</v>
      </c>
      <c r="U74" s="378">
        <v>0</v>
      </c>
      <c r="V74" s="378">
        <v>0</v>
      </c>
      <c r="W74" s="379">
        <v>0</v>
      </c>
      <c r="X74" s="378">
        <v>0</v>
      </c>
      <c r="Y74" s="378">
        <v>0</v>
      </c>
      <c r="Z74" s="378">
        <v>0</v>
      </c>
      <c r="AA74" s="379">
        <v>0</v>
      </c>
    </row>
    <row r="75" spans="1:27">
      <c r="A75" s="182"/>
      <c r="B75" s="474" t="s">
        <v>204</v>
      </c>
      <c r="C75" s="512">
        <v>6.8078003565863964E-4</v>
      </c>
      <c r="D75" s="513">
        <v>5.4238438057365454E-4</v>
      </c>
      <c r="E75" s="513">
        <v>-4.0471211034052556E-4</v>
      </c>
      <c r="F75" s="513">
        <v>4.4224357319378391E-3</v>
      </c>
      <c r="G75" s="513">
        <v>0</v>
      </c>
      <c r="H75" s="513">
        <v>0</v>
      </c>
      <c r="I75" s="512">
        <v>3.7496218455480412E-4</v>
      </c>
      <c r="J75" s="512">
        <v>0</v>
      </c>
      <c r="K75" s="513">
        <v>-1.749302746799835E-3</v>
      </c>
      <c r="L75" s="513">
        <v>3.0447649867907378E-3</v>
      </c>
      <c r="M75" s="517">
        <v>1.1850076097728673E-2</v>
      </c>
      <c r="N75" s="512">
        <v>1.4378527153843801E-3</v>
      </c>
      <c r="O75" s="512">
        <v>0</v>
      </c>
      <c r="P75" s="513">
        <v>0</v>
      </c>
      <c r="Q75" s="512">
        <v>0</v>
      </c>
      <c r="R75" s="512">
        <v>0</v>
      </c>
      <c r="S75" s="512">
        <v>0</v>
      </c>
      <c r="T75" s="380">
        <v>0</v>
      </c>
      <c r="U75" s="380">
        <v>0</v>
      </c>
      <c r="V75" s="380">
        <v>0</v>
      </c>
      <c r="W75" s="381">
        <v>0</v>
      </c>
      <c r="X75" s="380">
        <v>0</v>
      </c>
      <c r="Y75" s="380">
        <v>0</v>
      </c>
      <c r="Z75" s="380">
        <v>0</v>
      </c>
      <c r="AA75" s="381">
        <v>0</v>
      </c>
    </row>
    <row r="76" spans="1:27" s="1" customFormat="1">
      <c r="A76" s="365" t="s">
        <v>272</v>
      </c>
      <c r="B76" s="384" t="s">
        <v>10</v>
      </c>
      <c r="C76" s="388">
        <v>1291740</v>
      </c>
      <c r="D76" s="389">
        <v>0</v>
      </c>
      <c r="E76" s="389">
        <v>566345</v>
      </c>
      <c r="F76" s="389">
        <v>95226</v>
      </c>
      <c r="G76" s="389">
        <v>466763</v>
      </c>
      <c r="H76" s="389">
        <v>177078</v>
      </c>
      <c r="I76" s="388">
        <v>2597152</v>
      </c>
      <c r="J76" s="388">
        <v>264094</v>
      </c>
      <c r="K76" s="389">
        <v>809198</v>
      </c>
      <c r="L76" s="389">
        <v>169912</v>
      </c>
      <c r="M76" s="389">
        <v>375868</v>
      </c>
      <c r="N76" s="388">
        <v>1619072</v>
      </c>
      <c r="O76" s="388">
        <v>0</v>
      </c>
      <c r="P76" s="389">
        <v>0</v>
      </c>
      <c r="Q76" s="388">
        <v>0</v>
      </c>
      <c r="R76" s="388">
        <v>0</v>
      </c>
      <c r="S76" s="388">
        <v>0</v>
      </c>
      <c r="T76" s="372">
        <v>0</v>
      </c>
      <c r="U76" s="372">
        <v>0</v>
      </c>
      <c r="V76" s="372">
        <v>0</v>
      </c>
      <c r="W76" s="373">
        <v>0</v>
      </c>
      <c r="X76" s="372">
        <v>0</v>
      </c>
      <c r="Y76" s="372">
        <v>0</v>
      </c>
      <c r="Z76" s="372">
        <v>0</v>
      </c>
      <c r="AA76" s="373">
        <v>0</v>
      </c>
    </row>
    <row r="77" spans="1:27">
      <c r="A77" s="182"/>
      <c r="B77" s="477" t="s">
        <v>14</v>
      </c>
      <c r="C77" s="390">
        <v>1614</v>
      </c>
      <c r="D77" s="107">
        <v>0</v>
      </c>
      <c r="E77" s="107">
        <v>3819</v>
      </c>
      <c r="F77" s="107">
        <v>1448</v>
      </c>
      <c r="G77" s="107">
        <v>5501</v>
      </c>
      <c r="H77" s="107">
        <v>4935</v>
      </c>
      <c r="I77" s="390">
        <v>17317</v>
      </c>
      <c r="J77" s="390">
        <v>9635</v>
      </c>
      <c r="K77" s="107">
        <v>36064</v>
      </c>
      <c r="L77" s="107">
        <v>9117</v>
      </c>
      <c r="M77" s="107">
        <v>29607</v>
      </c>
      <c r="N77" s="390">
        <v>84423</v>
      </c>
      <c r="O77" s="390">
        <v>0</v>
      </c>
      <c r="P77" s="107">
        <v>0</v>
      </c>
      <c r="Q77" s="390">
        <v>0</v>
      </c>
      <c r="R77" s="390">
        <v>0</v>
      </c>
      <c r="S77" s="390">
        <v>0</v>
      </c>
      <c r="T77" s="374">
        <v>0</v>
      </c>
      <c r="U77" s="374">
        <v>0</v>
      </c>
      <c r="V77" s="374">
        <v>0</v>
      </c>
      <c r="W77" s="375">
        <v>0</v>
      </c>
      <c r="X77" s="374">
        <v>0</v>
      </c>
      <c r="Y77" s="374">
        <v>0</v>
      </c>
      <c r="Z77" s="374">
        <v>0</v>
      </c>
      <c r="AA77" s="375">
        <v>0</v>
      </c>
    </row>
    <row r="78" spans="1:27" s="1" customFormat="1">
      <c r="A78" s="182"/>
      <c r="B78" s="476" t="s">
        <v>16</v>
      </c>
      <c r="C78" s="476">
        <v>1.249477449022249E-3</v>
      </c>
      <c r="D78" s="511">
        <v>0</v>
      </c>
      <c r="E78" s="511">
        <v>6.7432395448004312E-3</v>
      </c>
      <c r="F78" s="511">
        <v>1.5205931153256464E-2</v>
      </c>
      <c r="G78" s="511">
        <v>1.1785424294556339E-2</v>
      </c>
      <c r="H78" s="511">
        <v>2.7869074645071663E-2</v>
      </c>
      <c r="I78" s="476">
        <v>6.6676882985670458E-3</v>
      </c>
      <c r="J78" s="476">
        <v>3.6483221883117374E-2</v>
      </c>
      <c r="K78" s="511">
        <v>4.4567584200652995E-2</v>
      </c>
      <c r="L78" s="511">
        <v>5.3657187249870522E-2</v>
      </c>
      <c r="M78" s="511">
        <v>7.8769674460182834E-2</v>
      </c>
      <c r="N78" s="476">
        <v>5.2142832437346825E-2</v>
      </c>
      <c r="O78" s="476">
        <v>0</v>
      </c>
      <c r="P78" s="511">
        <v>0</v>
      </c>
      <c r="Q78" s="476">
        <v>0</v>
      </c>
      <c r="R78" s="476">
        <v>0</v>
      </c>
      <c r="S78" s="476">
        <v>0</v>
      </c>
      <c r="T78" s="376">
        <v>0</v>
      </c>
      <c r="U78" s="376">
        <v>0</v>
      </c>
      <c r="V78" s="376">
        <v>0</v>
      </c>
      <c r="W78" s="377">
        <v>0</v>
      </c>
      <c r="X78" s="376">
        <v>0</v>
      </c>
      <c r="Y78" s="376">
        <v>0</v>
      </c>
      <c r="Z78" s="376">
        <v>0</v>
      </c>
      <c r="AA78" s="377">
        <v>0</v>
      </c>
    </row>
    <row r="79" spans="1:27">
      <c r="A79" s="182"/>
      <c r="B79" s="477" t="s">
        <v>11</v>
      </c>
      <c r="C79" s="390">
        <v>1316505</v>
      </c>
      <c r="D79" s="107">
        <v>0</v>
      </c>
      <c r="E79" s="107">
        <v>561661</v>
      </c>
      <c r="F79" s="107">
        <v>89767</v>
      </c>
      <c r="G79" s="107">
        <v>452461</v>
      </c>
      <c r="H79" s="107">
        <v>163555</v>
      </c>
      <c r="I79" s="390">
        <v>2583949</v>
      </c>
      <c r="J79" s="390">
        <v>249276</v>
      </c>
      <c r="K79" s="107">
        <v>755267</v>
      </c>
      <c r="L79" s="107">
        <v>158631</v>
      </c>
      <c r="M79" s="107">
        <v>323708</v>
      </c>
      <c r="N79" s="390">
        <v>1486882</v>
      </c>
      <c r="O79" s="390">
        <v>0</v>
      </c>
      <c r="P79" s="107">
        <v>0</v>
      </c>
      <c r="Q79" s="390">
        <v>0</v>
      </c>
      <c r="R79" s="390">
        <v>0</v>
      </c>
      <c r="S79" s="390">
        <v>0</v>
      </c>
      <c r="T79" s="374">
        <v>0</v>
      </c>
      <c r="U79" s="374">
        <v>0</v>
      </c>
      <c r="V79" s="374">
        <v>0</v>
      </c>
      <c r="W79" s="375">
        <v>0</v>
      </c>
      <c r="X79" s="374">
        <v>0</v>
      </c>
      <c r="Y79" s="374">
        <v>0</v>
      </c>
      <c r="Z79" s="374">
        <v>0</v>
      </c>
      <c r="AA79" s="375">
        <v>0</v>
      </c>
    </row>
    <row r="80" spans="1:27" s="1" customFormat="1">
      <c r="A80" s="182"/>
      <c r="B80" s="477" t="s">
        <v>15</v>
      </c>
      <c r="C80" s="390">
        <v>1431</v>
      </c>
      <c r="D80" s="107">
        <v>0</v>
      </c>
      <c r="E80" s="107">
        <v>5908</v>
      </c>
      <c r="F80" s="107">
        <v>1599</v>
      </c>
      <c r="G80" s="107">
        <v>5844</v>
      </c>
      <c r="H80" s="107">
        <v>5401</v>
      </c>
      <c r="I80" s="390">
        <v>20183</v>
      </c>
      <c r="J80" s="390">
        <v>10958</v>
      </c>
      <c r="K80" s="107">
        <v>31833</v>
      </c>
      <c r="L80" s="107">
        <v>8094</v>
      </c>
      <c r="M80" s="107">
        <v>34237</v>
      </c>
      <c r="N80" s="390">
        <v>85122</v>
      </c>
      <c r="O80" s="390">
        <v>0</v>
      </c>
      <c r="P80" s="107">
        <v>0</v>
      </c>
      <c r="Q80" s="390">
        <v>0</v>
      </c>
      <c r="R80" s="390">
        <v>0</v>
      </c>
      <c r="S80" s="390">
        <v>0</v>
      </c>
      <c r="T80" s="374">
        <v>0</v>
      </c>
      <c r="U80" s="374">
        <v>0</v>
      </c>
      <c r="V80" s="374">
        <v>0</v>
      </c>
      <c r="W80" s="375">
        <v>0</v>
      </c>
      <c r="X80" s="374">
        <v>0</v>
      </c>
      <c r="Y80" s="374">
        <v>0</v>
      </c>
      <c r="Z80" s="374">
        <v>0</v>
      </c>
      <c r="AA80" s="375">
        <v>0</v>
      </c>
    </row>
    <row r="81" spans="1:27">
      <c r="A81" s="182"/>
      <c r="B81" s="475" t="s">
        <v>17</v>
      </c>
      <c r="C81" s="476">
        <v>1.0869689063087494E-3</v>
      </c>
      <c r="D81" s="511">
        <v>0</v>
      </c>
      <c r="E81" s="511">
        <v>1.0518800486414404E-2</v>
      </c>
      <c r="F81" s="511">
        <v>1.7812781980014927E-2</v>
      </c>
      <c r="G81" s="511">
        <v>1.2916030331896009E-2</v>
      </c>
      <c r="H81" s="511">
        <v>3.3022530647182906E-2</v>
      </c>
      <c r="I81" s="476">
        <v>7.8109126766820859E-3</v>
      </c>
      <c r="J81" s="476">
        <v>4.3959306150612172E-2</v>
      </c>
      <c r="K81" s="511">
        <v>4.2148008585043438E-2</v>
      </c>
      <c r="L81" s="511">
        <v>5.1024074739489757E-2</v>
      </c>
      <c r="M81" s="511">
        <v>0.10576507222558602</v>
      </c>
      <c r="N81" s="476">
        <v>5.7248658602363875E-2</v>
      </c>
      <c r="O81" s="476">
        <v>0</v>
      </c>
      <c r="P81" s="511">
        <v>0</v>
      </c>
      <c r="Q81" s="476">
        <v>0</v>
      </c>
      <c r="R81" s="475">
        <v>0</v>
      </c>
      <c r="S81" s="475">
        <v>0</v>
      </c>
      <c r="T81" s="378">
        <v>0</v>
      </c>
      <c r="U81" s="378">
        <v>0</v>
      </c>
      <c r="V81" s="378">
        <v>0</v>
      </c>
      <c r="W81" s="379">
        <v>0</v>
      </c>
      <c r="X81" s="378">
        <v>0</v>
      </c>
      <c r="Y81" s="378">
        <v>0</v>
      </c>
      <c r="Z81" s="378">
        <v>0</v>
      </c>
      <c r="AA81" s="379">
        <v>0</v>
      </c>
    </row>
    <row r="82" spans="1:27" s="1" customFormat="1">
      <c r="A82" s="182"/>
      <c r="B82" s="474" t="s">
        <v>204</v>
      </c>
      <c r="C82" s="512">
        <v>-1.6250854271349958E-4</v>
      </c>
      <c r="D82" s="513">
        <v>0</v>
      </c>
      <c r="E82" s="513">
        <v>3.7755609416139724E-3</v>
      </c>
      <c r="F82" s="513">
        <v>2.6068508267584629E-3</v>
      </c>
      <c r="G82" s="513">
        <v>1.1306060373396706E-3</v>
      </c>
      <c r="H82" s="513">
        <v>5.1534560021112424E-3</v>
      </c>
      <c r="I82" s="512">
        <v>1.1432243781150401E-3</v>
      </c>
      <c r="J82" s="512">
        <v>7.476084267494798E-3</v>
      </c>
      <c r="K82" s="513">
        <v>-2.4195756156095566E-3</v>
      </c>
      <c r="L82" s="513">
        <v>-2.6331125103807654E-3</v>
      </c>
      <c r="M82" s="517">
        <v>2.699539776540319E-2</v>
      </c>
      <c r="N82" s="512">
        <v>5.1058261650170494E-3</v>
      </c>
      <c r="O82" s="512">
        <v>0</v>
      </c>
      <c r="P82" s="513">
        <v>0</v>
      </c>
      <c r="Q82" s="512">
        <v>0</v>
      </c>
      <c r="R82" s="512">
        <v>0</v>
      </c>
      <c r="S82" s="512">
        <v>0</v>
      </c>
      <c r="T82" s="380">
        <v>0</v>
      </c>
      <c r="U82" s="380">
        <v>0</v>
      </c>
      <c r="V82" s="380">
        <v>0</v>
      </c>
      <c r="W82" s="381">
        <v>0</v>
      </c>
      <c r="X82" s="380">
        <v>0</v>
      </c>
      <c r="Y82" s="380">
        <v>0</v>
      </c>
      <c r="Z82" s="380">
        <v>0</v>
      </c>
      <c r="AA82" s="381">
        <v>0</v>
      </c>
    </row>
    <row r="83" spans="1:27">
      <c r="A83" s="365" t="s">
        <v>287</v>
      </c>
      <c r="B83" s="384" t="s">
        <v>10</v>
      </c>
      <c r="C83" s="388">
        <v>689548</v>
      </c>
      <c r="D83" s="389">
        <v>0</v>
      </c>
      <c r="E83" s="389">
        <v>541515.5</v>
      </c>
      <c r="F83" s="389">
        <v>0</v>
      </c>
      <c r="G83" s="389">
        <v>102078</v>
      </c>
      <c r="H83" s="389">
        <v>363534.01</v>
      </c>
      <c r="I83" s="388">
        <v>1696675.51</v>
      </c>
      <c r="J83" s="388">
        <v>0</v>
      </c>
      <c r="K83" s="389">
        <v>1710057.6800000002</v>
      </c>
      <c r="L83" s="389">
        <v>505566.02999999997</v>
      </c>
      <c r="M83" s="389">
        <v>196974.25</v>
      </c>
      <c r="N83" s="388">
        <v>2412597.9600000004</v>
      </c>
      <c r="O83" s="388">
        <v>0</v>
      </c>
      <c r="P83" s="389">
        <v>0</v>
      </c>
      <c r="Q83" s="388">
        <v>0</v>
      </c>
      <c r="R83" s="388">
        <v>0</v>
      </c>
      <c r="S83" s="388">
        <v>0</v>
      </c>
      <c r="T83" s="372">
        <v>0</v>
      </c>
      <c r="U83" s="372">
        <v>0</v>
      </c>
      <c r="V83" s="372">
        <v>0</v>
      </c>
      <c r="W83" s="373">
        <v>0</v>
      </c>
      <c r="X83" s="372">
        <v>0</v>
      </c>
      <c r="Y83" s="372">
        <v>0</v>
      </c>
      <c r="Z83" s="372">
        <v>0</v>
      </c>
      <c r="AA83" s="373">
        <v>0</v>
      </c>
    </row>
    <row r="84" spans="1:27" s="1" customFormat="1">
      <c r="A84" s="182"/>
      <c r="B84" s="477" t="s">
        <v>14</v>
      </c>
      <c r="C84" s="390">
        <v>135</v>
      </c>
      <c r="D84" s="107">
        <v>0</v>
      </c>
      <c r="E84" s="107">
        <v>1508</v>
      </c>
      <c r="F84" s="107">
        <v>0</v>
      </c>
      <c r="G84" s="107">
        <v>695</v>
      </c>
      <c r="H84" s="107">
        <v>3000</v>
      </c>
      <c r="I84" s="390">
        <v>5338</v>
      </c>
      <c r="J84" s="390">
        <v>0</v>
      </c>
      <c r="K84" s="107">
        <v>41300</v>
      </c>
      <c r="L84" s="107">
        <v>18692</v>
      </c>
      <c r="M84" s="107">
        <v>16490</v>
      </c>
      <c r="N84" s="390">
        <v>76482</v>
      </c>
      <c r="O84" s="390">
        <v>0</v>
      </c>
      <c r="P84" s="107">
        <v>0</v>
      </c>
      <c r="Q84" s="390">
        <v>0</v>
      </c>
      <c r="R84" s="390">
        <v>0</v>
      </c>
      <c r="S84" s="390">
        <v>0</v>
      </c>
      <c r="T84" s="374">
        <v>0</v>
      </c>
      <c r="U84" s="374">
        <v>0</v>
      </c>
      <c r="V84" s="374">
        <v>0</v>
      </c>
      <c r="W84" s="375">
        <v>0</v>
      </c>
      <c r="X84" s="374">
        <v>0</v>
      </c>
      <c r="Y84" s="374">
        <v>0</v>
      </c>
      <c r="Z84" s="374">
        <v>0</v>
      </c>
      <c r="AA84" s="375">
        <v>0</v>
      </c>
    </row>
    <row r="85" spans="1:27">
      <c r="A85" s="182"/>
      <c r="B85" s="476" t="s">
        <v>16</v>
      </c>
      <c r="C85" s="476">
        <v>1.957804242779328E-4</v>
      </c>
      <c r="D85" s="511">
        <v>0</v>
      </c>
      <c r="E85" s="511">
        <v>2.7847771670432334E-3</v>
      </c>
      <c r="F85" s="511">
        <v>0</v>
      </c>
      <c r="G85" s="511">
        <v>6.8085189756852604E-3</v>
      </c>
      <c r="H85" s="511">
        <v>8.2523228019298657E-3</v>
      </c>
      <c r="I85" s="476">
        <v>3.1461525604268314E-3</v>
      </c>
      <c r="J85" s="476">
        <v>0</v>
      </c>
      <c r="K85" s="511">
        <v>2.41512321385557E-2</v>
      </c>
      <c r="L85" s="511">
        <v>3.6972420793382817E-2</v>
      </c>
      <c r="M85" s="511">
        <v>8.3716526398755167E-2</v>
      </c>
      <c r="N85" s="476">
        <v>3.1701096190929375E-2</v>
      </c>
      <c r="O85" s="476">
        <v>0</v>
      </c>
      <c r="P85" s="511">
        <v>0</v>
      </c>
      <c r="Q85" s="476">
        <v>0</v>
      </c>
      <c r="R85" s="476">
        <v>0</v>
      </c>
      <c r="S85" s="476">
        <v>0</v>
      </c>
      <c r="T85" s="376">
        <v>0</v>
      </c>
      <c r="U85" s="376">
        <v>0</v>
      </c>
      <c r="V85" s="376">
        <v>0</v>
      </c>
      <c r="W85" s="377">
        <v>0</v>
      </c>
      <c r="X85" s="376">
        <v>0</v>
      </c>
      <c r="Y85" s="376">
        <v>0</v>
      </c>
      <c r="Z85" s="376">
        <v>0</v>
      </c>
      <c r="AA85" s="377">
        <v>0</v>
      </c>
    </row>
    <row r="86" spans="1:27" s="1" customFormat="1">
      <c r="A86" s="182"/>
      <c r="B86" s="477" t="s">
        <v>11</v>
      </c>
      <c r="C86" s="390">
        <v>1217568</v>
      </c>
      <c r="D86" s="107">
        <v>0</v>
      </c>
      <c r="E86" s="107">
        <v>545655</v>
      </c>
      <c r="F86" s="107">
        <v>0</v>
      </c>
      <c r="G86" s="107">
        <v>100808</v>
      </c>
      <c r="H86" s="107">
        <v>360515</v>
      </c>
      <c r="I86" s="390">
        <v>2224546</v>
      </c>
      <c r="J86" s="390">
        <v>0</v>
      </c>
      <c r="K86" s="107">
        <v>1502018</v>
      </c>
      <c r="L86" s="107">
        <v>477295</v>
      </c>
      <c r="M86" s="107">
        <v>190109</v>
      </c>
      <c r="N86" s="390">
        <v>2169422</v>
      </c>
      <c r="O86" s="390">
        <v>0</v>
      </c>
      <c r="P86" s="107">
        <v>0</v>
      </c>
      <c r="Q86" s="390">
        <v>0</v>
      </c>
      <c r="R86" s="390">
        <v>0</v>
      </c>
      <c r="S86" s="390">
        <v>0</v>
      </c>
      <c r="T86" s="374">
        <v>0</v>
      </c>
      <c r="U86" s="374">
        <v>0</v>
      </c>
      <c r="V86" s="374">
        <v>0</v>
      </c>
      <c r="W86" s="375">
        <v>0</v>
      </c>
      <c r="X86" s="374">
        <v>0</v>
      </c>
      <c r="Y86" s="374">
        <v>0</v>
      </c>
      <c r="Z86" s="374">
        <v>0</v>
      </c>
      <c r="AA86" s="375">
        <v>0</v>
      </c>
    </row>
    <row r="87" spans="1:27">
      <c r="A87" s="182"/>
      <c r="B87" s="477" t="s">
        <v>15</v>
      </c>
      <c r="C87" s="390">
        <v>188</v>
      </c>
      <c r="D87" s="107">
        <v>0</v>
      </c>
      <c r="E87" s="107">
        <v>3267</v>
      </c>
      <c r="F87" s="107">
        <v>0</v>
      </c>
      <c r="G87" s="107">
        <v>1414</v>
      </c>
      <c r="H87" s="107">
        <v>1564</v>
      </c>
      <c r="I87" s="390">
        <v>6433</v>
      </c>
      <c r="J87" s="390">
        <v>0</v>
      </c>
      <c r="K87" s="107">
        <v>70192</v>
      </c>
      <c r="L87" s="107">
        <v>25763</v>
      </c>
      <c r="M87" s="107">
        <v>9733</v>
      </c>
      <c r="N87" s="390">
        <v>105688</v>
      </c>
      <c r="O87" s="390">
        <v>0</v>
      </c>
      <c r="P87" s="107">
        <v>0</v>
      </c>
      <c r="Q87" s="390">
        <v>0</v>
      </c>
      <c r="R87" s="390">
        <v>0</v>
      </c>
      <c r="S87" s="390">
        <v>0</v>
      </c>
      <c r="T87" s="374">
        <v>0</v>
      </c>
      <c r="U87" s="374">
        <v>0</v>
      </c>
      <c r="V87" s="374">
        <v>0</v>
      </c>
      <c r="W87" s="375">
        <v>0</v>
      </c>
      <c r="X87" s="374">
        <v>0</v>
      </c>
      <c r="Y87" s="374">
        <v>0</v>
      </c>
      <c r="Z87" s="374">
        <v>0</v>
      </c>
      <c r="AA87" s="375">
        <v>0</v>
      </c>
    </row>
    <row r="88" spans="1:27" s="1" customFormat="1">
      <c r="A88" s="182"/>
      <c r="B88" s="475" t="s">
        <v>17</v>
      </c>
      <c r="C88" s="476">
        <v>1.544061604772793E-4</v>
      </c>
      <c r="D88" s="511">
        <v>0</v>
      </c>
      <c r="E88" s="511">
        <v>5.9872996673722405E-3</v>
      </c>
      <c r="F88" s="511">
        <v>0</v>
      </c>
      <c r="G88" s="511">
        <v>1.4026664550432505E-2</v>
      </c>
      <c r="H88" s="511">
        <v>4.3382383534665689E-3</v>
      </c>
      <c r="I88" s="476">
        <v>2.8918260175334652E-3</v>
      </c>
      <c r="J88" s="476">
        <v>0</v>
      </c>
      <c r="K88" s="511">
        <v>4.6731796822674559E-2</v>
      </c>
      <c r="L88" s="511">
        <v>5.3977100116280291E-2</v>
      </c>
      <c r="M88" s="511">
        <v>5.1196944910551316E-2</v>
      </c>
      <c r="N88" s="476">
        <v>4.8717123731574587E-2</v>
      </c>
      <c r="O88" s="476">
        <v>0</v>
      </c>
      <c r="P88" s="511">
        <v>0</v>
      </c>
      <c r="Q88" s="476">
        <v>0</v>
      </c>
      <c r="R88" s="475">
        <v>0</v>
      </c>
      <c r="S88" s="475">
        <v>0</v>
      </c>
      <c r="T88" s="378">
        <v>0</v>
      </c>
      <c r="U88" s="378">
        <v>0</v>
      </c>
      <c r="V88" s="378">
        <v>0</v>
      </c>
      <c r="W88" s="379">
        <v>0</v>
      </c>
      <c r="X88" s="378">
        <v>0</v>
      </c>
      <c r="Y88" s="378">
        <v>0</v>
      </c>
      <c r="Z88" s="378">
        <v>0</v>
      </c>
      <c r="AA88" s="379">
        <v>0</v>
      </c>
    </row>
    <row r="89" spans="1:27">
      <c r="A89" s="182"/>
      <c r="B89" s="474" t="s">
        <v>204</v>
      </c>
      <c r="C89" s="512">
        <v>-4.1374263800653496E-5</v>
      </c>
      <c r="D89" s="513">
        <v>0</v>
      </c>
      <c r="E89" s="513">
        <v>3.2025225003290071E-3</v>
      </c>
      <c r="F89" s="513">
        <v>0</v>
      </c>
      <c r="G89" s="513">
        <v>7.2181455747472442E-3</v>
      </c>
      <c r="H89" s="513">
        <v>-3.9140844484632968E-3</v>
      </c>
      <c r="I89" s="512">
        <v>-2.5432654289336614E-4</v>
      </c>
      <c r="J89" s="512">
        <v>0</v>
      </c>
      <c r="K89" s="513">
        <v>2.258056468411886E-2</v>
      </c>
      <c r="L89" s="517">
        <v>1.7004679322897474E-2</v>
      </c>
      <c r="M89" s="517">
        <v>-3.2519581488203851E-2</v>
      </c>
      <c r="N89" s="512">
        <v>1.7016027540645212E-2</v>
      </c>
      <c r="O89" s="512">
        <v>0</v>
      </c>
      <c r="P89" s="513">
        <v>0</v>
      </c>
      <c r="Q89" s="512">
        <v>0</v>
      </c>
      <c r="R89" s="512">
        <v>0</v>
      </c>
      <c r="S89" s="512">
        <v>0</v>
      </c>
      <c r="T89" s="380">
        <v>0</v>
      </c>
      <c r="U89" s="380">
        <v>0</v>
      </c>
      <c r="V89" s="380">
        <v>0</v>
      </c>
      <c r="W89" s="381">
        <v>0</v>
      </c>
      <c r="X89" s="380">
        <v>0</v>
      </c>
      <c r="Y89" s="380">
        <v>0</v>
      </c>
      <c r="Z89" s="380">
        <v>0</v>
      </c>
      <c r="AA89" s="381">
        <v>0</v>
      </c>
    </row>
    <row r="90" spans="1:27" s="1" customFormat="1">
      <c r="A90" s="521" t="s">
        <v>276</v>
      </c>
      <c r="B90" s="384" t="s">
        <v>10</v>
      </c>
      <c r="C90" s="388">
        <v>0</v>
      </c>
      <c r="D90" s="389">
        <v>0</v>
      </c>
      <c r="E90" s="389">
        <v>1736617</v>
      </c>
      <c r="F90" s="389">
        <v>0</v>
      </c>
      <c r="G90" s="389">
        <v>202674</v>
      </c>
      <c r="H90" s="389">
        <v>0</v>
      </c>
      <c r="I90" s="388">
        <v>1939291</v>
      </c>
      <c r="J90" s="388">
        <v>0</v>
      </c>
      <c r="K90" s="389">
        <v>1049569</v>
      </c>
      <c r="L90" s="389">
        <v>840193</v>
      </c>
      <c r="M90" s="389">
        <v>0</v>
      </c>
      <c r="N90" s="388">
        <v>1889762</v>
      </c>
      <c r="O90" s="388">
        <v>0</v>
      </c>
      <c r="P90" s="389">
        <v>0</v>
      </c>
      <c r="Q90" s="388">
        <v>0</v>
      </c>
      <c r="R90" s="388">
        <v>0</v>
      </c>
      <c r="S90" s="388">
        <v>0</v>
      </c>
      <c r="T90" s="372">
        <v>0</v>
      </c>
      <c r="U90" s="372">
        <v>0</v>
      </c>
      <c r="V90" s="372">
        <v>0</v>
      </c>
      <c r="W90" s="373">
        <v>0</v>
      </c>
      <c r="X90" s="372">
        <v>0</v>
      </c>
      <c r="Y90" s="372">
        <v>0</v>
      </c>
      <c r="Z90" s="372">
        <v>0</v>
      </c>
      <c r="AA90" s="373">
        <v>0</v>
      </c>
    </row>
    <row r="91" spans="1:27">
      <c r="A91" s="522"/>
      <c r="B91" s="477" t="s">
        <v>14</v>
      </c>
      <c r="C91" s="390">
        <v>0</v>
      </c>
      <c r="D91" s="107">
        <v>0</v>
      </c>
      <c r="E91" s="107">
        <v>5629</v>
      </c>
      <c r="F91" s="107">
        <v>0</v>
      </c>
      <c r="G91" s="107">
        <v>4402</v>
      </c>
      <c r="H91" s="107">
        <v>0</v>
      </c>
      <c r="I91" s="390">
        <v>10031</v>
      </c>
      <c r="J91" s="390">
        <v>0</v>
      </c>
      <c r="K91" s="107">
        <v>38398</v>
      </c>
      <c r="L91" s="107">
        <v>49130</v>
      </c>
      <c r="M91" s="107">
        <v>0</v>
      </c>
      <c r="N91" s="390">
        <v>87528</v>
      </c>
      <c r="O91" s="390">
        <v>0</v>
      </c>
      <c r="P91" s="107">
        <v>0</v>
      </c>
      <c r="Q91" s="390">
        <v>0</v>
      </c>
      <c r="R91" s="390">
        <v>0</v>
      </c>
      <c r="S91" s="390">
        <v>0</v>
      </c>
      <c r="T91" s="374">
        <v>0</v>
      </c>
      <c r="U91" s="374">
        <v>0</v>
      </c>
      <c r="V91" s="374">
        <v>0</v>
      </c>
      <c r="W91" s="375">
        <v>0</v>
      </c>
      <c r="X91" s="374">
        <v>0</v>
      </c>
      <c r="Y91" s="374">
        <v>0</v>
      </c>
      <c r="Z91" s="374">
        <v>0</v>
      </c>
      <c r="AA91" s="375">
        <v>0</v>
      </c>
    </row>
    <row r="92" spans="1:27" s="1" customFormat="1">
      <c r="A92" s="522"/>
      <c r="B92" s="476" t="s">
        <v>16</v>
      </c>
      <c r="C92" s="476">
        <v>0</v>
      </c>
      <c r="D92" s="511">
        <v>0</v>
      </c>
      <c r="E92" s="511">
        <v>3.2413594937743899E-3</v>
      </c>
      <c r="F92" s="511">
        <v>0</v>
      </c>
      <c r="G92" s="511">
        <v>2.1719608829943653E-2</v>
      </c>
      <c r="H92" s="511">
        <v>0</v>
      </c>
      <c r="I92" s="476">
        <v>5.1725089220751299E-3</v>
      </c>
      <c r="J92" s="476">
        <v>0</v>
      </c>
      <c r="K92" s="511">
        <v>3.6584540892499684E-2</v>
      </c>
      <c r="L92" s="511">
        <v>5.84746599888359E-2</v>
      </c>
      <c r="M92" s="511">
        <v>0</v>
      </c>
      <c r="N92" s="476">
        <v>4.6316943615121904E-2</v>
      </c>
      <c r="O92" s="476">
        <v>0</v>
      </c>
      <c r="P92" s="511">
        <v>0</v>
      </c>
      <c r="Q92" s="476">
        <v>0</v>
      </c>
      <c r="R92" s="476">
        <v>0</v>
      </c>
      <c r="S92" s="476">
        <v>0</v>
      </c>
      <c r="T92" s="376">
        <v>0</v>
      </c>
      <c r="U92" s="376">
        <v>0</v>
      </c>
      <c r="V92" s="376">
        <v>0</v>
      </c>
      <c r="W92" s="377">
        <v>0</v>
      </c>
      <c r="X92" s="376">
        <v>0</v>
      </c>
      <c r="Y92" s="376">
        <v>0</v>
      </c>
      <c r="Z92" s="376">
        <v>0</v>
      </c>
      <c r="AA92" s="377">
        <v>0</v>
      </c>
    </row>
    <row r="93" spans="1:27">
      <c r="A93" s="522"/>
      <c r="B93" s="477" t="s">
        <v>11</v>
      </c>
      <c r="C93" s="390">
        <v>0</v>
      </c>
      <c r="D93" s="107">
        <v>0</v>
      </c>
      <c r="E93" s="107">
        <v>1693191</v>
      </c>
      <c r="F93" s="107">
        <v>0</v>
      </c>
      <c r="G93" s="107">
        <v>197898</v>
      </c>
      <c r="H93" s="107">
        <v>0</v>
      </c>
      <c r="I93" s="390">
        <v>1891089</v>
      </c>
      <c r="J93" s="390">
        <v>0</v>
      </c>
      <c r="K93" s="107">
        <v>1003016</v>
      </c>
      <c r="L93" s="107">
        <v>798060</v>
      </c>
      <c r="M93" s="107">
        <v>0</v>
      </c>
      <c r="N93" s="390">
        <v>1801076</v>
      </c>
      <c r="O93" s="390">
        <v>0</v>
      </c>
      <c r="P93" s="107">
        <v>0</v>
      </c>
      <c r="Q93" s="390">
        <v>0</v>
      </c>
      <c r="R93" s="390">
        <v>0</v>
      </c>
      <c r="S93" s="390">
        <v>0</v>
      </c>
      <c r="T93" s="374">
        <v>0</v>
      </c>
      <c r="U93" s="374">
        <v>0</v>
      </c>
      <c r="V93" s="374">
        <v>0</v>
      </c>
      <c r="W93" s="375">
        <v>0</v>
      </c>
      <c r="X93" s="374">
        <v>0</v>
      </c>
      <c r="Y93" s="374">
        <v>0</v>
      </c>
      <c r="Z93" s="374">
        <v>0</v>
      </c>
      <c r="AA93" s="375">
        <v>0</v>
      </c>
    </row>
    <row r="94" spans="1:27" s="1" customFormat="1">
      <c r="A94" s="522"/>
      <c r="B94" s="477" t="s">
        <v>15</v>
      </c>
      <c r="C94" s="390">
        <v>0</v>
      </c>
      <c r="D94" s="107">
        <v>0</v>
      </c>
      <c r="E94" s="107">
        <v>5506</v>
      </c>
      <c r="F94" s="107">
        <v>0</v>
      </c>
      <c r="G94" s="107">
        <v>3525</v>
      </c>
      <c r="H94" s="107">
        <v>0</v>
      </c>
      <c r="I94" s="390">
        <v>9031</v>
      </c>
      <c r="J94" s="390">
        <v>0</v>
      </c>
      <c r="K94" s="107">
        <v>43718</v>
      </c>
      <c r="L94" s="107">
        <v>58410</v>
      </c>
      <c r="M94" s="107">
        <v>0</v>
      </c>
      <c r="N94" s="390">
        <v>102128</v>
      </c>
      <c r="O94" s="390">
        <v>0</v>
      </c>
      <c r="P94" s="107">
        <v>0</v>
      </c>
      <c r="Q94" s="390">
        <v>0</v>
      </c>
      <c r="R94" s="390">
        <v>0</v>
      </c>
      <c r="S94" s="390">
        <v>0</v>
      </c>
      <c r="T94" s="374">
        <v>0</v>
      </c>
      <c r="U94" s="374">
        <v>0</v>
      </c>
      <c r="V94" s="374">
        <v>0</v>
      </c>
      <c r="W94" s="375">
        <v>0</v>
      </c>
      <c r="X94" s="374">
        <v>0</v>
      </c>
      <c r="Y94" s="374">
        <v>0</v>
      </c>
      <c r="Z94" s="374">
        <v>0</v>
      </c>
      <c r="AA94" s="375">
        <v>0</v>
      </c>
    </row>
    <row r="95" spans="1:27">
      <c r="A95" s="522"/>
      <c r="B95" s="475" t="s">
        <v>17</v>
      </c>
      <c r="C95" s="476">
        <v>0</v>
      </c>
      <c r="D95" s="511">
        <v>0</v>
      </c>
      <c r="E95" s="511">
        <v>3.2518481376288912E-3</v>
      </c>
      <c r="F95" s="511">
        <v>0</v>
      </c>
      <c r="G95" s="511">
        <v>1.7812206288087804E-2</v>
      </c>
      <c r="H95" s="511">
        <v>0</v>
      </c>
      <c r="I95" s="476">
        <v>4.7755552488539669E-3</v>
      </c>
      <c r="J95" s="476">
        <v>0</v>
      </c>
      <c r="K95" s="511">
        <v>4.3586542986353158E-2</v>
      </c>
      <c r="L95" s="511">
        <v>7.3189985715359743E-2</v>
      </c>
      <c r="M95" s="511">
        <v>0</v>
      </c>
      <c r="N95" s="476">
        <v>5.6703881457528721E-2</v>
      </c>
      <c r="O95" s="476">
        <v>0</v>
      </c>
      <c r="P95" s="511">
        <v>0</v>
      </c>
      <c r="Q95" s="476">
        <v>0</v>
      </c>
      <c r="R95" s="475">
        <v>0</v>
      </c>
      <c r="S95" s="475">
        <v>0</v>
      </c>
      <c r="T95" s="378">
        <v>0</v>
      </c>
      <c r="U95" s="378">
        <v>0</v>
      </c>
      <c r="V95" s="378">
        <v>0</v>
      </c>
      <c r="W95" s="379">
        <v>0</v>
      </c>
      <c r="X95" s="378">
        <v>0</v>
      </c>
      <c r="Y95" s="378">
        <v>0</v>
      </c>
      <c r="Z95" s="378">
        <v>0</v>
      </c>
      <c r="AA95" s="379">
        <v>0</v>
      </c>
    </row>
    <row r="96" spans="1:27" s="1" customFormat="1">
      <c r="A96" s="522"/>
      <c r="B96" s="474" t="s">
        <v>204</v>
      </c>
      <c r="C96" s="512">
        <v>0</v>
      </c>
      <c r="D96" s="513">
        <v>0</v>
      </c>
      <c r="E96" s="513">
        <v>1.0488643854501302E-5</v>
      </c>
      <c r="F96" s="513">
        <v>0</v>
      </c>
      <c r="G96" s="513">
        <v>-3.9074025418558492E-3</v>
      </c>
      <c r="H96" s="513">
        <v>0</v>
      </c>
      <c r="I96" s="512">
        <v>-3.9695367322116308E-4</v>
      </c>
      <c r="J96" s="512">
        <v>0</v>
      </c>
      <c r="K96" s="513">
        <v>7.0020020938534738E-3</v>
      </c>
      <c r="L96" s="517">
        <v>1.4715325726523842E-2</v>
      </c>
      <c r="M96" s="513">
        <v>0</v>
      </c>
      <c r="N96" s="512">
        <v>1.0386937842406817E-2</v>
      </c>
      <c r="O96" s="512">
        <v>0</v>
      </c>
      <c r="P96" s="513">
        <v>0</v>
      </c>
      <c r="Q96" s="512">
        <v>0</v>
      </c>
      <c r="R96" s="512">
        <v>0</v>
      </c>
      <c r="S96" s="512">
        <v>0</v>
      </c>
      <c r="T96" s="380">
        <v>0</v>
      </c>
      <c r="U96" s="380">
        <v>0</v>
      </c>
      <c r="V96" s="380">
        <v>0</v>
      </c>
      <c r="W96" s="381">
        <v>0</v>
      </c>
      <c r="X96" s="380">
        <v>0</v>
      </c>
      <c r="Y96" s="380">
        <v>0</v>
      </c>
      <c r="Z96" s="380">
        <v>0</v>
      </c>
      <c r="AA96" s="381">
        <v>0</v>
      </c>
    </row>
    <row r="97" spans="1:27">
      <c r="A97" s="365" t="s">
        <v>273</v>
      </c>
      <c r="B97" s="384" t="s">
        <v>10</v>
      </c>
      <c r="C97" s="388">
        <v>5362188</v>
      </c>
      <c r="D97" s="389">
        <v>1330092</v>
      </c>
      <c r="E97" s="389">
        <v>4347074</v>
      </c>
      <c r="F97" s="389">
        <v>128059</v>
      </c>
      <c r="G97" s="389">
        <v>353179</v>
      </c>
      <c r="H97" s="389">
        <v>54015</v>
      </c>
      <c r="I97" s="388">
        <v>11574607</v>
      </c>
      <c r="J97" s="388">
        <v>743608</v>
      </c>
      <c r="K97" s="389">
        <v>10957295</v>
      </c>
      <c r="L97" s="389">
        <v>2326853</v>
      </c>
      <c r="M97" s="389">
        <v>347670</v>
      </c>
      <c r="N97" s="388">
        <v>14375426</v>
      </c>
      <c r="O97" s="388">
        <v>2526810</v>
      </c>
      <c r="P97" s="389">
        <v>2526810</v>
      </c>
      <c r="Q97" s="388">
        <v>0</v>
      </c>
      <c r="R97" s="388">
        <v>0</v>
      </c>
      <c r="S97" s="388">
        <v>0</v>
      </c>
      <c r="T97" s="372">
        <v>33373</v>
      </c>
      <c r="U97" s="372">
        <v>33373</v>
      </c>
      <c r="V97" s="372">
        <v>2190472</v>
      </c>
      <c r="W97" s="373">
        <v>2190472</v>
      </c>
      <c r="X97" s="372">
        <v>323340</v>
      </c>
      <c r="Y97" s="372">
        <v>323340</v>
      </c>
      <c r="Z97" s="372">
        <v>12998</v>
      </c>
      <c r="AA97" s="373">
        <v>12998</v>
      </c>
    </row>
    <row r="98" spans="1:27" s="1" customFormat="1">
      <c r="A98" s="182"/>
      <c r="B98" s="477" t="s">
        <v>14</v>
      </c>
      <c r="C98" s="390">
        <v>1798</v>
      </c>
      <c r="D98" s="107">
        <v>2205</v>
      </c>
      <c r="E98" s="107">
        <v>33900</v>
      </c>
      <c r="F98" s="107">
        <v>0</v>
      </c>
      <c r="G98" s="107">
        <v>677</v>
      </c>
      <c r="H98" s="107">
        <v>0</v>
      </c>
      <c r="I98" s="390">
        <v>38580</v>
      </c>
      <c r="J98" s="390">
        <v>143838</v>
      </c>
      <c r="K98" s="107">
        <v>695860</v>
      </c>
      <c r="L98" s="107">
        <v>227446</v>
      </c>
      <c r="M98" s="107">
        <v>36360</v>
      </c>
      <c r="N98" s="390">
        <v>1103504</v>
      </c>
      <c r="O98" s="390">
        <v>195612</v>
      </c>
      <c r="P98" s="107">
        <v>195612</v>
      </c>
      <c r="Q98" s="390">
        <v>0</v>
      </c>
      <c r="R98" s="390">
        <v>0</v>
      </c>
      <c r="S98" s="390">
        <v>0</v>
      </c>
      <c r="T98" s="374">
        <v>0</v>
      </c>
      <c r="U98" s="374">
        <v>0</v>
      </c>
      <c r="V98" s="374">
        <v>159691</v>
      </c>
      <c r="W98" s="375">
        <v>159691</v>
      </c>
      <c r="X98" s="374">
        <v>35921</v>
      </c>
      <c r="Y98" s="374">
        <v>35921</v>
      </c>
      <c r="Z98" s="374">
        <v>0</v>
      </c>
      <c r="AA98" s="375">
        <v>0</v>
      </c>
    </row>
    <row r="99" spans="1:27">
      <c r="A99" s="182"/>
      <c r="B99" s="476" t="s">
        <v>16</v>
      </c>
      <c r="C99" s="476">
        <v>3.3531088428827933E-4</v>
      </c>
      <c r="D99" s="511">
        <v>1.6577800633339648E-3</v>
      </c>
      <c r="E99" s="511">
        <v>7.7983489584028242E-3</v>
      </c>
      <c r="F99" s="511">
        <v>0</v>
      </c>
      <c r="G99" s="511">
        <v>1.9168750123874862E-3</v>
      </c>
      <c r="H99" s="511">
        <v>0</v>
      </c>
      <c r="I99" s="476">
        <v>3.3331585253823307E-3</v>
      </c>
      <c r="J99" s="476">
        <v>0.19343256124194469</v>
      </c>
      <c r="K99" s="511">
        <v>6.35065497460824E-2</v>
      </c>
      <c r="L99" s="511">
        <v>9.7748332189442136E-2</v>
      </c>
      <c r="M99" s="511">
        <v>0.10458193114159979</v>
      </c>
      <c r="N99" s="476">
        <v>7.6763220790813436E-2</v>
      </c>
      <c r="O99" s="476">
        <v>7.7414605767746683E-2</v>
      </c>
      <c r="P99" s="511">
        <v>7.7414605767746683E-2</v>
      </c>
      <c r="Q99" s="476">
        <v>0</v>
      </c>
      <c r="R99" s="476">
        <v>0</v>
      </c>
      <c r="S99" s="476">
        <v>0</v>
      </c>
      <c r="T99" s="376">
        <v>0</v>
      </c>
      <c r="U99" s="376">
        <v>0</v>
      </c>
      <c r="V99" s="376">
        <v>7.2902552509230889E-2</v>
      </c>
      <c r="W99" s="377">
        <v>7.2902552509230889E-2</v>
      </c>
      <c r="X99" s="376">
        <v>0.11109358569926393</v>
      </c>
      <c r="Y99" s="376">
        <v>0.11109358569926393</v>
      </c>
      <c r="Z99" s="376">
        <v>0</v>
      </c>
      <c r="AA99" s="377">
        <v>0</v>
      </c>
    </row>
    <row r="100" spans="1:27" s="1" customFormat="1">
      <c r="A100" s="182"/>
      <c r="B100" s="477" t="s">
        <v>11</v>
      </c>
      <c r="C100" s="390">
        <v>5418106</v>
      </c>
      <c r="D100" s="107">
        <v>1316690</v>
      </c>
      <c r="E100" s="107">
        <v>4453825</v>
      </c>
      <c r="F100" s="107">
        <v>131998</v>
      </c>
      <c r="G100" s="107">
        <v>352503</v>
      </c>
      <c r="H100" s="107">
        <v>55815</v>
      </c>
      <c r="I100" s="390">
        <v>11728937</v>
      </c>
      <c r="J100" s="390">
        <v>755952</v>
      </c>
      <c r="K100" s="107">
        <v>10667341</v>
      </c>
      <c r="L100" s="107">
        <v>2283909</v>
      </c>
      <c r="M100" s="107">
        <v>351369</v>
      </c>
      <c r="N100" s="390">
        <v>14058571</v>
      </c>
      <c r="O100" s="390">
        <v>2483512</v>
      </c>
      <c r="P100" s="107">
        <v>2483512</v>
      </c>
      <c r="Q100" s="390">
        <v>0</v>
      </c>
      <c r="R100" s="390">
        <v>0</v>
      </c>
      <c r="S100" s="390">
        <v>0</v>
      </c>
      <c r="T100" s="374">
        <v>0</v>
      </c>
      <c r="U100" s="374">
        <v>0</v>
      </c>
      <c r="V100" s="374">
        <v>2155910</v>
      </c>
      <c r="W100" s="375">
        <v>2155910</v>
      </c>
      <c r="X100" s="374">
        <v>312907</v>
      </c>
      <c r="Y100" s="374">
        <v>312907</v>
      </c>
      <c r="Z100" s="374">
        <v>14695</v>
      </c>
      <c r="AA100" s="375">
        <v>14695</v>
      </c>
    </row>
    <row r="101" spans="1:27">
      <c r="A101" s="182"/>
      <c r="B101" s="477" t="s">
        <v>15</v>
      </c>
      <c r="C101" s="390">
        <v>1917</v>
      </c>
      <c r="D101" s="107">
        <v>2558</v>
      </c>
      <c r="E101" s="107">
        <v>39620</v>
      </c>
      <c r="F101" s="107">
        <v>0</v>
      </c>
      <c r="G101" s="107">
        <v>809</v>
      </c>
      <c r="H101" s="107">
        <v>0</v>
      </c>
      <c r="I101" s="390">
        <v>44904</v>
      </c>
      <c r="J101" s="390">
        <v>165987</v>
      </c>
      <c r="K101" s="107">
        <v>739255</v>
      </c>
      <c r="L101" s="107">
        <v>236277</v>
      </c>
      <c r="M101" s="107">
        <v>40130</v>
      </c>
      <c r="N101" s="390">
        <v>1181649</v>
      </c>
      <c r="O101" s="390">
        <v>210266</v>
      </c>
      <c r="P101" s="107">
        <v>210266</v>
      </c>
      <c r="Q101" s="390">
        <v>0</v>
      </c>
      <c r="R101" s="390">
        <v>0</v>
      </c>
      <c r="S101" s="390">
        <v>0</v>
      </c>
      <c r="T101" s="374">
        <v>0</v>
      </c>
      <c r="U101" s="374">
        <v>0</v>
      </c>
      <c r="V101" s="374">
        <v>174215</v>
      </c>
      <c r="W101" s="375">
        <v>174215</v>
      </c>
      <c r="X101" s="374">
        <v>36015</v>
      </c>
      <c r="Y101" s="374">
        <v>36015</v>
      </c>
      <c r="Z101" s="374">
        <v>36</v>
      </c>
      <c r="AA101" s="375">
        <v>36</v>
      </c>
    </row>
    <row r="102" spans="1:27">
      <c r="A102" s="182"/>
      <c r="B102" s="475" t="s">
        <v>17</v>
      </c>
      <c r="C102" s="476">
        <v>3.5381367584908825E-4</v>
      </c>
      <c r="D102" s="511">
        <v>1.9427503816388063E-3</v>
      </c>
      <c r="E102" s="511">
        <v>8.8957244615583235E-3</v>
      </c>
      <c r="F102" s="511">
        <v>0</v>
      </c>
      <c r="G102" s="511">
        <v>2.2950159289424486E-3</v>
      </c>
      <c r="H102" s="511">
        <v>0</v>
      </c>
      <c r="I102" s="476">
        <v>3.8284799381222696E-3</v>
      </c>
      <c r="J102" s="476">
        <v>0.21957346498190361</v>
      </c>
      <c r="K102" s="511">
        <v>6.9300775141621515E-2</v>
      </c>
      <c r="L102" s="511">
        <v>0.10345289589033539</v>
      </c>
      <c r="M102" s="511">
        <v>0.11421041696905532</v>
      </c>
      <c r="N102" s="476">
        <v>8.4051857048628914E-2</v>
      </c>
      <c r="O102" s="476">
        <v>8.4664781164737676E-2</v>
      </c>
      <c r="P102" s="511">
        <v>8.4664781164737676E-2</v>
      </c>
      <c r="Q102" s="476">
        <v>0</v>
      </c>
      <c r="R102" s="475">
        <v>0</v>
      </c>
      <c r="S102" s="475">
        <v>0</v>
      </c>
      <c r="T102" s="378">
        <v>0</v>
      </c>
      <c r="U102" s="378">
        <v>0</v>
      </c>
      <c r="V102" s="378">
        <v>8.0808104234406819E-2</v>
      </c>
      <c r="W102" s="379">
        <v>8.0808104234406819E-2</v>
      </c>
      <c r="X102" s="378">
        <v>0.11509809623945773</v>
      </c>
      <c r="Y102" s="378">
        <v>0.11509809623945773</v>
      </c>
      <c r="Z102" s="378">
        <v>2.4498128615175231E-3</v>
      </c>
      <c r="AA102" s="379">
        <v>2.4498128615175231E-3</v>
      </c>
    </row>
    <row r="103" spans="1:27">
      <c r="A103" s="182"/>
      <c r="B103" s="474" t="s">
        <v>204</v>
      </c>
      <c r="C103" s="512">
        <v>1.8502791560808917E-5</v>
      </c>
      <c r="D103" s="513">
        <v>2.8497031830484153E-4</v>
      </c>
      <c r="E103" s="513">
        <v>1.0973755031554993E-3</v>
      </c>
      <c r="F103" s="513">
        <v>0</v>
      </c>
      <c r="G103" s="513">
        <v>3.7814091655496247E-4</v>
      </c>
      <c r="H103" s="513">
        <v>0</v>
      </c>
      <c r="I103" s="512">
        <v>4.9532141273993897E-4</v>
      </c>
      <c r="J103" s="516">
        <v>2.6140903739958921E-2</v>
      </c>
      <c r="K103" s="513">
        <v>5.7942253955391154E-3</v>
      </c>
      <c r="L103" s="513">
        <v>5.7045637008932559E-3</v>
      </c>
      <c r="M103" s="517">
        <v>9.6284858274555268E-3</v>
      </c>
      <c r="N103" s="512">
        <v>7.2886362578154784E-3</v>
      </c>
      <c r="O103" s="512">
        <v>7.2501753969909932E-3</v>
      </c>
      <c r="P103" s="513">
        <v>7.2501753969909932E-3</v>
      </c>
      <c r="Q103" s="512">
        <v>0</v>
      </c>
      <c r="R103" s="512">
        <v>0</v>
      </c>
      <c r="S103" s="512">
        <v>0</v>
      </c>
      <c r="T103" s="380">
        <v>0</v>
      </c>
      <c r="U103" s="380">
        <v>0</v>
      </c>
      <c r="V103" s="380">
        <v>7.90555172517593E-3</v>
      </c>
      <c r="W103" s="381">
        <v>7.90555172517593E-3</v>
      </c>
      <c r="X103" s="380">
        <v>4.0045105401937953E-3</v>
      </c>
      <c r="Y103" s="380">
        <v>4.0045105401937953E-3</v>
      </c>
      <c r="Z103" s="380">
        <v>2.4498128615175231E-3</v>
      </c>
      <c r="AA103" s="381">
        <v>2.4498128615175231E-3</v>
      </c>
    </row>
    <row r="104" spans="1:27">
      <c r="A104" s="365" t="s">
        <v>288</v>
      </c>
      <c r="B104" s="384" t="s">
        <v>10</v>
      </c>
      <c r="C104" s="388">
        <v>2316831</v>
      </c>
      <c r="D104" s="389">
        <v>840178.5</v>
      </c>
      <c r="E104" s="389">
        <v>1378337</v>
      </c>
      <c r="F104" s="389">
        <v>0</v>
      </c>
      <c r="G104" s="389">
        <v>144321</v>
      </c>
      <c r="H104" s="389">
        <v>53837</v>
      </c>
      <c r="I104" s="388">
        <v>4733504.5</v>
      </c>
      <c r="J104" s="388">
        <v>0</v>
      </c>
      <c r="K104" s="389">
        <v>2405139</v>
      </c>
      <c r="L104" s="389">
        <v>1239396</v>
      </c>
      <c r="M104" s="389">
        <v>224526</v>
      </c>
      <c r="N104" s="388">
        <v>3869061</v>
      </c>
      <c r="O104" s="388">
        <v>0</v>
      </c>
      <c r="P104" s="389">
        <v>0</v>
      </c>
      <c r="Q104" s="388">
        <v>0</v>
      </c>
      <c r="R104" s="388">
        <v>0</v>
      </c>
      <c r="S104" s="388">
        <v>0</v>
      </c>
      <c r="T104" s="372">
        <v>0</v>
      </c>
      <c r="U104" s="372">
        <v>0</v>
      </c>
      <c r="V104" s="372">
        <v>0</v>
      </c>
      <c r="W104" s="373">
        <v>0</v>
      </c>
      <c r="X104" s="372">
        <v>0</v>
      </c>
      <c r="Y104" s="372">
        <v>0</v>
      </c>
      <c r="Z104" s="372">
        <v>0</v>
      </c>
      <c r="AA104" s="373">
        <v>0</v>
      </c>
    </row>
    <row r="105" spans="1:27">
      <c r="A105" s="182"/>
      <c r="B105" s="477" t="s">
        <v>14</v>
      </c>
      <c r="C105" s="390">
        <v>27643</v>
      </c>
      <c r="D105" s="107">
        <v>7800</v>
      </c>
      <c r="E105" s="107">
        <v>6435</v>
      </c>
      <c r="F105" s="107">
        <v>0</v>
      </c>
      <c r="G105" s="107">
        <v>16</v>
      </c>
      <c r="H105" s="107">
        <v>26</v>
      </c>
      <c r="I105" s="390">
        <v>41920</v>
      </c>
      <c r="J105" s="390">
        <v>0</v>
      </c>
      <c r="K105" s="107">
        <v>127545</v>
      </c>
      <c r="L105" s="107">
        <v>358645</v>
      </c>
      <c r="M105" s="107">
        <v>85978</v>
      </c>
      <c r="N105" s="390">
        <v>572168</v>
      </c>
      <c r="O105" s="390">
        <v>0</v>
      </c>
      <c r="P105" s="107">
        <v>0</v>
      </c>
      <c r="Q105" s="390">
        <v>0</v>
      </c>
      <c r="R105" s="390">
        <v>0</v>
      </c>
      <c r="S105" s="390">
        <v>0</v>
      </c>
      <c r="T105" s="374">
        <v>0</v>
      </c>
      <c r="U105" s="374">
        <v>0</v>
      </c>
      <c r="V105" s="374">
        <v>0</v>
      </c>
      <c r="W105" s="375">
        <v>0</v>
      </c>
      <c r="X105" s="374">
        <v>0</v>
      </c>
      <c r="Y105" s="374">
        <v>0</v>
      </c>
      <c r="Z105" s="374">
        <v>0</v>
      </c>
      <c r="AA105" s="375">
        <v>0</v>
      </c>
    </row>
    <row r="106" spans="1:27">
      <c r="A106" s="182"/>
      <c r="B106" s="476" t="s">
        <v>16</v>
      </c>
      <c r="C106" s="476">
        <v>1.1931383860108917E-2</v>
      </c>
      <c r="D106" s="511">
        <v>9.2837414906475225E-3</v>
      </c>
      <c r="E106" s="511">
        <v>4.6686695633941485E-3</v>
      </c>
      <c r="F106" s="511">
        <v>0</v>
      </c>
      <c r="G106" s="511">
        <v>1.1086397682942884E-4</v>
      </c>
      <c r="H106" s="511">
        <v>4.829392425283727E-4</v>
      </c>
      <c r="I106" s="476">
        <v>8.8560177771036235E-3</v>
      </c>
      <c r="J106" s="476">
        <v>0</v>
      </c>
      <c r="K106" s="511">
        <v>5.303019908620666E-2</v>
      </c>
      <c r="L106" s="511">
        <v>0.28937079028817264</v>
      </c>
      <c r="M106" s="511">
        <v>0.38293115273954909</v>
      </c>
      <c r="N106" s="476">
        <v>0.1478829100911048</v>
      </c>
      <c r="O106" s="476">
        <v>0</v>
      </c>
      <c r="P106" s="511">
        <v>0</v>
      </c>
      <c r="Q106" s="476">
        <v>0</v>
      </c>
      <c r="R106" s="476">
        <v>0</v>
      </c>
      <c r="S106" s="476">
        <v>0</v>
      </c>
      <c r="T106" s="376">
        <v>0</v>
      </c>
      <c r="U106" s="376">
        <v>0</v>
      </c>
      <c r="V106" s="376">
        <v>0</v>
      </c>
      <c r="W106" s="377">
        <v>0</v>
      </c>
      <c r="X106" s="376">
        <v>0</v>
      </c>
      <c r="Y106" s="376">
        <v>0</v>
      </c>
      <c r="Z106" s="376">
        <v>0</v>
      </c>
      <c r="AA106" s="377">
        <v>0</v>
      </c>
    </row>
    <row r="107" spans="1:27">
      <c r="A107" s="182"/>
      <c r="B107" s="477" t="s">
        <v>11</v>
      </c>
      <c r="C107" s="390">
        <v>2344758</v>
      </c>
      <c r="D107" s="107">
        <v>835472.9</v>
      </c>
      <c r="E107" s="107">
        <v>1389642</v>
      </c>
      <c r="F107" s="107">
        <v>0</v>
      </c>
      <c r="G107" s="107">
        <v>148247</v>
      </c>
      <c r="H107" s="107">
        <v>54544</v>
      </c>
      <c r="I107" s="390">
        <v>4772663.9000000004</v>
      </c>
      <c r="J107" s="390">
        <v>0</v>
      </c>
      <c r="K107" s="107">
        <v>2321208</v>
      </c>
      <c r="L107" s="107">
        <v>1182524</v>
      </c>
      <c r="M107" s="107">
        <v>206901</v>
      </c>
      <c r="N107" s="390">
        <v>3710633</v>
      </c>
      <c r="O107" s="390">
        <v>0</v>
      </c>
      <c r="P107" s="107">
        <v>0</v>
      </c>
      <c r="Q107" s="390">
        <v>0</v>
      </c>
      <c r="R107" s="390">
        <v>0</v>
      </c>
      <c r="S107" s="390">
        <v>0</v>
      </c>
      <c r="T107" s="374">
        <v>0</v>
      </c>
      <c r="U107" s="374">
        <v>0</v>
      </c>
      <c r="V107" s="374">
        <v>0</v>
      </c>
      <c r="W107" s="375">
        <v>0</v>
      </c>
      <c r="X107" s="374">
        <v>0</v>
      </c>
      <c r="Y107" s="374">
        <v>0</v>
      </c>
      <c r="Z107" s="374">
        <v>0</v>
      </c>
      <c r="AA107" s="375">
        <v>0</v>
      </c>
    </row>
    <row r="108" spans="1:27">
      <c r="A108" s="182"/>
      <c r="B108" s="477" t="s">
        <v>15</v>
      </c>
      <c r="C108" s="390">
        <v>23411</v>
      </c>
      <c r="D108" s="107">
        <v>8235</v>
      </c>
      <c r="E108" s="107">
        <v>7871</v>
      </c>
      <c r="F108" s="107">
        <v>0</v>
      </c>
      <c r="G108" s="107">
        <v>10</v>
      </c>
      <c r="H108" s="107">
        <v>20</v>
      </c>
      <c r="I108" s="390">
        <v>39547</v>
      </c>
      <c r="J108" s="390">
        <v>0</v>
      </c>
      <c r="K108" s="107">
        <v>130618</v>
      </c>
      <c r="L108" s="107">
        <v>388251</v>
      </c>
      <c r="M108" s="107">
        <v>87930</v>
      </c>
      <c r="N108" s="390">
        <v>606799</v>
      </c>
      <c r="O108" s="390">
        <v>0</v>
      </c>
      <c r="P108" s="107">
        <v>0</v>
      </c>
      <c r="Q108" s="390">
        <v>0</v>
      </c>
      <c r="R108" s="390">
        <v>0</v>
      </c>
      <c r="S108" s="390">
        <v>0</v>
      </c>
      <c r="T108" s="374">
        <v>0</v>
      </c>
      <c r="U108" s="374">
        <v>0</v>
      </c>
      <c r="V108" s="374">
        <v>0</v>
      </c>
      <c r="W108" s="375">
        <v>0</v>
      </c>
      <c r="X108" s="374">
        <v>0</v>
      </c>
      <c r="Y108" s="374">
        <v>0</v>
      </c>
      <c r="Z108" s="374">
        <v>0</v>
      </c>
      <c r="AA108" s="375">
        <v>0</v>
      </c>
    </row>
    <row r="109" spans="1:27">
      <c r="A109" s="182"/>
      <c r="B109" s="475" t="s">
        <v>17</v>
      </c>
      <c r="C109" s="476">
        <v>9.9843992429069443E-3</v>
      </c>
      <c r="D109" s="511">
        <v>9.8566931375033227E-3</v>
      </c>
      <c r="E109" s="511">
        <v>5.6640487262186951E-3</v>
      </c>
      <c r="F109" s="511">
        <v>0</v>
      </c>
      <c r="G109" s="511">
        <v>6.7454990657483789E-5</v>
      </c>
      <c r="H109" s="511">
        <v>3.6667644470519213E-4</v>
      </c>
      <c r="I109" s="476">
        <v>8.2861481195019831E-3</v>
      </c>
      <c r="J109" s="476">
        <v>0</v>
      </c>
      <c r="K109" s="511">
        <v>5.6271562048726353E-2</v>
      </c>
      <c r="L109" s="511">
        <v>0.32832399173293736</v>
      </c>
      <c r="M109" s="511">
        <v>0.42498586280394973</v>
      </c>
      <c r="N109" s="476">
        <v>0.1635297804983678</v>
      </c>
      <c r="O109" s="476">
        <v>0</v>
      </c>
      <c r="P109" s="511">
        <v>0</v>
      </c>
      <c r="Q109" s="476">
        <v>0</v>
      </c>
      <c r="R109" s="475">
        <v>0</v>
      </c>
      <c r="S109" s="475">
        <v>0</v>
      </c>
      <c r="T109" s="378">
        <v>0</v>
      </c>
      <c r="U109" s="378">
        <v>0</v>
      </c>
      <c r="V109" s="378">
        <v>0</v>
      </c>
      <c r="W109" s="379">
        <v>0</v>
      </c>
      <c r="X109" s="378">
        <v>0</v>
      </c>
      <c r="Y109" s="378">
        <v>0</v>
      </c>
      <c r="Z109" s="378">
        <v>0</v>
      </c>
      <c r="AA109" s="379">
        <v>0</v>
      </c>
    </row>
    <row r="110" spans="1:27">
      <c r="A110" s="182"/>
      <c r="B110" s="474" t="s">
        <v>204</v>
      </c>
      <c r="C110" s="512">
        <v>-1.9469846172019724E-3</v>
      </c>
      <c r="D110" s="513">
        <v>5.7295164685580019E-4</v>
      </c>
      <c r="E110" s="513">
        <v>9.9537916282454661E-4</v>
      </c>
      <c r="F110" s="513">
        <v>0</v>
      </c>
      <c r="G110" s="513">
        <v>-4.3408986171945051E-5</v>
      </c>
      <c r="H110" s="513">
        <v>-1.1626279782318057E-4</v>
      </c>
      <c r="I110" s="512">
        <v>-5.6986965760164043E-4</v>
      </c>
      <c r="J110" s="512">
        <v>0</v>
      </c>
      <c r="K110" s="513">
        <v>3.2413629625196935E-3</v>
      </c>
      <c r="L110" s="517">
        <v>3.8953201444764718E-2</v>
      </c>
      <c r="M110" s="517">
        <v>4.2054710064400647E-2</v>
      </c>
      <c r="N110" s="512">
        <v>1.5646870407263008E-2</v>
      </c>
      <c r="O110" s="512">
        <v>0</v>
      </c>
      <c r="P110" s="513">
        <v>0</v>
      </c>
      <c r="Q110" s="512">
        <v>0</v>
      </c>
      <c r="R110" s="512">
        <v>0</v>
      </c>
      <c r="S110" s="512">
        <v>0</v>
      </c>
      <c r="T110" s="380">
        <v>0</v>
      </c>
      <c r="U110" s="380">
        <v>0</v>
      </c>
      <c r="V110" s="380">
        <v>0</v>
      </c>
      <c r="W110" s="381">
        <v>0</v>
      </c>
      <c r="X110" s="380">
        <v>0</v>
      </c>
      <c r="Y110" s="380">
        <v>0</v>
      </c>
      <c r="Z110" s="380">
        <v>0</v>
      </c>
      <c r="AA110" s="381">
        <v>0</v>
      </c>
    </row>
    <row r="111" spans="1:27">
      <c r="A111" s="365" t="s">
        <v>271</v>
      </c>
      <c r="B111" s="384" t="s">
        <v>10</v>
      </c>
      <c r="C111" s="388">
        <v>661417</v>
      </c>
      <c r="D111" s="389">
        <v>0</v>
      </c>
      <c r="E111" s="389">
        <v>264060</v>
      </c>
      <c r="F111" s="389">
        <v>0</v>
      </c>
      <c r="G111" s="389">
        <v>227629</v>
      </c>
      <c r="H111" s="389">
        <v>344267.1</v>
      </c>
      <c r="I111" s="388">
        <v>1497373.1</v>
      </c>
      <c r="J111" s="388">
        <v>134175</v>
      </c>
      <c r="K111" s="389">
        <v>0</v>
      </c>
      <c r="L111" s="389">
        <v>189406.3</v>
      </c>
      <c r="M111" s="389">
        <v>227401.1</v>
      </c>
      <c r="N111" s="388">
        <v>550982.40000000002</v>
      </c>
      <c r="O111" s="388">
        <v>0</v>
      </c>
      <c r="P111" s="389">
        <v>0</v>
      </c>
      <c r="Q111" s="388">
        <v>0</v>
      </c>
      <c r="R111" s="388">
        <v>0</v>
      </c>
      <c r="S111" s="388">
        <v>0</v>
      </c>
      <c r="T111" s="372">
        <v>0</v>
      </c>
      <c r="U111" s="372">
        <v>0</v>
      </c>
      <c r="V111" s="372">
        <v>0</v>
      </c>
      <c r="W111" s="373">
        <v>0</v>
      </c>
      <c r="X111" s="372">
        <v>0</v>
      </c>
      <c r="Y111" s="372">
        <v>0</v>
      </c>
      <c r="Z111" s="372">
        <v>0</v>
      </c>
      <c r="AA111" s="373">
        <v>0</v>
      </c>
    </row>
    <row r="112" spans="1:27">
      <c r="A112" s="182"/>
      <c r="B112" s="477" t="s">
        <v>14</v>
      </c>
      <c r="C112" s="390">
        <v>3343</v>
      </c>
      <c r="D112" s="107">
        <v>0</v>
      </c>
      <c r="E112" s="107">
        <v>4215</v>
      </c>
      <c r="F112" s="107">
        <v>0</v>
      </c>
      <c r="G112" s="107">
        <v>142</v>
      </c>
      <c r="H112" s="107">
        <v>7911</v>
      </c>
      <c r="I112" s="390">
        <v>15611</v>
      </c>
      <c r="J112" s="390">
        <v>5428</v>
      </c>
      <c r="K112" s="107">
        <v>0</v>
      </c>
      <c r="L112" s="107">
        <v>8403</v>
      </c>
      <c r="M112" s="107">
        <v>6890.8</v>
      </c>
      <c r="N112" s="390">
        <v>20721.8</v>
      </c>
      <c r="O112" s="390">
        <v>0</v>
      </c>
      <c r="P112" s="107">
        <v>0</v>
      </c>
      <c r="Q112" s="390">
        <v>0</v>
      </c>
      <c r="R112" s="390">
        <v>0</v>
      </c>
      <c r="S112" s="390">
        <v>0</v>
      </c>
      <c r="T112" s="374">
        <v>0</v>
      </c>
      <c r="U112" s="374">
        <v>0</v>
      </c>
      <c r="V112" s="374">
        <v>0</v>
      </c>
      <c r="W112" s="375">
        <v>0</v>
      </c>
      <c r="X112" s="374">
        <v>0</v>
      </c>
      <c r="Y112" s="374">
        <v>0</v>
      </c>
      <c r="Z112" s="374">
        <v>0</v>
      </c>
      <c r="AA112" s="375">
        <v>0</v>
      </c>
    </row>
    <row r="113" spans="1:27">
      <c r="A113" s="182"/>
      <c r="B113" s="476" t="s">
        <v>16</v>
      </c>
      <c r="C113" s="476">
        <v>5.0543000860274233E-3</v>
      </c>
      <c r="D113" s="511">
        <v>0</v>
      </c>
      <c r="E113" s="511">
        <v>1.5962281299704614E-2</v>
      </c>
      <c r="F113" s="511">
        <v>0</v>
      </c>
      <c r="G113" s="511">
        <v>6.238220964815555E-4</v>
      </c>
      <c r="H113" s="511">
        <v>2.2979250703886605E-2</v>
      </c>
      <c r="I113" s="476">
        <v>1.0425591323899166E-2</v>
      </c>
      <c r="J113" s="476">
        <v>4.0454630147195823E-2</v>
      </c>
      <c r="K113" s="511">
        <v>0</v>
      </c>
      <c r="L113" s="511">
        <v>4.4364944566257829E-2</v>
      </c>
      <c r="M113" s="511">
        <v>3.0302403990130216E-2</v>
      </c>
      <c r="N113" s="476">
        <v>3.7608823802720376E-2</v>
      </c>
      <c r="O113" s="476">
        <v>0</v>
      </c>
      <c r="P113" s="511">
        <v>0</v>
      </c>
      <c r="Q113" s="476">
        <v>0</v>
      </c>
      <c r="R113" s="476">
        <v>0</v>
      </c>
      <c r="S113" s="476">
        <v>0</v>
      </c>
      <c r="T113" s="376">
        <v>0</v>
      </c>
      <c r="U113" s="376">
        <v>0</v>
      </c>
      <c r="V113" s="376">
        <v>0</v>
      </c>
      <c r="W113" s="377">
        <v>0</v>
      </c>
      <c r="X113" s="376">
        <v>0</v>
      </c>
      <c r="Y113" s="376">
        <v>0</v>
      </c>
      <c r="Z113" s="376">
        <v>0</v>
      </c>
      <c r="AA113" s="377">
        <v>0</v>
      </c>
    </row>
    <row r="114" spans="1:27">
      <c r="A114" s="182"/>
      <c r="B114" s="477" t="s">
        <v>11</v>
      </c>
      <c r="C114" s="390">
        <v>662931</v>
      </c>
      <c r="D114" s="107">
        <v>0</v>
      </c>
      <c r="E114" s="107">
        <v>263328</v>
      </c>
      <c r="F114" s="107">
        <v>0</v>
      </c>
      <c r="G114" s="107">
        <v>220134.5</v>
      </c>
      <c r="H114" s="107">
        <v>333086.09999999998</v>
      </c>
      <c r="I114" s="390">
        <v>1479479.6</v>
      </c>
      <c r="J114" s="390">
        <v>125211</v>
      </c>
      <c r="K114" s="107">
        <v>0</v>
      </c>
      <c r="L114" s="107">
        <v>173428.9</v>
      </c>
      <c r="M114" s="107">
        <v>225200.5</v>
      </c>
      <c r="N114" s="390">
        <v>523840.4</v>
      </c>
      <c r="O114" s="390">
        <v>0</v>
      </c>
      <c r="P114" s="107">
        <v>0</v>
      </c>
      <c r="Q114" s="390">
        <v>0</v>
      </c>
      <c r="R114" s="390">
        <v>0</v>
      </c>
      <c r="S114" s="390">
        <v>0</v>
      </c>
      <c r="T114" s="374">
        <v>0</v>
      </c>
      <c r="U114" s="374">
        <v>0</v>
      </c>
      <c r="V114" s="374">
        <v>0</v>
      </c>
      <c r="W114" s="375">
        <v>0</v>
      </c>
      <c r="X114" s="374">
        <v>0</v>
      </c>
      <c r="Y114" s="374">
        <v>0</v>
      </c>
      <c r="Z114" s="374">
        <v>0</v>
      </c>
      <c r="AA114" s="375">
        <v>0</v>
      </c>
    </row>
    <row r="115" spans="1:27">
      <c r="A115" s="182"/>
      <c r="B115" s="477" t="s">
        <v>15</v>
      </c>
      <c r="C115" s="390">
        <v>3603</v>
      </c>
      <c r="D115" s="107">
        <v>0</v>
      </c>
      <c r="E115" s="107">
        <v>4039</v>
      </c>
      <c r="F115" s="107">
        <v>0</v>
      </c>
      <c r="G115" s="107">
        <v>178</v>
      </c>
      <c r="H115" s="107">
        <v>7239</v>
      </c>
      <c r="I115" s="390">
        <v>15059</v>
      </c>
      <c r="J115" s="390">
        <v>4900</v>
      </c>
      <c r="K115" s="107">
        <v>0</v>
      </c>
      <c r="L115" s="107">
        <v>7972</v>
      </c>
      <c r="M115" s="107">
        <v>5751.1</v>
      </c>
      <c r="N115" s="390">
        <v>18623.099999999999</v>
      </c>
      <c r="O115" s="390">
        <v>0</v>
      </c>
      <c r="P115" s="107">
        <v>0</v>
      </c>
      <c r="Q115" s="390">
        <v>0</v>
      </c>
      <c r="R115" s="390">
        <v>0</v>
      </c>
      <c r="S115" s="390">
        <v>0</v>
      </c>
      <c r="T115" s="374">
        <v>0</v>
      </c>
      <c r="U115" s="374">
        <v>0</v>
      </c>
      <c r="V115" s="374">
        <v>0</v>
      </c>
      <c r="W115" s="375">
        <v>0</v>
      </c>
      <c r="X115" s="374">
        <v>0</v>
      </c>
      <c r="Y115" s="374">
        <v>0</v>
      </c>
      <c r="Z115" s="374">
        <v>0</v>
      </c>
      <c r="AA115" s="375">
        <v>0</v>
      </c>
    </row>
    <row r="116" spans="1:27">
      <c r="A116" s="182"/>
      <c r="B116" s="475" t="s">
        <v>17</v>
      </c>
      <c r="C116" s="476">
        <v>5.4349547690483628E-3</v>
      </c>
      <c r="D116" s="511">
        <v>0</v>
      </c>
      <c r="E116" s="511">
        <v>1.5338285332361161E-2</v>
      </c>
      <c r="F116" s="511">
        <v>0</v>
      </c>
      <c r="G116" s="511">
        <v>8.0859656255607363E-4</v>
      </c>
      <c r="H116" s="511">
        <v>2.1733119454699551E-2</v>
      </c>
      <c r="I116" s="476">
        <v>1.0178579008456756E-2</v>
      </c>
      <c r="J116" s="476">
        <v>3.9133941906062564E-2</v>
      </c>
      <c r="K116" s="511">
        <v>0</v>
      </c>
      <c r="L116" s="511">
        <v>4.5966963983511397E-2</v>
      </c>
      <c r="M116" s="511">
        <v>2.5537687527336754E-2</v>
      </c>
      <c r="N116" s="476">
        <v>3.5551095333616875E-2</v>
      </c>
      <c r="O116" s="476">
        <v>0</v>
      </c>
      <c r="P116" s="511">
        <v>0</v>
      </c>
      <c r="Q116" s="476">
        <v>0</v>
      </c>
      <c r="R116" s="475">
        <v>0</v>
      </c>
      <c r="S116" s="475">
        <v>0</v>
      </c>
      <c r="T116" s="378">
        <v>0</v>
      </c>
      <c r="U116" s="378">
        <v>0</v>
      </c>
      <c r="V116" s="378">
        <v>0</v>
      </c>
      <c r="W116" s="379">
        <v>0</v>
      </c>
      <c r="X116" s="378">
        <v>0</v>
      </c>
      <c r="Y116" s="378">
        <v>0</v>
      </c>
      <c r="Z116" s="378">
        <v>0</v>
      </c>
      <c r="AA116" s="379">
        <v>0</v>
      </c>
    </row>
    <row r="117" spans="1:27">
      <c r="A117" s="182"/>
      <c r="B117" s="474" t="s">
        <v>204</v>
      </c>
      <c r="C117" s="512">
        <v>3.8065468302093952E-4</v>
      </c>
      <c r="D117" s="513">
        <v>0</v>
      </c>
      <c r="E117" s="513">
        <v>-6.2399596734345232E-4</v>
      </c>
      <c r="F117" s="513">
        <v>0</v>
      </c>
      <c r="G117" s="513">
        <v>1.8477446607451813E-4</v>
      </c>
      <c r="H117" s="513">
        <v>-1.246131249187054E-3</v>
      </c>
      <c r="I117" s="512">
        <v>-2.4701231544240962E-4</v>
      </c>
      <c r="J117" s="512">
        <v>-1.3206882411332596E-3</v>
      </c>
      <c r="K117" s="513">
        <v>0</v>
      </c>
      <c r="L117" s="513">
        <v>1.6020194172535682E-3</v>
      </c>
      <c r="M117" s="513">
        <v>-4.764716462793462E-3</v>
      </c>
      <c r="N117" s="512">
        <v>-2.0577284691035008E-3</v>
      </c>
      <c r="O117" s="512">
        <v>0</v>
      </c>
      <c r="P117" s="513">
        <v>0</v>
      </c>
      <c r="Q117" s="512">
        <v>0</v>
      </c>
      <c r="R117" s="512">
        <v>0</v>
      </c>
      <c r="S117" s="512">
        <v>0</v>
      </c>
      <c r="T117" s="380">
        <v>0</v>
      </c>
      <c r="U117" s="380">
        <v>0</v>
      </c>
      <c r="V117" s="380">
        <v>0</v>
      </c>
      <c r="W117" s="381">
        <v>0</v>
      </c>
      <c r="X117" s="380">
        <v>0</v>
      </c>
      <c r="Y117" s="380">
        <v>0</v>
      </c>
      <c r="Z117" s="380">
        <v>0</v>
      </c>
      <c r="AA117" s="381">
        <v>0</v>
      </c>
    </row>
    <row r="118" spans="1:27">
      <c r="A118" s="523" t="s">
        <v>12</v>
      </c>
      <c r="B118" s="391"/>
      <c r="C118" s="392">
        <v>22381394.399999999</v>
      </c>
      <c r="D118" s="393">
        <v>5628737.5</v>
      </c>
      <c r="E118" s="393">
        <v>16776837.5</v>
      </c>
      <c r="F118" s="393">
        <v>3693811.5</v>
      </c>
      <c r="G118" s="393">
        <v>2457088</v>
      </c>
      <c r="H118" s="393">
        <v>2160183.1100000003</v>
      </c>
      <c r="I118" s="392">
        <v>53098052.009999998</v>
      </c>
      <c r="J118" s="392">
        <v>19606796</v>
      </c>
      <c r="K118" s="393">
        <v>33026033.68</v>
      </c>
      <c r="L118" s="393">
        <v>12810310.330000002</v>
      </c>
      <c r="M118" s="393">
        <v>3515026.3500000006</v>
      </c>
      <c r="N118" s="392">
        <v>68958166.359999999</v>
      </c>
      <c r="O118" s="392">
        <v>2526810</v>
      </c>
      <c r="P118" s="393">
        <v>2526810</v>
      </c>
      <c r="Q118" s="392">
        <v>2942705.7</v>
      </c>
      <c r="R118" s="392">
        <v>63064</v>
      </c>
      <c r="S118" s="392">
        <v>3005769.7</v>
      </c>
      <c r="T118" s="372">
        <v>33373</v>
      </c>
      <c r="U118" s="372">
        <v>33373</v>
      </c>
      <c r="V118" s="372">
        <v>2190472</v>
      </c>
      <c r="W118" s="373">
        <v>2190472</v>
      </c>
      <c r="X118" s="372">
        <v>323340</v>
      </c>
      <c r="Y118" s="372">
        <v>323340</v>
      </c>
      <c r="Z118" s="372">
        <v>12998</v>
      </c>
      <c r="AA118" s="373">
        <v>12998</v>
      </c>
    </row>
    <row r="119" spans="1:27">
      <c r="A119" s="524" t="s">
        <v>18</v>
      </c>
      <c r="B119" s="394"/>
      <c r="C119" s="395">
        <v>80853</v>
      </c>
      <c r="D119" s="362">
        <v>36107</v>
      </c>
      <c r="E119" s="362">
        <v>159554</v>
      </c>
      <c r="F119" s="362">
        <v>47680</v>
      </c>
      <c r="G119" s="362">
        <v>22354</v>
      </c>
      <c r="H119" s="362">
        <v>30068</v>
      </c>
      <c r="I119" s="395">
        <v>376616</v>
      </c>
      <c r="J119" s="395">
        <v>590342</v>
      </c>
      <c r="K119" s="362">
        <v>1379569</v>
      </c>
      <c r="L119" s="362">
        <v>1075596.5</v>
      </c>
      <c r="M119" s="362">
        <v>325869.8</v>
      </c>
      <c r="N119" s="395">
        <v>3371377.3</v>
      </c>
      <c r="O119" s="395">
        <v>195612</v>
      </c>
      <c r="P119" s="362">
        <v>195612</v>
      </c>
      <c r="Q119" s="395">
        <v>118925.1</v>
      </c>
      <c r="R119" s="395">
        <v>3371</v>
      </c>
      <c r="S119" s="395">
        <v>122296.1</v>
      </c>
      <c r="T119" s="374">
        <v>0</v>
      </c>
      <c r="U119" s="374">
        <v>0</v>
      </c>
      <c r="V119" s="374">
        <v>159691</v>
      </c>
      <c r="W119" s="375">
        <v>159691</v>
      </c>
      <c r="X119" s="374">
        <v>35921</v>
      </c>
      <c r="Y119" s="374">
        <v>35921</v>
      </c>
      <c r="Z119" s="374">
        <v>0</v>
      </c>
      <c r="AA119" s="375">
        <v>0</v>
      </c>
    </row>
    <row r="120" spans="1:27">
      <c r="A120" s="524" t="s">
        <v>20</v>
      </c>
      <c r="B120" s="396"/>
      <c r="C120" s="396">
        <v>3.6125095047697298E-3</v>
      </c>
      <c r="D120" s="525">
        <v>6.4147599705973142E-3</v>
      </c>
      <c r="E120" s="525">
        <v>9.5103740499364077E-3</v>
      </c>
      <c r="F120" s="525">
        <v>1.290807611595773E-2</v>
      </c>
      <c r="G120" s="525">
        <v>9.0977612523442386E-3</v>
      </c>
      <c r="H120" s="525">
        <v>1.3919190396780759E-2</v>
      </c>
      <c r="I120" s="396">
        <v>7.0928402407130038E-3</v>
      </c>
      <c r="J120" s="396">
        <v>3.0109049943703194E-2</v>
      </c>
      <c r="K120" s="525">
        <v>4.1772167174753516E-2</v>
      </c>
      <c r="L120" s="525">
        <v>8.39633445476414E-2</v>
      </c>
      <c r="M120" s="525">
        <v>9.2707640726505489E-2</v>
      </c>
      <c r="N120" s="396">
        <v>4.8890181945957414E-2</v>
      </c>
      <c r="O120" s="396">
        <v>7.7414605767746683E-2</v>
      </c>
      <c r="P120" s="525">
        <v>7.7414605767746683E-2</v>
      </c>
      <c r="Q120" s="396">
        <v>4.0413521474471609E-2</v>
      </c>
      <c r="R120" s="396">
        <v>5.345363440314601E-2</v>
      </c>
      <c r="S120" s="396">
        <v>4.0687115849228232E-2</v>
      </c>
      <c r="T120" s="376">
        <v>0</v>
      </c>
      <c r="U120" s="376">
        <v>0</v>
      </c>
      <c r="V120" s="376">
        <v>7.2902552509230889E-2</v>
      </c>
      <c r="W120" s="377">
        <v>7.2902552509230889E-2</v>
      </c>
      <c r="X120" s="376">
        <v>0.11109358569926393</v>
      </c>
      <c r="Y120" s="376">
        <v>0.11109358569926393</v>
      </c>
      <c r="Z120" s="376">
        <v>0</v>
      </c>
      <c r="AA120" s="377">
        <v>0</v>
      </c>
    </row>
    <row r="121" spans="1:27">
      <c r="A121" s="524" t="s">
        <v>13</v>
      </c>
      <c r="B121" s="394"/>
      <c r="C121" s="395">
        <v>23028711</v>
      </c>
      <c r="D121" s="362">
        <v>5621714.9000000004</v>
      </c>
      <c r="E121" s="362">
        <v>16759855</v>
      </c>
      <c r="F121" s="362">
        <v>3654353</v>
      </c>
      <c r="G121" s="362">
        <v>2412450.5</v>
      </c>
      <c r="H121" s="362">
        <v>2110847.1</v>
      </c>
      <c r="I121" s="395">
        <v>53587931.5</v>
      </c>
      <c r="J121" s="395">
        <v>19312323</v>
      </c>
      <c r="K121" s="362">
        <v>31615333</v>
      </c>
      <c r="L121" s="362">
        <v>12171513.9</v>
      </c>
      <c r="M121" s="362">
        <v>3364143.5</v>
      </c>
      <c r="N121" s="395">
        <v>66463313.399999999</v>
      </c>
      <c r="O121" s="395">
        <v>2483512</v>
      </c>
      <c r="P121" s="362">
        <v>2483512</v>
      </c>
      <c r="Q121" s="395">
        <v>2809586</v>
      </c>
      <c r="R121" s="395">
        <v>59666</v>
      </c>
      <c r="S121" s="395">
        <v>2869252</v>
      </c>
      <c r="T121" s="374">
        <v>0</v>
      </c>
      <c r="U121" s="374">
        <v>0</v>
      </c>
      <c r="V121" s="374">
        <v>2155910</v>
      </c>
      <c r="W121" s="375">
        <v>2155910</v>
      </c>
      <c r="X121" s="374">
        <v>312907</v>
      </c>
      <c r="Y121" s="374">
        <v>312907</v>
      </c>
      <c r="Z121" s="374">
        <v>14695</v>
      </c>
      <c r="AA121" s="375">
        <v>14695</v>
      </c>
    </row>
    <row r="122" spans="1:27">
      <c r="A122" s="524" t="s">
        <v>19</v>
      </c>
      <c r="B122" s="394"/>
      <c r="C122" s="395">
        <v>87163</v>
      </c>
      <c r="D122" s="362">
        <v>43604</v>
      </c>
      <c r="E122" s="362">
        <v>182212</v>
      </c>
      <c r="F122" s="362">
        <v>51989</v>
      </c>
      <c r="G122" s="362">
        <v>24660</v>
      </c>
      <c r="H122" s="362">
        <v>36184</v>
      </c>
      <c r="I122" s="395">
        <v>425812</v>
      </c>
      <c r="J122" s="395">
        <v>610767</v>
      </c>
      <c r="K122" s="362">
        <v>1453092</v>
      </c>
      <c r="L122" s="362">
        <v>1122054</v>
      </c>
      <c r="M122" s="362">
        <v>353025.1</v>
      </c>
      <c r="N122" s="395">
        <v>3538938.1</v>
      </c>
      <c r="O122" s="395">
        <v>210266</v>
      </c>
      <c r="P122" s="362">
        <v>210266</v>
      </c>
      <c r="Q122" s="395">
        <v>127326.39999999999</v>
      </c>
      <c r="R122" s="395">
        <v>3437</v>
      </c>
      <c r="S122" s="395">
        <v>130763.4</v>
      </c>
      <c r="T122" s="374">
        <v>0</v>
      </c>
      <c r="U122" s="374">
        <v>0</v>
      </c>
      <c r="V122" s="374">
        <v>174215</v>
      </c>
      <c r="W122" s="375">
        <v>174215</v>
      </c>
      <c r="X122" s="374">
        <v>36015</v>
      </c>
      <c r="Y122" s="374">
        <v>36015</v>
      </c>
      <c r="Z122" s="374">
        <v>36</v>
      </c>
      <c r="AA122" s="375">
        <v>36</v>
      </c>
    </row>
    <row r="123" spans="1:27">
      <c r="A123" s="524" t="s">
        <v>21</v>
      </c>
      <c r="B123" s="397"/>
      <c r="C123" s="396">
        <v>3.7849708565972275E-3</v>
      </c>
      <c r="D123" s="525">
        <v>7.7563520697216427E-3</v>
      </c>
      <c r="E123" s="525">
        <v>1.0871931767906106E-2</v>
      </c>
      <c r="F123" s="525">
        <v>1.4226594967700165E-2</v>
      </c>
      <c r="G123" s="525">
        <v>1.0221971393817199E-2</v>
      </c>
      <c r="H123" s="525">
        <v>1.7141933207762892E-2</v>
      </c>
      <c r="I123" s="396">
        <v>7.9460428510848575E-3</v>
      </c>
      <c r="J123" s="396">
        <v>3.1625765579832113E-2</v>
      </c>
      <c r="K123" s="525">
        <v>4.5961622482356898E-2</v>
      </c>
      <c r="L123" s="525">
        <v>9.218688892923993E-2</v>
      </c>
      <c r="M123" s="525">
        <v>0.10493758663980891</v>
      </c>
      <c r="N123" s="396">
        <v>5.3246489212799314E-2</v>
      </c>
      <c r="O123" s="396">
        <v>8.4664781164737676E-2</v>
      </c>
      <c r="P123" s="525">
        <v>8.4664781164737676E-2</v>
      </c>
      <c r="Q123" s="396">
        <v>4.5318562948420155E-2</v>
      </c>
      <c r="R123" s="397">
        <v>5.7603995575369556E-2</v>
      </c>
      <c r="S123" s="397">
        <v>4.5574038111675097E-2</v>
      </c>
      <c r="T123" s="378">
        <v>0</v>
      </c>
      <c r="U123" s="378">
        <v>0</v>
      </c>
      <c r="V123" s="378">
        <v>8.0808104234406819E-2</v>
      </c>
      <c r="W123" s="379">
        <v>8.0808104234406819E-2</v>
      </c>
      <c r="X123" s="378">
        <v>0.11509809623945773</v>
      </c>
      <c r="Y123" s="378">
        <v>0.11509809623945773</v>
      </c>
      <c r="Z123" s="378">
        <v>2.4498128615175231E-3</v>
      </c>
      <c r="AA123" s="379">
        <v>2.4498128615175231E-3</v>
      </c>
    </row>
    <row r="124" spans="1:27">
      <c r="A124" s="524" t="s">
        <v>205</v>
      </c>
      <c r="B124" s="526"/>
      <c r="C124" s="516">
        <v>1.7246135182749775E-4</v>
      </c>
      <c r="D124" s="517">
        <v>1.3415920991243285E-3</v>
      </c>
      <c r="E124" s="517">
        <v>1.3615577179696987E-3</v>
      </c>
      <c r="F124" s="517">
        <v>1.3185188517424347E-3</v>
      </c>
      <c r="G124" s="517">
        <v>1.1242101414729606E-3</v>
      </c>
      <c r="H124" s="517">
        <v>3.2227428109821328E-3</v>
      </c>
      <c r="I124" s="516">
        <v>8.5320261037185371E-4</v>
      </c>
      <c r="J124" s="516">
        <v>1.5167156361289187E-3</v>
      </c>
      <c r="K124" s="517">
        <v>4.1894553076033819E-3</v>
      </c>
      <c r="L124" s="517">
        <v>8.2235443815985299E-3</v>
      </c>
      <c r="M124" s="517">
        <v>1.2229945913303425E-2</v>
      </c>
      <c r="N124" s="516">
        <v>4.3563072668418995E-3</v>
      </c>
      <c r="O124" s="516">
        <v>7.2501753969909932E-3</v>
      </c>
      <c r="P124" s="517">
        <v>7.2501753969909932E-3</v>
      </c>
      <c r="Q124" s="516">
        <v>4.9050414739485459E-3</v>
      </c>
      <c r="R124" s="516">
        <v>4.1503611722235462E-3</v>
      </c>
      <c r="S124" s="516">
        <v>4.8869222624468647E-3</v>
      </c>
      <c r="T124" s="380">
        <v>0</v>
      </c>
      <c r="U124" s="380">
        <v>0</v>
      </c>
      <c r="V124" s="380">
        <v>7.90555172517593E-3</v>
      </c>
      <c r="W124" s="381">
        <v>7.90555172517593E-3</v>
      </c>
      <c r="X124" s="380">
        <v>4.0045105401937953E-3</v>
      </c>
      <c r="Y124" s="380">
        <v>4.0045105401937953E-3</v>
      </c>
      <c r="Z124" s="380">
        <v>2.4498128615175231E-3</v>
      </c>
      <c r="AA124" s="381">
        <v>2.4498128615175231E-3</v>
      </c>
    </row>
    <row r="125" spans="1:27">
      <c r="A125" s="398" t="s">
        <v>206</v>
      </c>
      <c r="B125"/>
      <c r="C125" s="334"/>
      <c r="D125" s="334"/>
      <c r="E125" s="334"/>
      <c r="F125" s="334"/>
      <c r="G125" s="334"/>
      <c r="H125" s="334"/>
      <c r="I125" s="334"/>
      <c r="J125" s="334"/>
      <c r="K125" s="334"/>
      <c r="L125" s="334"/>
      <c r="M125" s="334"/>
      <c r="N125" s="334"/>
      <c r="O125" s="334"/>
      <c r="P125" s="334"/>
      <c r="Q125" s="334"/>
      <c r="R125" s="334"/>
      <c r="S125" s="334"/>
      <c r="T125"/>
      <c r="U125"/>
      <c r="V125"/>
      <c r="W125"/>
      <c r="X125"/>
      <c r="Y125"/>
      <c r="Z125"/>
      <c r="AA125"/>
    </row>
    <row r="126" spans="1:27">
      <c r="A126"/>
      <c r="B126"/>
      <c r="C126" s="334"/>
      <c r="D126" s="334"/>
      <c r="E126" s="334"/>
      <c r="F126" s="334"/>
      <c r="G126" s="334"/>
      <c r="H126" s="334"/>
      <c r="I126" s="334"/>
      <c r="J126" s="334"/>
      <c r="K126" s="334"/>
      <c r="L126" s="334"/>
      <c r="M126" s="334"/>
      <c r="N126" s="334"/>
      <c r="O126" s="334"/>
      <c r="P126" s="334"/>
      <c r="Q126" s="334"/>
      <c r="R126" s="334"/>
      <c r="S126" s="334"/>
      <c r="T126"/>
      <c r="U126"/>
      <c r="V126"/>
      <c r="W126"/>
      <c r="X126"/>
      <c r="Y126"/>
      <c r="Z126"/>
      <c r="AA126"/>
    </row>
    <row r="127" spans="1:27">
      <c r="A127"/>
      <c r="B127"/>
      <c r="C127" s="334"/>
      <c r="D127" s="334"/>
      <c r="E127" s="334"/>
      <c r="F127" s="334"/>
      <c r="G127" s="334"/>
      <c r="H127" s="334"/>
      <c r="I127" s="334"/>
      <c r="J127" s="334"/>
      <c r="K127" s="334"/>
      <c r="L127" s="334"/>
      <c r="M127" s="334"/>
      <c r="N127" s="334"/>
      <c r="O127" s="334"/>
      <c r="P127" s="334"/>
      <c r="Q127" s="334"/>
      <c r="R127" s="334"/>
      <c r="S127" s="334"/>
      <c r="T127"/>
      <c r="U127"/>
      <c r="V127"/>
      <c r="W127"/>
      <c r="X127"/>
      <c r="Y127"/>
      <c r="Z127"/>
      <c r="AA127"/>
    </row>
    <row r="128" spans="1:27">
      <c r="A128"/>
      <c r="B128"/>
      <c r="C128" s="334"/>
      <c r="D128" s="334"/>
      <c r="E128" s="334"/>
      <c r="F128" s="334"/>
      <c r="G128" s="334"/>
      <c r="H128" s="334"/>
      <c r="I128" s="334"/>
      <c r="J128" s="334"/>
      <c r="K128" s="334"/>
      <c r="L128" s="334"/>
      <c r="M128" s="334"/>
      <c r="N128" s="334"/>
      <c r="O128" s="334"/>
      <c r="P128" s="334"/>
      <c r="Q128" s="334"/>
      <c r="R128" s="334"/>
      <c r="S128" s="334"/>
      <c r="T128"/>
      <c r="U128"/>
      <c r="V128"/>
      <c r="W128"/>
      <c r="X128"/>
      <c r="Y128"/>
      <c r="Z128"/>
      <c r="AA128"/>
    </row>
    <row r="129" spans="1:27">
      <c r="A129"/>
      <c r="B129"/>
      <c r="C129" s="334"/>
      <c r="D129" s="334"/>
      <c r="E129" s="334"/>
      <c r="F129" s="334"/>
      <c r="G129" s="334"/>
      <c r="H129" s="334"/>
      <c r="I129" s="334"/>
      <c r="J129" s="334"/>
      <c r="K129" s="334"/>
      <c r="L129" s="334"/>
      <c r="M129" s="334"/>
      <c r="N129" s="334"/>
      <c r="O129" s="334"/>
      <c r="P129" s="334"/>
      <c r="Q129" s="334"/>
      <c r="R129" s="334"/>
      <c r="S129" s="334"/>
      <c r="T129"/>
      <c r="U129"/>
      <c r="V129"/>
      <c r="W129"/>
      <c r="X129"/>
      <c r="Y129"/>
      <c r="Z129"/>
      <c r="AA129"/>
    </row>
    <row r="130" spans="1:27">
      <c r="A130"/>
      <c r="B130"/>
      <c r="C130" s="334"/>
      <c r="D130" s="334"/>
      <c r="E130" s="334"/>
      <c r="F130" s="334"/>
      <c r="G130" s="334"/>
      <c r="H130" s="334"/>
      <c r="I130" s="334"/>
      <c r="J130" s="334"/>
      <c r="K130" s="334"/>
      <c r="L130" s="334"/>
      <c r="M130" s="334"/>
      <c r="N130" s="334"/>
      <c r="O130" s="334"/>
      <c r="P130" s="334"/>
      <c r="Q130" s="334"/>
      <c r="R130" s="334"/>
      <c r="S130" s="334"/>
      <c r="T130"/>
      <c r="U130"/>
      <c r="V130"/>
      <c r="W130"/>
      <c r="X130"/>
      <c r="Y130"/>
      <c r="Z130"/>
      <c r="AA130"/>
    </row>
    <row r="131" spans="1:27">
      <c r="A131"/>
      <c r="B131"/>
      <c r="C131" s="334"/>
      <c r="D131" s="334"/>
      <c r="E131" s="334"/>
      <c r="F131" s="334"/>
      <c r="G131" s="334"/>
      <c r="H131" s="334"/>
      <c r="I131" s="334"/>
      <c r="J131" s="334"/>
      <c r="K131" s="334"/>
      <c r="L131" s="334"/>
      <c r="M131" s="334"/>
      <c r="N131" s="334"/>
      <c r="O131" s="334"/>
      <c r="P131" s="334"/>
      <c r="Q131" s="334"/>
      <c r="R131" s="334"/>
      <c r="S131" s="334"/>
      <c r="T131"/>
      <c r="U131"/>
      <c r="V131"/>
      <c r="W131"/>
      <c r="X131"/>
      <c r="Y131"/>
      <c r="Z131"/>
      <c r="AA131"/>
    </row>
    <row r="132" spans="1:27">
      <c r="A132"/>
      <c r="B132"/>
      <c r="C132" s="334"/>
      <c r="D132" s="334"/>
      <c r="E132" s="334"/>
      <c r="F132" s="334"/>
      <c r="G132" s="334"/>
      <c r="H132" s="334"/>
      <c r="I132" s="334"/>
      <c r="J132" s="334"/>
      <c r="K132" s="334"/>
      <c r="L132" s="334"/>
      <c r="M132" s="334"/>
      <c r="N132" s="334"/>
      <c r="O132" s="334"/>
      <c r="P132" s="334"/>
      <c r="Q132" s="334"/>
      <c r="R132" s="334"/>
      <c r="S132" s="334"/>
      <c r="T132"/>
      <c r="X132"/>
    </row>
    <row r="133" spans="1:27">
      <c r="A133"/>
      <c r="B133"/>
      <c r="C133" s="334"/>
      <c r="D133" s="334"/>
      <c r="E133" s="334"/>
      <c r="F133" s="334"/>
      <c r="G133" s="334"/>
      <c r="H133" s="334"/>
      <c r="I133" s="334"/>
      <c r="J133" s="334"/>
      <c r="K133" s="334"/>
      <c r="L133" s="334"/>
      <c r="M133" s="334"/>
      <c r="N133" s="334"/>
      <c r="O133" s="334"/>
      <c r="P133" s="334"/>
      <c r="Q133" s="334"/>
      <c r="R133" s="334"/>
      <c r="S133" s="334"/>
      <c r="T133"/>
      <c r="X133"/>
    </row>
    <row r="134" spans="1:27">
      <c r="A134"/>
      <c r="B134"/>
      <c r="C134" s="334"/>
      <c r="D134" s="334"/>
      <c r="E134" s="334"/>
      <c r="F134" s="334"/>
      <c r="G134" s="334"/>
      <c r="H134" s="334"/>
      <c r="I134" s="334"/>
      <c r="J134" s="334"/>
      <c r="K134" s="334"/>
      <c r="L134" s="334"/>
      <c r="M134" s="334"/>
      <c r="N134" s="334"/>
      <c r="O134" s="334"/>
      <c r="P134" s="334"/>
      <c r="Q134" s="334"/>
      <c r="R134" s="334"/>
      <c r="S134" s="334"/>
      <c r="T134"/>
      <c r="X134"/>
    </row>
    <row r="135" spans="1:27">
      <c r="A135"/>
      <c r="B135"/>
      <c r="C135" s="334"/>
      <c r="D135" s="334"/>
      <c r="E135" s="334"/>
      <c r="F135" s="334"/>
      <c r="G135" s="334"/>
      <c r="H135" s="334"/>
      <c r="I135" s="334"/>
      <c r="J135" s="334"/>
      <c r="K135" s="334"/>
      <c r="L135" s="334"/>
      <c r="M135" s="334"/>
      <c r="N135" s="334"/>
      <c r="O135" s="334"/>
      <c r="P135" s="334"/>
      <c r="Q135" s="334"/>
      <c r="R135" s="334"/>
      <c r="S135" s="334"/>
      <c r="T135"/>
      <c r="X135"/>
    </row>
    <row r="136" spans="1:27">
      <c r="A136"/>
      <c r="B136"/>
      <c r="C136" s="334"/>
      <c r="D136" s="334"/>
      <c r="E136" s="334"/>
      <c r="F136" s="334"/>
      <c r="G136" s="334"/>
      <c r="H136" s="334"/>
      <c r="I136" s="334"/>
      <c r="J136" s="334"/>
      <c r="K136" s="334"/>
      <c r="L136" s="334"/>
      <c r="M136" s="334"/>
      <c r="N136" s="334"/>
      <c r="O136" s="334"/>
      <c r="P136" s="334"/>
      <c r="Q136" s="334"/>
      <c r="R136" s="334"/>
      <c r="S136" s="334"/>
      <c r="T136"/>
      <c r="X136"/>
    </row>
    <row r="137" spans="1:27">
      <c r="A137"/>
      <c r="B137"/>
      <c r="C137" s="334"/>
      <c r="D137" s="334"/>
      <c r="E137" s="334"/>
      <c r="F137" s="334"/>
      <c r="G137" s="334"/>
      <c r="H137" s="334"/>
      <c r="I137" s="334"/>
      <c r="J137" s="334"/>
      <c r="K137" s="334"/>
      <c r="L137" s="334"/>
      <c r="M137" s="334"/>
      <c r="N137" s="334"/>
      <c r="O137" s="334"/>
      <c r="P137" s="334"/>
      <c r="Q137" s="334"/>
      <c r="R137" s="334"/>
      <c r="S137" s="334"/>
      <c r="T137"/>
      <c r="X137"/>
    </row>
    <row r="138" spans="1:27">
      <c r="A138"/>
      <c r="B138"/>
      <c r="C138" s="334"/>
      <c r="D138" s="334"/>
      <c r="E138" s="334"/>
      <c r="F138" s="334"/>
      <c r="G138" s="334"/>
      <c r="H138" s="334"/>
      <c r="I138" s="334"/>
      <c r="J138" s="334"/>
      <c r="K138" s="334"/>
      <c r="L138" s="334"/>
      <c r="M138" s="334"/>
      <c r="N138" s="334"/>
      <c r="O138" s="334"/>
      <c r="P138" s="334"/>
      <c r="Q138" s="334"/>
      <c r="R138" s="334"/>
      <c r="S138" s="334"/>
      <c r="T138"/>
      <c r="X138"/>
    </row>
    <row r="139" spans="1:27">
      <c r="A139"/>
      <c r="B139"/>
      <c r="C139" s="334"/>
      <c r="D139" s="334"/>
      <c r="E139" s="334"/>
      <c r="F139" s="334"/>
      <c r="G139" s="334"/>
      <c r="H139" s="334"/>
      <c r="I139" s="334"/>
      <c r="J139" s="334"/>
      <c r="K139" s="334"/>
      <c r="L139" s="334"/>
      <c r="M139" s="334"/>
      <c r="N139" s="334"/>
      <c r="O139" s="334"/>
      <c r="P139" s="334"/>
      <c r="Q139" s="334"/>
      <c r="R139" s="334"/>
      <c r="S139" s="334"/>
      <c r="T139"/>
      <c r="X139"/>
    </row>
    <row r="140" spans="1:27">
      <c r="A140"/>
      <c r="B140"/>
      <c r="C140" s="334"/>
      <c r="D140" s="334"/>
      <c r="E140" s="334"/>
      <c r="F140" s="334"/>
      <c r="G140" s="334"/>
      <c r="H140" s="334"/>
      <c r="I140" s="334"/>
      <c r="J140" s="334"/>
      <c r="K140" s="334"/>
      <c r="L140" s="334"/>
      <c r="M140" s="334"/>
      <c r="N140" s="334"/>
      <c r="O140" s="334"/>
      <c r="P140" s="334"/>
      <c r="Q140" s="334"/>
      <c r="R140" s="334"/>
      <c r="S140" s="334"/>
      <c r="T140"/>
      <c r="X140"/>
    </row>
    <row r="141" spans="1:27">
      <c r="A141"/>
      <c r="B141"/>
      <c r="C141" s="334"/>
      <c r="D141" s="334"/>
      <c r="E141" s="334"/>
      <c r="F141" s="334"/>
      <c r="G141" s="334"/>
      <c r="H141" s="334"/>
      <c r="I141" s="334"/>
      <c r="J141" s="334"/>
      <c r="K141" s="334"/>
      <c r="L141" s="334"/>
      <c r="M141" s="334"/>
      <c r="N141" s="334"/>
      <c r="O141" s="334"/>
      <c r="P141" s="334"/>
      <c r="Q141" s="334"/>
      <c r="R141" s="334"/>
      <c r="S141" s="334"/>
      <c r="T141"/>
      <c r="X141"/>
    </row>
    <row r="145" spans="3:19">
      <c r="C145" s="181"/>
      <c r="D145" s="181"/>
      <c r="E145" s="181"/>
      <c r="F145" s="181"/>
      <c r="G145" s="181"/>
      <c r="H145" s="181"/>
      <c r="I145" s="181"/>
      <c r="J145" s="181"/>
      <c r="K145" s="181"/>
      <c r="L145" s="181"/>
      <c r="M145" s="181"/>
      <c r="N145" s="181"/>
      <c r="O145" s="181"/>
      <c r="P145" s="181"/>
      <c r="Q145" s="181"/>
      <c r="R145" s="181"/>
      <c r="S145" s="181"/>
    </row>
    <row r="146" spans="3:19">
      <c r="C146" s="181"/>
      <c r="D146" s="181"/>
      <c r="E146" s="181"/>
      <c r="F146" s="181"/>
      <c r="G146" s="181"/>
      <c r="H146" s="181"/>
      <c r="I146" s="181"/>
      <c r="J146" s="181"/>
      <c r="K146" s="181"/>
      <c r="L146" s="181"/>
      <c r="M146" s="181"/>
      <c r="N146" s="181"/>
      <c r="O146" s="181"/>
      <c r="P146" s="181"/>
      <c r="Q146" s="181"/>
      <c r="R146" s="181"/>
      <c r="S146" s="181"/>
    </row>
    <row r="147" spans="3:19">
      <c r="C147" s="181"/>
      <c r="D147" s="181"/>
      <c r="E147" s="181"/>
      <c r="F147" s="181"/>
      <c r="G147" s="181"/>
      <c r="H147" s="181"/>
      <c r="I147" s="181"/>
      <c r="J147" s="181"/>
      <c r="K147" s="181"/>
      <c r="L147" s="181"/>
      <c r="M147" s="181"/>
      <c r="N147" s="181"/>
      <c r="O147" s="181"/>
      <c r="P147" s="181"/>
      <c r="Q147" s="181"/>
      <c r="R147" s="181"/>
      <c r="S147" s="181"/>
    </row>
    <row r="148" spans="3:19">
      <c r="C148" s="181"/>
      <c r="D148" s="181"/>
      <c r="E148" s="181"/>
      <c r="F148" s="181"/>
      <c r="G148" s="181"/>
      <c r="H148" s="181"/>
      <c r="I148" s="181"/>
      <c r="J148" s="181"/>
      <c r="K148" s="181"/>
      <c r="L148" s="181"/>
      <c r="M148" s="181"/>
      <c r="N148" s="181"/>
      <c r="O148" s="181"/>
      <c r="P148" s="181"/>
      <c r="Q148" s="181"/>
      <c r="R148" s="181"/>
      <c r="S148" s="181"/>
    </row>
  </sheetData>
  <phoneticPr fontId="0" type="noConversion"/>
  <pageMargins left="0.7" right="0.7" top="0.75" bottom="0.75" header="0.3" footer="0.3"/>
  <pageSetup scale="77" pageOrder="overThenDown" orientation="landscape" r:id="rId2"/>
  <headerFooter>
    <oddHeader>&amp;L&amp;"Arial,Bold"SREB-State Data Exchange&amp;C&amp;"Arial,Bold"Preliminary Tables&amp;R&amp;"Arial,Bold"Part 4  -- High School Student Portion of FTE Enrollment</oddHeader>
    <oddFooter>&amp;L&amp;"Arial,Bold"For Agency Review Only&amp;R&amp;"Arial,Bold"October 2009</oddFooter>
  </headerFooter>
  <rowBreaks count="15" manualBreakCount="15">
    <brk id="11" min="2" max="23" man="1"/>
    <brk id="17" min="2" max="23" man="1"/>
    <brk id="23" min="2" max="23" man="1"/>
    <brk id="29" min="2" max="23" man="1"/>
    <brk id="35" min="2" max="23" man="1"/>
    <brk id="41" min="2" max="23" man="1"/>
    <brk id="47" min="2" max="23" man="1"/>
    <brk id="53" min="2" max="23" man="1"/>
    <brk id="59" min="2" max="23" man="1"/>
    <brk id="65" min="2" max="23" man="1"/>
    <brk id="71" min="2" max="23" man="1"/>
    <brk id="77" min="2" max="23" man="1"/>
    <brk id="83" min="2" max="23" man="1"/>
    <brk id="89" min="2" max="23" man="1"/>
    <brk id="95" min="2" max="23" man="1"/>
  </rowBreaks>
  <colBreaks count="1" manualBreakCount="1">
    <brk id="9" min="5" max="100"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12"/>
  </sheetPr>
  <dimension ref="A1:BA947"/>
  <sheetViews>
    <sheetView topLeftCell="A2" zoomScale="90" zoomScaleNormal="90" workbookViewId="0">
      <pane xSplit="5" ySplit="5" topLeftCell="F7" activePane="bottomRight" state="frozen"/>
      <selection activeCell="A2" sqref="A2"/>
      <selection pane="topRight" activeCell="F2" sqref="F2"/>
      <selection pane="bottomLeft" activeCell="A7" sqref="A7"/>
      <selection pane="bottomRight" activeCell="F7" sqref="F7"/>
    </sheetView>
  </sheetViews>
  <sheetFormatPr defaultRowHeight="12.75"/>
  <cols>
    <col min="1" max="1" width="6.5" style="156" customWidth="1"/>
    <col min="2" max="2" width="48.1640625" style="156" customWidth="1"/>
    <col min="3" max="3" width="22.83203125" style="156" customWidth="1"/>
    <col min="4" max="4" width="11.1640625" style="158" customWidth="1"/>
    <col min="5" max="5" width="11.1640625" style="159" customWidth="1"/>
    <col min="6" max="6" width="10.6640625" style="160" customWidth="1"/>
    <col min="7" max="7" width="8.83203125" style="161" customWidth="1"/>
    <col min="8" max="8" width="10.83203125" style="162" customWidth="1"/>
    <col min="9" max="9" width="12.5" style="157" customWidth="1"/>
    <col min="10" max="10" width="12.6640625" style="162" customWidth="1"/>
    <col min="11" max="11" width="12.5" style="157" customWidth="1"/>
    <col min="12" max="12" width="12.33203125" style="162" customWidth="1"/>
    <col min="13" max="13" width="12.1640625" style="157" customWidth="1"/>
    <col min="14" max="14" width="12.6640625" style="162" customWidth="1"/>
    <col min="15" max="15" width="12.6640625" style="157" customWidth="1"/>
    <col min="16" max="16" width="11.6640625" style="162" customWidth="1"/>
    <col min="17" max="17" width="10.83203125" style="162" customWidth="1"/>
    <col min="18" max="18" width="13.1640625" style="157" customWidth="1"/>
    <col min="19" max="19" width="9.5" style="157" customWidth="1"/>
    <col min="20" max="20" width="11.5" style="157" customWidth="1"/>
    <col min="21" max="21" width="11.1640625" style="157" bestFit="1" customWidth="1"/>
    <col min="22" max="22" width="13.33203125" style="162" customWidth="1"/>
    <col min="23" max="23" width="12.1640625" style="162" customWidth="1"/>
    <col min="24" max="24" width="12.83203125" style="162" customWidth="1"/>
    <col min="25" max="25" width="12.1640625" style="157" customWidth="1"/>
    <col min="26" max="26" width="11.5" style="162" customWidth="1"/>
    <col min="27" max="27" width="11.83203125" style="157" customWidth="1"/>
    <col min="28" max="28" width="13.33203125" style="162" customWidth="1"/>
    <col min="29" max="29" width="12.33203125" style="157" customWidth="1"/>
    <col min="30" max="30" width="15.1640625" style="162" customWidth="1"/>
    <col min="31" max="31" width="18.1640625" style="157" customWidth="1"/>
    <col min="32" max="32" width="12.6640625" style="162" customWidth="1"/>
    <col min="33" max="33" width="12" style="162" customWidth="1"/>
    <col min="34" max="34" width="13" style="157" customWidth="1"/>
    <col min="35" max="35" width="10.83203125" style="157" customWidth="1"/>
    <col min="36" max="36" width="12.33203125" style="157" customWidth="1"/>
    <col min="37" max="37" width="12" style="157" customWidth="1"/>
    <col min="38" max="39" width="12.6640625" style="162" customWidth="1"/>
    <col min="40" max="40" width="10.83203125" style="162" customWidth="1"/>
    <col min="41" max="41" width="10.83203125" style="157" customWidth="1"/>
    <col min="42" max="42" width="10.83203125" style="162" customWidth="1"/>
    <col min="43" max="43" width="10.83203125" style="157" customWidth="1"/>
    <col min="44" max="44" width="10.83203125" style="162" customWidth="1"/>
    <col min="45" max="45" width="10.83203125" style="157" customWidth="1"/>
    <col min="46" max="46" width="10.83203125" style="162" customWidth="1"/>
    <col min="47" max="47" width="10.83203125" style="157" customWidth="1"/>
    <col min="48" max="48" width="12.5" style="162" customWidth="1"/>
    <col min="49" max="49" width="10.83203125" style="162" customWidth="1"/>
    <col min="50" max="50" width="12.5" style="157" customWidth="1"/>
    <col min="51" max="53" width="10.83203125" style="156" customWidth="1"/>
    <col min="54" max="16384" width="9.33203125" style="156"/>
  </cols>
  <sheetData>
    <row r="1" spans="1:53" s="85" customFormat="1" hidden="1">
      <c r="A1" s="325"/>
      <c r="B1" s="325"/>
      <c r="C1" s="325"/>
      <c r="D1" s="326"/>
      <c r="E1" s="327"/>
      <c r="F1" s="328"/>
      <c r="G1" s="329"/>
      <c r="H1" s="330"/>
      <c r="I1" s="331"/>
      <c r="J1" s="330"/>
      <c r="K1" s="331"/>
      <c r="L1" s="330"/>
      <c r="M1" s="331"/>
      <c r="N1" s="330"/>
      <c r="O1" s="331"/>
      <c r="P1" s="293">
        <f t="shared" ref="P1" si="0">SUM(H1,J1,L1,N1)</f>
        <v>0</v>
      </c>
      <c r="Q1" s="294">
        <f t="shared" ref="Q1" si="1">+P1/30</f>
        <v>0</v>
      </c>
      <c r="R1" s="295">
        <f t="shared" ref="R1" si="2">SUM(I1,K1,M1,O1)</f>
        <v>0</v>
      </c>
      <c r="S1" s="296">
        <f t="shared" ref="S1" si="3">+R1/30</f>
        <v>0</v>
      </c>
      <c r="T1" s="330"/>
      <c r="U1" s="331"/>
      <c r="V1" s="293">
        <f t="shared" ref="V1" si="4">IF(ISBLANK(T1),0,P1)</f>
        <v>0</v>
      </c>
      <c r="W1" s="297">
        <f>IF(ISBLANK(U1),0,R1)</f>
        <v>0</v>
      </c>
      <c r="X1" s="332"/>
      <c r="Y1" s="331"/>
      <c r="Z1" s="330"/>
      <c r="AA1" s="331"/>
      <c r="AB1" s="330"/>
      <c r="AC1" s="331"/>
      <c r="AD1" s="330"/>
      <c r="AE1" s="331"/>
      <c r="AF1" s="293">
        <f t="shared" ref="AF1" si="5">SUM(X1,Z1,AB1,AD1)</f>
        <v>0</v>
      </c>
      <c r="AG1" s="294">
        <f t="shared" ref="AG1" si="6">+AF1/900</f>
        <v>0</v>
      </c>
      <c r="AH1" s="295">
        <f t="shared" ref="AH1" si="7">SUM(Y1,AA1,AC1,AE1)</f>
        <v>0</v>
      </c>
      <c r="AI1" s="295">
        <f t="shared" ref="AI1" si="8">+AH1/900</f>
        <v>0</v>
      </c>
      <c r="AJ1" s="330"/>
      <c r="AK1" s="331"/>
      <c r="AL1" s="293">
        <f t="shared" ref="AL1" si="9">IF(ISBLANK(AJ1),0,AF1)</f>
        <v>0</v>
      </c>
      <c r="AM1" s="296">
        <f t="shared" ref="AM1" si="10">IF(ISBLANK(AK1),0,AH1)</f>
        <v>0</v>
      </c>
      <c r="AN1" s="330"/>
      <c r="AO1" s="330"/>
      <c r="AP1" s="330"/>
      <c r="AQ1" s="330"/>
      <c r="AR1" s="330"/>
      <c r="AS1" s="330"/>
      <c r="AT1" s="330"/>
      <c r="AU1" s="330"/>
      <c r="AV1" s="293">
        <f t="shared" ref="AV1" si="11">SUM(AN1,AP1,AR1,AT1)</f>
        <v>0</v>
      </c>
      <c r="AW1" s="298">
        <f t="shared" ref="AW1" si="12">+AV1/24</f>
        <v>0</v>
      </c>
      <c r="AX1" s="295">
        <f t="shared" ref="AX1" si="13">SUM(AO1,AQ1,AS1,AU1)</f>
        <v>0</v>
      </c>
      <c r="AY1" s="299">
        <f t="shared" ref="AY1" si="14">+AX1/24</f>
        <v>0</v>
      </c>
      <c r="AZ1" s="300">
        <f>SUM(Q1,AG1,AW1)</f>
        <v>0</v>
      </c>
      <c r="BA1" s="295">
        <f>SUM(S1,AI1,AY1)</f>
        <v>0</v>
      </c>
    </row>
    <row r="2" spans="1:53" ht="18.75" thickBot="1">
      <c r="A2" s="315" t="s">
        <v>200</v>
      </c>
      <c r="B2" s="315"/>
      <c r="C2" s="315"/>
      <c r="D2" s="315"/>
      <c r="E2" s="315"/>
    </row>
    <row r="3" spans="1:53" s="72" customFormat="1" ht="23.25" customHeight="1" thickTop="1">
      <c r="A3" s="316" t="s">
        <v>201</v>
      </c>
      <c r="B3" s="317"/>
      <c r="C3" s="317"/>
      <c r="D3" s="317"/>
      <c r="E3" s="317"/>
      <c r="F3" s="318"/>
      <c r="G3" s="319"/>
      <c r="H3" s="320" t="s">
        <v>107</v>
      </c>
      <c r="I3" s="303"/>
      <c r="J3" s="308"/>
      <c r="K3" s="321"/>
      <c r="L3" s="308"/>
      <c r="M3" s="321"/>
      <c r="N3" s="308"/>
      <c r="O3" s="321"/>
      <c r="P3" s="303" t="s">
        <v>110</v>
      </c>
      <c r="Q3" s="303"/>
      <c r="R3" s="303"/>
      <c r="S3" s="303"/>
      <c r="T3" s="213"/>
      <c r="U3" s="147"/>
      <c r="V3" s="303" t="s">
        <v>110</v>
      </c>
      <c r="W3" s="305"/>
      <c r="X3" s="307" t="s">
        <v>108</v>
      </c>
      <c r="Y3" s="303"/>
      <c r="Z3" s="308"/>
      <c r="AA3" s="321"/>
      <c r="AB3" s="308"/>
      <c r="AC3" s="321"/>
      <c r="AD3" s="308"/>
      <c r="AE3" s="321"/>
      <c r="AF3" s="303" t="s">
        <v>110</v>
      </c>
      <c r="AG3" s="303"/>
      <c r="AH3" s="303"/>
      <c r="AI3" s="303"/>
      <c r="AJ3" s="213"/>
      <c r="AK3" s="147"/>
      <c r="AL3" s="303" t="s">
        <v>110</v>
      </c>
      <c r="AM3" s="305"/>
      <c r="AN3" s="307" t="s">
        <v>109</v>
      </c>
      <c r="AO3" s="303"/>
      <c r="AP3" s="308"/>
      <c r="AQ3" s="321"/>
      <c r="AR3" s="308"/>
      <c r="AS3" s="321"/>
      <c r="AT3" s="308"/>
      <c r="AU3" s="321"/>
      <c r="AV3" s="304" t="s">
        <v>110</v>
      </c>
      <c r="AW3" s="303"/>
      <c r="AX3" s="322"/>
      <c r="AY3" s="303"/>
      <c r="AZ3" s="848" t="s">
        <v>59</v>
      </c>
      <c r="BA3" s="849"/>
    </row>
    <row r="4" spans="1:53" s="72" customFormat="1" ht="82.5" customHeight="1" thickBot="1">
      <c r="A4" s="323" t="s">
        <v>202</v>
      </c>
      <c r="B4" s="324"/>
      <c r="C4" s="324"/>
      <c r="D4" s="324"/>
      <c r="E4" s="324"/>
      <c r="F4" s="289" t="s">
        <v>190</v>
      </c>
      <c r="G4" s="290"/>
      <c r="H4" s="289" t="s">
        <v>111</v>
      </c>
      <c r="I4" s="290"/>
      <c r="J4" s="289" t="s">
        <v>112</v>
      </c>
      <c r="K4" s="290"/>
      <c r="L4" s="289" t="s">
        <v>113</v>
      </c>
      <c r="M4" s="290"/>
      <c r="N4" s="289" t="s">
        <v>114</v>
      </c>
      <c r="O4" s="290"/>
      <c r="P4" s="301" t="s">
        <v>191</v>
      </c>
      <c r="Q4" s="301" t="s">
        <v>139</v>
      </c>
      <c r="R4" s="302" t="s">
        <v>191</v>
      </c>
      <c r="S4" s="306" t="s">
        <v>139</v>
      </c>
      <c r="T4" s="291" t="s">
        <v>152</v>
      </c>
      <c r="U4" s="292"/>
      <c r="V4" s="291" t="s">
        <v>192</v>
      </c>
      <c r="W4" s="292"/>
      <c r="X4" s="289" t="s">
        <v>111</v>
      </c>
      <c r="Y4" s="290"/>
      <c r="Z4" s="289" t="s">
        <v>112</v>
      </c>
      <c r="AA4" s="290"/>
      <c r="AB4" s="289" t="s">
        <v>113</v>
      </c>
      <c r="AC4" s="290"/>
      <c r="AD4" s="289" t="s">
        <v>114</v>
      </c>
      <c r="AE4" s="290"/>
      <c r="AF4" s="301" t="s">
        <v>191</v>
      </c>
      <c r="AG4" s="301" t="s">
        <v>139</v>
      </c>
      <c r="AH4" s="302" t="s">
        <v>191</v>
      </c>
      <c r="AI4" s="306" t="s">
        <v>139</v>
      </c>
      <c r="AJ4" s="291" t="s">
        <v>152</v>
      </c>
      <c r="AK4" s="292"/>
      <c r="AL4" s="291" t="s">
        <v>192</v>
      </c>
      <c r="AM4" s="292"/>
      <c r="AN4" s="289" t="s">
        <v>111</v>
      </c>
      <c r="AO4" s="290"/>
      <c r="AP4" s="289" t="s">
        <v>112</v>
      </c>
      <c r="AQ4" s="290"/>
      <c r="AR4" s="289" t="s">
        <v>113</v>
      </c>
      <c r="AS4" s="290"/>
      <c r="AT4" s="289" t="s">
        <v>114</v>
      </c>
      <c r="AU4" s="290"/>
      <c r="AV4" s="301" t="s">
        <v>191</v>
      </c>
      <c r="AW4" s="301" t="s">
        <v>139</v>
      </c>
      <c r="AX4" s="302" t="s">
        <v>191</v>
      </c>
      <c r="AY4" s="302" t="s">
        <v>139</v>
      </c>
      <c r="AZ4" s="472" t="s">
        <v>26</v>
      </c>
      <c r="BA4" s="473"/>
    </row>
    <row r="5" spans="1:53" s="288" customFormat="1" ht="25.5" customHeight="1" thickTop="1" thickBot="1">
      <c r="A5" s="271" t="s">
        <v>105</v>
      </c>
      <c r="B5" s="272" t="s">
        <v>103</v>
      </c>
      <c r="C5" s="272" t="s">
        <v>203</v>
      </c>
      <c r="D5" s="273" t="s">
        <v>189</v>
      </c>
      <c r="E5" s="274" t="s">
        <v>104</v>
      </c>
      <c r="F5" s="275">
        <v>2012</v>
      </c>
      <c r="G5" s="276">
        <v>2013</v>
      </c>
      <c r="H5" s="275">
        <v>2012</v>
      </c>
      <c r="I5" s="276">
        <v>2013</v>
      </c>
      <c r="J5" s="275">
        <v>2012</v>
      </c>
      <c r="K5" s="276">
        <v>2013</v>
      </c>
      <c r="L5" s="275">
        <v>2012</v>
      </c>
      <c r="M5" s="276">
        <v>2013</v>
      </c>
      <c r="N5" s="275">
        <v>2012</v>
      </c>
      <c r="O5" s="276">
        <v>2013</v>
      </c>
      <c r="P5" s="277">
        <v>2012</v>
      </c>
      <c r="Q5" s="278">
        <v>2012</v>
      </c>
      <c r="R5" s="279">
        <v>2013</v>
      </c>
      <c r="S5" s="280">
        <v>2013</v>
      </c>
      <c r="T5" s="275">
        <v>2012</v>
      </c>
      <c r="U5" s="276">
        <v>2013</v>
      </c>
      <c r="V5" s="277">
        <v>2012</v>
      </c>
      <c r="W5" s="281">
        <v>2013</v>
      </c>
      <c r="X5" s="275">
        <v>2012</v>
      </c>
      <c r="Y5" s="276">
        <v>2013</v>
      </c>
      <c r="Z5" s="275">
        <v>2012</v>
      </c>
      <c r="AA5" s="276">
        <v>2013</v>
      </c>
      <c r="AB5" s="275">
        <v>2012</v>
      </c>
      <c r="AC5" s="276">
        <v>2013</v>
      </c>
      <c r="AD5" s="275">
        <v>2012</v>
      </c>
      <c r="AE5" s="276">
        <v>2013</v>
      </c>
      <c r="AF5" s="282">
        <v>2012</v>
      </c>
      <c r="AG5" s="283">
        <v>2012</v>
      </c>
      <c r="AH5" s="284">
        <v>2013</v>
      </c>
      <c r="AI5" s="284">
        <v>2013</v>
      </c>
      <c r="AJ5" s="275">
        <v>2012</v>
      </c>
      <c r="AK5" s="276">
        <v>2013</v>
      </c>
      <c r="AL5" s="283">
        <v>2012</v>
      </c>
      <c r="AM5" s="285">
        <v>2013</v>
      </c>
      <c r="AN5" s="275">
        <v>2012</v>
      </c>
      <c r="AO5" s="276">
        <v>2013</v>
      </c>
      <c r="AP5" s="275">
        <v>2012</v>
      </c>
      <c r="AQ5" s="276">
        <v>2013</v>
      </c>
      <c r="AR5" s="275">
        <v>2012</v>
      </c>
      <c r="AS5" s="276">
        <v>2013</v>
      </c>
      <c r="AT5" s="275">
        <v>2012</v>
      </c>
      <c r="AU5" s="276">
        <v>2013</v>
      </c>
      <c r="AV5" s="282">
        <v>2012</v>
      </c>
      <c r="AW5" s="282">
        <v>2012</v>
      </c>
      <c r="AX5" s="284">
        <v>2013</v>
      </c>
      <c r="AY5" s="286">
        <v>2013</v>
      </c>
      <c r="AZ5" s="287">
        <v>2012</v>
      </c>
      <c r="BA5" s="284">
        <v>2013</v>
      </c>
    </row>
    <row r="6" spans="1:53" s="155" customFormat="1" ht="64.5" hidden="1" thickTop="1">
      <c r="A6" s="148" t="s">
        <v>105</v>
      </c>
      <c r="B6" s="148" t="s">
        <v>103</v>
      </c>
      <c r="C6" s="148" t="s">
        <v>193</v>
      </c>
      <c r="D6" s="149" t="s">
        <v>106</v>
      </c>
      <c r="E6" s="150" t="s">
        <v>104</v>
      </c>
      <c r="F6" s="151" t="s">
        <v>46</v>
      </c>
      <c r="G6" s="151" t="s">
        <v>47</v>
      </c>
      <c r="H6" s="151" t="s">
        <v>115</v>
      </c>
      <c r="I6" s="151" t="s">
        <v>116</v>
      </c>
      <c r="J6" s="151" t="s">
        <v>117</v>
      </c>
      <c r="K6" s="151" t="s">
        <v>118</v>
      </c>
      <c r="L6" s="151" t="s">
        <v>119</v>
      </c>
      <c r="M6" s="151" t="s">
        <v>120</v>
      </c>
      <c r="N6" s="151" t="s">
        <v>121</v>
      </c>
      <c r="O6" s="151" t="s">
        <v>122</v>
      </c>
      <c r="P6" s="151" t="s">
        <v>48</v>
      </c>
      <c r="Q6" s="151" t="s">
        <v>55</v>
      </c>
      <c r="R6" s="151" t="s">
        <v>49</v>
      </c>
      <c r="S6" s="151" t="s">
        <v>56</v>
      </c>
      <c r="T6" s="151" t="s">
        <v>146</v>
      </c>
      <c r="U6" s="151" t="s">
        <v>147</v>
      </c>
      <c r="V6" s="151" t="s">
        <v>158</v>
      </c>
      <c r="W6" s="151" t="s">
        <v>159</v>
      </c>
      <c r="X6" s="151" t="s">
        <v>123</v>
      </c>
      <c r="Y6" s="151" t="s">
        <v>124</v>
      </c>
      <c r="Z6" s="151" t="s">
        <v>125</v>
      </c>
      <c r="AA6" s="151" t="s">
        <v>126</v>
      </c>
      <c r="AB6" s="151" t="s">
        <v>127</v>
      </c>
      <c r="AC6" s="151" t="s">
        <v>128</v>
      </c>
      <c r="AD6" s="151" t="s">
        <v>129</v>
      </c>
      <c r="AE6" s="151" t="s">
        <v>130</v>
      </c>
      <c r="AF6" s="152" t="s">
        <v>43</v>
      </c>
      <c r="AG6" s="152" t="s">
        <v>44</v>
      </c>
      <c r="AH6" s="151" t="s">
        <v>50</v>
      </c>
      <c r="AI6" s="151" t="s">
        <v>57</v>
      </c>
      <c r="AJ6" s="151" t="s">
        <v>148</v>
      </c>
      <c r="AK6" s="151" t="s">
        <v>149</v>
      </c>
      <c r="AL6" s="151" t="s">
        <v>160</v>
      </c>
      <c r="AM6" s="151" t="s">
        <v>161</v>
      </c>
      <c r="AN6" s="151" t="s">
        <v>131</v>
      </c>
      <c r="AO6" s="151" t="s">
        <v>132</v>
      </c>
      <c r="AP6" s="151" t="s">
        <v>133</v>
      </c>
      <c r="AQ6" s="247" t="s">
        <v>134</v>
      </c>
      <c r="AR6" s="151" t="s">
        <v>135</v>
      </c>
      <c r="AS6" s="247" t="s">
        <v>136</v>
      </c>
      <c r="AT6" s="151" t="s">
        <v>137</v>
      </c>
      <c r="AU6" s="247" t="s">
        <v>138</v>
      </c>
      <c r="AV6" s="151" t="s">
        <v>51</v>
      </c>
      <c r="AW6" s="151" t="s">
        <v>53</v>
      </c>
      <c r="AX6" s="151" t="s">
        <v>52</v>
      </c>
      <c r="AY6" s="151" t="s">
        <v>54</v>
      </c>
      <c r="AZ6" s="153" t="s">
        <v>60</v>
      </c>
      <c r="BA6" s="154" t="s">
        <v>61</v>
      </c>
    </row>
    <row r="7" spans="1:53" ht="13.5" thickTop="1">
      <c r="A7" s="489" t="s">
        <v>226</v>
      </c>
      <c r="B7" s="490" t="s">
        <v>227</v>
      </c>
      <c r="C7" s="502"/>
      <c r="D7" s="504">
        <v>100858</v>
      </c>
      <c r="E7" s="504">
        <v>1</v>
      </c>
      <c r="F7" s="486" t="s">
        <v>41</v>
      </c>
      <c r="G7" s="529"/>
      <c r="H7" s="506"/>
      <c r="I7" s="514"/>
      <c r="J7" s="506">
        <v>259985</v>
      </c>
      <c r="K7" s="515">
        <v>259107</v>
      </c>
      <c r="L7" s="506">
        <v>52912</v>
      </c>
      <c r="M7" s="515">
        <v>50758</v>
      </c>
      <c r="N7" s="506">
        <v>281418</v>
      </c>
      <c r="O7" s="515">
        <v>275688</v>
      </c>
      <c r="P7" s="479">
        <f t="shared" ref="P7" si="15">SUM(H7,J7,L7,N7)</f>
        <v>594315</v>
      </c>
      <c r="Q7" s="480">
        <f t="shared" ref="Q7" si="16">+P7/30</f>
        <v>19810.5</v>
      </c>
      <c r="R7" s="481">
        <f t="shared" ref="R7" si="17">SUM(I7,K7,M7,O7)</f>
        <v>585553</v>
      </c>
      <c r="S7" s="482">
        <f t="shared" ref="S7" si="18">+R7/30</f>
        <v>19518.433333333334</v>
      </c>
      <c r="T7" s="506">
        <v>25</v>
      </c>
      <c r="U7" s="530">
        <v>99</v>
      </c>
      <c r="V7" s="479">
        <f t="shared" ref="V7" si="19">IF(ISBLANK(T7),0,P7)</f>
        <v>594315</v>
      </c>
      <c r="W7" s="478">
        <f t="shared" ref="W7" si="20">IF(ISBLANK(U7),0,R7)</f>
        <v>585553</v>
      </c>
      <c r="X7" s="506"/>
      <c r="Y7" s="514"/>
      <c r="Z7" s="506"/>
      <c r="AA7" s="514"/>
      <c r="AB7" s="506"/>
      <c r="AC7" s="514"/>
      <c r="AD7" s="506"/>
      <c r="AE7" s="531"/>
      <c r="AF7" s="479">
        <f t="shared" ref="AF7" si="21">SUM(X7,Z7,AB7,AD7)</f>
        <v>0</v>
      </c>
      <c r="AG7" s="480">
        <f t="shared" ref="AG7" si="22">+AF7/900</f>
        <v>0</v>
      </c>
      <c r="AH7" s="481">
        <f t="shared" ref="AH7" si="23">SUM(Y7,AA7,AC7,AE7)</f>
        <v>0</v>
      </c>
      <c r="AI7" s="481">
        <f t="shared" ref="AI7" si="24">+AH7/900</f>
        <v>0</v>
      </c>
      <c r="AJ7" s="487"/>
      <c r="AK7" s="531"/>
      <c r="AL7" s="479">
        <f t="shared" ref="AL7" si="25">IF(ISBLANK(AJ7),0,AF7)</f>
        <v>0</v>
      </c>
      <c r="AM7" s="482">
        <f t="shared" ref="AM7" si="26">IF(ISBLANK(AK7),0,AH7)</f>
        <v>0</v>
      </c>
      <c r="AN7" s="487"/>
      <c r="AO7" s="514"/>
      <c r="AP7" s="505">
        <v>37569</v>
      </c>
      <c r="AQ7" s="515">
        <v>37185</v>
      </c>
      <c r="AR7" s="505">
        <v>18898</v>
      </c>
      <c r="AS7" s="515">
        <v>18909</v>
      </c>
      <c r="AT7" s="505">
        <v>38590</v>
      </c>
      <c r="AU7" s="515">
        <v>38867</v>
      </c>
      <c r="AV7" s="479">
        <f t="shared" ref="AV7" si="27">SUM(AN7,AP7,AR7,AT7)</f>
        <v>95057</v>
      </c>
      <c r="AW7" s="483">
        <f t="shared" ref="AW7" si="28">+AV7/24</f>
        <v>3960.7083333333335</v>
      </c>
      <c r="AX7" s="481">
        <f t="shared" ref="AX7" si="29">SUM(AO7,AQ7,AS7,AU7)</f>
        <v>94961</v>
      </c>
      <c r="AY7" s="484">
        <f t="shared" ref="AY7" si="30">+AX7/24</f>
        <v>3956.7083333333335</v>
      </c>
      <c r="AZ7" s="485">
        <f t="shared" ref="AZ7" si="31">SUM(Q7,AG7,AW7)</f>
        <v>23771.208333333332</v>
      </c>
      <c r="BA7" s="481">
        <f t="shared" ref="BA7" si="32">SUM(S7,AI7,AY7)</f>
        <v>23475.141666666666</v>
      </c>
    </row>
    <row r="8" spans="1:53">
      <c r="A8" s="508" t="s">
        <v>226</v>
      </c>
      <c r="B8" s="490" t="s">
        <v>228</v>
      </c>
      <c r="C8" s="502"/>
      <c r="D8" s="504">
        <v>100751</v>
      </c>
      <c r="E8" s="504">
        <v>1</v>
      </c>
      <c r="F8" s="486" t="s">
        <v>41</v>
      </c>
      <c r="G8" s="529"/>
      <c r="H8" s="506"/>
      <c r="I8" s="488"/>
      <c r="J8" s="506">
        <v>335465</v>
      </c>
      <c r="K8" s="488">
        <v>358247</v>
      </c>
      <c r="L8" s="506">
        <v>65235</v>
      </c>
      <c r="M8" s="488">
        <v>66115</v>
      </c>
      <c r="N8" s="506">
        <v>378743</v>
      </c>
      <c r="O8" s="488">
        <v>396463</v>
      </c>
      <c r="P8" s="479">
        <f t="shared" ref="P8:P71" si="33">SUM(H8,J8,L8,N8)</f>
        <v>779443</v>
      </c>
      <c r="Q8" s="480">
        <f t="shared" ref="Q8:Q71" si="34">+P8/30</f>
        <v>25981.433333333334</v>
      </c>
      <c r="R8" s="481">
        <f t="shared" ref="R8:R71" si="35">SUM(I8,K8,M8,O8)</f>
        <v>820825</v>
      </c>
      <c r="S8" s="482">
        <f t="shared" ref="S8:S71" si="36">+R8/30</f>
        <v>27360.833333333332</v>
      </c>
      <c r="T8" s="506">
        <v>2270</v>
      </c>
      <c r="U8" s="532">
        <v>3444</v>
      </c>
      <c r="V8" s="479">
        <f t="shared" ref="V8:V71" si="37">IF(ISBLANK(T8),0,P8)</f>
        <v>779443</v>
      </c>
      <c r="W8" s="478">
        <f t="shared" ref="W8:W71" si="38">IF(ISBLANK(U8),0,R8)</f>
        <v>820825</v>
      </c>
      <c r="X8" s="506"/>
      <c r="Y8" s="488"/>
      <c r="Z8" s="506"/>
      <c r="AA8" s="488"/>
      <c r="AB8" s="506"/>
      <c r="AC8" s="488"/>
      <c r="AD8" s="506"/>
      <c r="AE8" s="507"/>
      <c r="AF8" s="479">
        <f t="shared" ref="AF8:AF71" si="39">SUM(X8,Z8,AB8,AD8)</f>
        <v>0</v>
      </c>
      <c r="AG8" s="480">
        <f t="shared" ref="AG8:AG71" si="40">+AF8/900</f>
        <v>0</v>
      </c>
      <c r="AH8" s="481">
        <f t="shared" ref="AH8:AH71" si="41">SUM(Y8,AA8,AC8,AE8)</f>
        <v>0</v>
      </c>
      <c r="AI8" s="481">
        <f t="shared" ref="AI8:AI71" si="42">+AH8/900</f>
        <v>0</v>
      </c>
      <c r="AJ8" s="487"/>
      <c r="AK8" s="507"/>
      <c r="AL8" s="479">
        <f t="shared" ref="AL8:AL71" si="43">IF(ISBLANK(AJ8),0,AF8)</f>
        <v>0</v>
      </c>
      <c r="AM8" s="482">
        <f t="shared" ref="AM8:AM71" si="44">IF(ISBLANK(AK8),0,AH8)</f>
        <v>0</v>
      </c>
      <c r="AN8" s="487"/>
      <c r="AO8" s="488"/>
      <c r="AP8" s="487">
        <v>44097</v>
      </c>
      <c r="AQ8" s="488">
        <v>42231</v>
      </c>
      <c r="AR8" s="487">
        <v>11779</v>
      </c>
      <c r="AS8" s="488">
        <v>11449</v>
      </c>
      <c r="AT8" s="487">
        <v>42685</v>
      </c>
      <c r="AU8" s="488">
        <v>41818</v>
      </c>
      <c r="AV8" s="479">
        <f t="shared" ref="AV8:AV71" si="45">SUM(AN8,AP8,AR8,AT8)</f>
        <v>98561</v>
      </c>
      <c r="AW8" s="483">
        <f t="shared" ref="AW8:AW71" si="46">+AV8/24</f>
        <v>4106.708333333333</v>
      </c>
      <c r="AX8" s="481">
        <f t="shared" ref="AX8:AX71" si="47">SUM(AO8,AQ8,AS8,AU8)</f>
        <v>95498</v>
      </c>
      <c r="AY8" s="484">
        <f t="shared" ref="AY8:AY71" si="48">+AX8/24</f>
        <v>3979.0833333333335</v>
      </c>
      <c r="AZ8" s="485">
        <f t="shared" ref="AZ8:AZ71" si="49">SUM(Q8,AG8,AW8)</f>
        <v>30088.141666666666</v>
      </c>
      <c r="BA8" s="481">
        <f t="shared" ref="BA8:BA71" si="50">SUM(S8,AI8,AY8)</f>
        <v>31339.916666666664</v>
      </c>
    </row>
    <row r="9" spans="1:53">
      <c r="A9" s="508" t="s">
        <v>226</v>
      </c>
      <c r="B9" s="490" t="s">
        <v>229</v>
      </c>
      <c r="C9" s="533"/>
      <c r="D9" s="504">
        <v>100663</v>
      </c>
      <c r="E9" s="500">
        <v>2</v>
      </c>
      <c r="F9" s="486" t="s">
        <v>41</v>
      </c>
      <c r="G9" s="529"/>
      <c r="H9" s="506"/>
      <c r="I9" s="488"/>
      <c r="J9" s="506">
        <v>114176</v>
      </c>
      <c r="K9" s="488">
        <v>114787</v>
      </c>
      <c r="L9" s="506">
        <v>27236</v>
      </c>
      <c r="M9" s="488">
        <v>26289</v>
      </c>
      <c r="N9" s="506">
        <v>125808</v>
      </c>
      <c r="O9" s="488">
        <v>126614</v>
      </c>
      <c r="P9" s="479">
        <f t="shared" si="33"/>
        <v>267220</v>
      </c>
      <c r="Q9" s="480">
        <f t="shared" si="34"/>
        <v>8907.3333333333339</v>
      </c>
      <c r="R9" s="481">
        <f t="shared" si="35"/>
        <v>267690</v>
      </c>
      <c r="S9" s="482">
        <f t="shared" si="36"/>
        <v>8923</v>
      </c>
      <c r="T9" s="506">
        <v>53</v>
      </c>
      <c r="U9" s="507">
        <v>56</v>
      </c>
      <c r="V9" s="479">
        <f t="shared" si="37"/>
        <v>267220</v>
      </c>
      <c r="W9" s="478">
        <f t="shared" si="38"/>
        <v>267690</v>
      </c>
      <c r="X9" s="506"/>
      <c r="Y9" s="488"/>
      <c r="Z9" s="506"/>
      <c r="AA9" s="488"/>
      <c r="AB9" s="506"/>
      <c r="AC9" s="488"/>
      <c r="AD9" s="506"/>
      <c r="AE9" s="507"/>
      <c r="AF9" s="479">
        <f t="shared" si="39"/>
        <v>0</v>
      </c>
      <c r="AG9" s="480">
        <f t="shared" si="40"/>
        <v>0</v>
      </c>
      <c r="AH9" s="481">
        <f t="shared" si="41"/>
        <v>0</v>
      </c>
      <c r="AI9" s="481">
        <f t="shared" si="42"/>
        <v>0</v>
      </c>
      <c r="AJ9" s="487"/>
      <c r="AK9" s="507"/>
      <c r="AL9" s="479">
        <f t="shared" si="43"/>
        <v>0</v>
      </c>
      <c r="AM9" s="482">
        <f t="shared" si="44"/>
        <v>0</v>
      </c>
      <c r="AN9" s="487"/>
      <c r="AO9" s="488"/>
      <c r="AP9" s="487">
        <v>17419</v>
      </c>
      <c r="AQ9" s="488">
        <v>16955</v>
      </c>
      <c r="AR9" s="487">
        <v>10686</v>
      </c>
      <c r="AS9" s="488">
        <v>10916</v>
      </c>
      <c r="AT9" s="487">
        <v>17307</v>
      </c>
      <c r="AU9" s="488">
        <v>17062</v>
      </c>
      <c r="AV9" s="479">
        <f t="shared" si="45"/>
        <v>45412</v>
      </c>
      <c r="AW9" s="483">
        <f t="shared" si="46"/>
        <v>1892.1666666666667</v>
      </c>
      <c r="AX9" s="481">
        <f t="shared" si="47"/>
        <v>44933</v>
      </c>
      <c r="AY9" s="484">
        <f t="shared" si="48"/>
        <v>1872.2083333333333</v>
      </c>
      <c r="AZ9" s="485">
        <f t="shared" si="49"/>
        <v>10799.5</v>
      </c>
      <c r="BA9" s="481">
        <f t="shared" si="50"/>
        <v>10795.208333333334</v>
      </c>
    </row>
    <row r="10" spans="1:53">
      <c r="A10" s="508" t="s">
        <v>226</v>
      </c>
      <c r="B10" s="490" t="s">
        <v>230</v>
      </c>
      <c r="C10" s="495" t="s">
        <v>607</v>
      </c>
      <c r="D10" s="504">
        <v>100706</v>
      </c>
      <c r="E10" s="504">
        <v>2</v>
      </c>
      <c r="F10" s="486" t="s">
        <v>41</v>
      </c>
      <c r="G10" s="529"/>
      <c r="H10" s="506"/>
      <c r="I10" s="488"/>
      <c r="J10" s="506">
        <v>67235</v>
      </c>
      <c r="K10" s="488">
        <v>64626</v>
      </c>
      <c r="L10" s="506">
        <v>16673</v>
      </c>
      <c r="M10" s="488">
        <v>14464</v>
      </c>
      <c r="N10" s="506">
        <v>70916</v>
      </c>
      <c r="O10" s="488">
        <v>68285</v>
      </c>
      <c r="P10" s="479">
        <f t="shared" si="33"/>
        <v>154824</v>
      </c>
      <c r="Q10" s="480">
        <f t="shared" si="34"/>
        <v>5160.8</v>
      </c>
      <c r="R10" s="481">
        <f t="shared" si="35"/>
        <v>147375</v>
      </c>
      <c r="S10" s="482">
        <f t="shared" si="36"/>
        <v>4912.5</v>
      </c>
      <c r="T10" s="506">
        <v>429</v>
      </c>
      <c r="U10" s="507">
        <v>360</v>
      </c>
      <c r="V10" s="479">
        <f t="shared" si="37"/>
        <v>154824</v>
      </c>
      <c r="W10" s="478">
        <f t="shared" si="38"/>
        <v>147375</v>
      </c>
      <c r="X10" s="506"/>
      <c r="Y10" s="488"/>
      <c r="Z10" s="506"/>
      <c r="AA10" s="488"/>
      <c r="AB10" s="506"/>
      <c r="AC10" s="488"/>
      <c r="AD10" s="506"/>
      <c r="AE10" s="507"/>
      <c r="AF10" s="479">
        <f t="shared" si="39"/>
        <v>0</v>
      </c>
      <c r="AG10" s="480">
        <f t="shared" si="40"/>
        <v>0</v>
      </c>
      <c r="AH10" s="481">
        <f t="shared" si="41"/>
        <v>0</v>
      </c>
      <c r="AI10" s="481">
        <f t="shared" si="42"/>
        <v>0</v>
      </c>
      <c r="AJ10" s="487"/>
      <c r="AK10" s="507"/>
      <c r="AL10" s="479">
        <f t="shared" si="43"/>
        <v>0</v>
      </c>
      <c r="AM10" s="482">
        <f t="shared" si="44"/>
        <v>0</v>
      </c>
      <c r="AN10" s="487"/>
      <c r="AO10" s="488"/>
      <c r="AP10" s="487">
        <v>9641</v>
      </c>
      <c r="AQ10" s="488">
        <v>9579</v>
      </c>
      <c r="AR10" s="487">
        <v>4718</v>
      </c>
      <c r="AS10" s="488">
        <v>4372</v>
      </c>
      <c r="AT10" s="487">
        <v>10609</v>
      </c>
      <c r="AU10" s="488">
        <v>10617</v>
      </c>
      <c r="AV10" s="479">
        <f t="shared" si="45"/>
        <v>24968</v>
      </c>
      <c r="AW10" s="483">
        <f t="shared" si="46"/>
        <v>1040.3333333333333</v>
      </c>
      <c r="AX10" s="481">
        <f t="shared" si="47"/>
        <v>24568</v>
      </c>
      <c r="AY10" s="484">
        <f t="shared" si="48"/>
        <v>1023.6666666666666</v>
      </c>
      <c r="AZ10" s="485">
        <f t="shared" si="49"/>
        <v>6201.1333333333332</v>
      </c>
      <c r="BA10" s="481">
        <f t="shared" si="50"/>
        <v>5936.166666666667</v>
      </c>
    </row>
    <row r="11" spans="1:53">
      <c r="A11" s="508" t="s">
        <v>226</v>
      </c>
      <c r="B11" s="490" t="s">
        <v>231</v>
      </c>
      <c r="C11" s="502"/>
      <c r="D11" s="504">
        <v>100654</v>
      </c>
      <c r="E11" s="504">
        <v>3</v>
      </c>
      <c r="F11" s="486" t="s">
        <v>41</v>
      </c>
      <c r="G11" s="529"/>
      <c r="H11" s="506"/>
      <c r="I11" s="488"/>
      <c r="J11" s="506">
        <v>51589</v>
      </c>
      <c r="K11" s="488">
        <v>51713</v>
      </c>
      <c r="L11" s="506">
        <v>5098</v>
      </c>
      <c r="M11" s="488">
        <v>3730</v>
      </c>
      <c r="N11" s="506">
        <v>56726</v>
      </c>
      <c r="O11" s="488">
        <v>57079</v>
      </c>
      <c r="P11" s="479">
        <f t="shared" si="33"/>
        <v>113413</v>
      </c>
      <c r="Q11" s="480">
        <f t="shared" si="34"/>
        <v>3780.4333333333334</v>
      </c>
      <c r="R11" s="481">
        <f t="shared" si="35"/>
        <v>112522</v>
      </c>
      <c r="S11" s="482">
        <f t="shared" si="36"/>
        <v>3750.7333333333331</v>
      </c>
      <c r="T11" s="506">
        <v>0</v>
      </c>
      <c r="U11" s="507">
        <v>0</v>
      </c>
      <c r="V11" s="479">
        <f t="shared" si="37"/>
        <v>113413</v>
      </c>
      <c r="W11" s="478">
        <f t="shared" si="38"/>
        <v>112522</v>
      </c>
      <c r="X11" s="506"/>
      <c r="Y11" s="488"/>
      <c r="Z11" s="506"/>
      <c r="AA11" s="488"/>
      <c r="AB11" s="506"/>
      <c r="AC11" s="488"/>
      <c r="AD11" s="506"/>
      <c r="AE11" s="507"/>
      <c r="AF11" s="479">
        <f t="shared" si="39"/>
        <v>0</v>
      </c>
      <c r="AG11" s="480">
        <f t="shared" si="40"/>
        <v>0</v>
      </c>
      <c r="AH11" s="481">
        <f t="shared" si="41"/>
        <v>0</v>
      </c>
      <c r="AI11" s="481">
        <f t="shared" si="42"/>
        <v>0</v>
      </c>
      <c r="AJ11" s="487"/>
      <c r="AK11" s="507"/>
      <c r="AL11" s="479">
        <f t="shared" si="43"/>
        <v>0</v>
      </c>
      <c r="AM11" s="482">
        <f t="shared" si="44"/>
        <v>0</v>
      </c>
      <c r="AN11" s="487"/>
      <c r="AO11" s="488"/>
      <c r="AP11" s="487">
        <v>5570</v>
      </c>
      <c r="AQ11" s="488">
        <v>6129</v>
      </c>
      <c r="AR11" s="487">
        <v>2533</v>
      </c>
      <c r="AS11" s="488">
        <v>2740</v>
      </c>
      <c r="AT11" s="487">
        <v>6049</v>
      </c>
      <c r="AU11" s="488">
        <v>7688</v>
      </c>
      <c r="AV11" s="479">
        <f t="shared" si="45"/>
        <v>14152</v>
      </c>
      <c r="AW11" s="483">
        <f t="shared" si="46"/>
        <v>589.66666666666663</v>
      </c>
      <c r="AX11" s="481">
        <f t="shared" si="47"/>
        <v>16557</v>
      </c>
      <c r="AY11" s="484">
        <f t="shared" si="48"/>
        <v>689.875</v>
      </c>
      <c r="AZ11" s="485">
        <f t="shared" si="49"/>
        <v>4370.1000000000004</v>
      </c>
      <c r="BA11" s="481">
        <f t="shared" si="50"/>
        <v>4440.6083333333336</v>
      </c>
    </row>
    <row r="12" spans="1:53">
      <c r="A12" s="508" t="s">
        <v>226</v>
      </c>
      <c r="B12" s="490" t="s">
        <v>232</v>
      </c>
      <c r="C12" s="502"/>
      <c r="D12" s="489">
        <v>101480</v>
      </c>
      <c r="E12" s="504">
        <v>3</v>
      </c>
      <c r="F12" s="486" t="s">
        <v>41</v>
      </c>
      <c r="G12" s="529"/>
      <c r="H12" s="506"/>
      <c r="I12" s="488"/>
      <c r="J12" s="506">
        <v>90905</v>
      </c>
      <c r="K12" s="488">
        <v>87589</v>
      </c>
      <c r="L12" s="506">
        <v>24046</v>
      </c>
      <c r="M12" s="488">
        <v>21686</v>
      </c>
      <c r="N12" s="506">
        <v>96360</v>
      </c>
      <c r="O12" s="488">
        <v>92477</v>
      </c>
      <c r="P12" s="479">
        <f t="shared" si="33"/>
        <v>211311</v>
      </c>
      <c r="Q12" s="480">
        <f t="shared" si="34"/>
        <v>7043.7</v>
      </c>
      <c r="R12" s="481">
        <f t="shared" si="35"/>
        <v>201752</v>
      </c>
      <c r="S12" s="482">
        <f t="shared" si="36"/>
        <v>6725.0666666666666</v>
      </c>
      <c r="T12" s="534">
        <v>1582</v>
      </c>
      <c r="U12" s="507">
        <v>1509</v>
      </c>
      <c r="V12" s="479">
        <f t="shared" si="37"/>
        <v>211311</v>
      </c>
      <c r="W12" s="478">
        <f t="shared" si="38"/>
        <v>201752</v>
      </c>
      <c r="X12" s="506"/>
      <c r="Y12" s="488"/>
      <c r="Z12" s="506"/>
      <c r="AA12" s="488"/>
      <c r="AB12" s="506"/>
      <c r="AC12" s="488"/>
      <c r="AD12" s="506"/>
      <c r="AE12" s="507"/>
      <c r="AF12" s="479">
        <f t="shared" si="39"/>
        <v>0</v>
      </c>
      <c r="AG12" s="480">
        <f t="shared" si="40"/>
        <v>0</v>
      </c>
      <c r="AH12" s="481">
        <f t="shared" si="41"/>
        <v>0</v>
      </c>
      <c r="AI12" s="481">
        <f t="shared" si="42"/>
        <v>0</v>
      </c>
      <c r="AJ12" s="487"/>
      <c r="AK12" s="507"/>
      <c r="AL12" s="479">
        <f t="shared" si="43"/>
        <v>0</v>
      </c>
      <c r="AM12" s="482">
        <f t="shared" si="44"/>
        <v>0</v>
      </c>
      <c r="AN12" s="487"/>
      <c r="AO12" s="488"/>
      <c r="AP12" s="487">
        <v>6595</v>
      </c>
      <c r="AQ12" s="488">
        <v>6140</v>
      </c>
      <c r="AR12" s="487">
        <v>4374</v>
      </c>
      <c r="AS12" s="488">
        <v>4171</v>
      </c>
      <c r="AT12" s="487">
        <v>6726</v>
      </c>
      <c r="AU12" s="488">
        <v>6303</v>
      </c>
      <c r="AV12" s="479">
        <f t="shared" si="45"/>
        <v>17695</v>
      </c>
      <c r="AW12" s="483">
        <f t="shared" si="46"/>
        <v>737.29166666666663</v>
      </c>
      <c r="AX12" s="481">
        <f t="shared" si="47"/>
        <v>16614</v>
      </c>
      <c r="AY12" s="484">
        <f t="shared" si="48"/>
        <v>692.25</v>
      </c>
      <c r="AZ12" s="485">
        <f t="shared" si="49"/>
        <v>7780.9916666666668</v>
      </c>
      <c r="BA12" s="481">
        <f t="shared" si="50"/>
        <v>7417.3166666666666</v>
      </c>
    </row>
    <row r="13" spans="1:53">
      <c r="A13" s="508" t="s">
        <v>226</v>
      </c>
      <c r="B13" s="490" t="s">
        <v>233</v>
      </c>
      <c r="C13" s="502"/>
      <c r="D13" s="504">
        <v>102368</v>
      </c>
      <c r="E13" s="504">
        <v>3</v>
      </c>
      <c r="F13" s="486" t="s">
        <v>41</v>
      </c>
      <c r="G13" s="529"/>
      <c r="H13" s="506"/>
      <c r="I13" s="488"/>
      <c r="J13" s="506">
        <v>132577</v>
      </c>
      <c r="K13" s="488">
        <v>123722</v>
      </c>
      <c r="L13" s="506">
        <v>29852</v>
      </c>
      <c r="M13" s="488">
        <v>26401</v>
      </c>
      <c r="N13" s="506">
        <v>133008</v>
      </c>
      <c r="O13" s="488">
        <v>129018</v>
      </c>
      <c r="P13" s="479">
        <f t="shared" si="33"/>
        <v>295437</v>
      </c>
      <c r="Q13" s="480">
        <f t="shared" si="34"/>
        <v>9847.9</v>
      </c>
      <c r="R13" s="481">
        <f t="shared" si="35"/>
        <v>279141</v>
      </c>
      <c r="S13" s="482">
        <f t="shared" si="36"/>
        <v>9304.7000000000007</v>
      </c>
      <c r="T13" s="506">
        <v>509</v>
      </c>
      <c r="U13" s="507">
        <v>916</v>
      </c>
      <c r="V13" s="479">
        <f t="shared" si="37"/>
        <v>295437</v>
      </c>
      <c r="W13" s="478">
        <f t="shared" si="38"/>
        <v>279141</v>
      </c>
      <c r="X13" s="506"/>
      <c r="Y13" s="488"/>
      <c r="Z13" s="506"/>
      <c r="AA13" s="488"/>
      <c r="AB13" s="506"/>
      <c r="AC13" s="488"/>
      <c r="AD13" s="506"/>
      <c r="AE13" s="507"/>
      <c r="AF13" s="479">
        <f t="shared" si="39"/>
        <v>0</v>
      </c>
      <c r="AG13" s="480">
        <f t="shared" si="40"/>
        <v>0</v>
      </c>
      <c r="AH13" s="481">
        <f t="shared" si="41"/>
        <v>0</v>
      </c>
      <c r="AI13" s="481">
        <f t="shared" si="42"/>
        <v>0</v>
      </c>
      <c r="AJ13" s="487"/>
      <c r="AK13" s="507"/>
      <c r="AL13" s="479">
        <f t="shared" si="43"/>
        <v>0</v>
      </c>
      <c r="AM13" s="482">
        <f t="shared" si="44"/>
        <v>0</v>
      </c>
      <c r="AN13" s="487"/>
      <c r="AO13" s="488"/>
      <c r="AP13" s="487">
        <v>16623</v>
      </c>
      <c r="AQ13" s="488">
        <v>16274</v>
      </c>
      <c r="AR13" s="487">
        <v>6676</v>
      </c>
      <c r="AS13" s="488">
        <v>6701</v>
      </c>
      <c r="AT13" s="487">
        <v>16194</v>
      </c>
      <c r="AU13" s="488">
        <v>15509</v>
      </c>
      <c r="AV13" s="479">
        <f t="shared" si="45"/>
        <v>39493</v>
      </c>
      <c r="AW13" s="483">
        <f t="shared" si="46"/>
        <v>1645.5416666666667</v>
      </c>
      <c r="AX13" s="481">
        <f t="shared" si="47"/>
        <v>38484</v>
      </c>
      <c r="AY13" s="484">
        <f t="shared" si="48"/>
        <v>1603.5</v>
      </c>
      <c r="AZ13" s="485">
        <f t="shared" si="49"/>
        <v>11493.441666666666</v>
      </c>
      <c r="BA13" s="481">
        <f t="shared" si="50"/>
        <v>10908.2</v>
      </c>
    </row>
    <row r="14" spans="1:53">
      <c r="A14" s="489" t="s">
        <v>226</v>
      </c>
      <c r="B14" s="490" t="s">
        <v>234</v>
      </c>
      <c r="C14" s="502"/>
      <c r="D14" s="504">
        <v>102094</v>
      </c>
      <c r="E14" s="504">
        <v>3</v>
      </c>
      <c r="F14" s="486" t="s">
        <v>41</v>
      </c>
      <c r="G14" s="529"/>
      <c r="H14" s="506"/>
      <c r="I14" s="488"/>
      <c r="J14" s="506">
        <v>115368</v>
      </c>
      <c r="K14" s="488">
        <v>116928</v>
      </c>
      <c r="L14" s="506">
        <v>24909</v>
      </c>
      <c r="M14" s="488">
        <v>22266</v>
      </c>
      <c r="N14" s="506">
        <v>128798</v>
      </c>
      <c r="O14" s="488">
        <v>128080</v>
      </c>
      <c r="P14" s="479">
        <f t="shared" si="33"/>
        <v>269075</v>
      </c>
      <c r="Q14" s="480">
        <f t="shared" si="34"/>
        <v>8969.1666666666661</v>
      </c>
      <c r="R14" s="481">
        <f t="shared" si="35"/>
        <v>267274</v>
      </c>
      <c r="S14" s="482">
        <f t="shared" si="36"/>
        <v>8909.1333333333332</v>
      </c>
      <c r="T14" s="506">
        <v>266</v>
      </c>
      <c r="U14" s="507">
        <v>172</v>
      </c>
      <c r="V14" s="479">
        <f t="shared" si="37"/>
        <v>269075</v>
      </c>
      <c r="W14" s="478">
        <f t="shared" si="38"/>
        <v>267274</v>
      </c>
      <c r="X14" s="506"/>
      <c r="Y14" s="488"/>
      <c r="Z14" s="506"/>
      <c r="AA14" s="488"/>
      <c r="AB14" s="506"/>
      <c r="AC14" s="488"/>
      <c r="AD14" s="506"/>
      <c r="AE14" s="507"/>
      <c r="AF14" s="479">
        <f t="shared" si="39"/>
        <v>0</v>
      </c>
      <c r="AG14" s="480">
        <f t="shared" si="40"/>
        <v>0</v>
      </c>
      <c r="AH14" s="481">
        <f t="shared" si="41"/>
        <v>0</v>
      </c>
      <c r="AI14" s="481">
        <f t="shared" si="42"/>
        <v>0</v>
      </c>
      <c r="AJ14" s="487"/>
      <c r="AK14" s="507"/>
      <c r="AL14" s="479">
        <f t="shared" si="43"/>
        <v>0</v>
      </c>
      <c r="AM14" s="482">
        <f t="shared" si="44"/>
        <v>0</v>
      </c>
      <c r="AN14" s="487"/>
      <c r="AO14" s="488"/>
      <c r="AP14" s="487">
        <v>6102</v>
      </c>
      <c r="AQ14" s="488">
        <v>5795</v>
      </c>
      <c r="AR14" s="487">
        <v>3231</v>
      </c>
      <c r="AS14" s="488">
        <v>3432</v>
      </c>
      <c r="AT14" s="487">
        <v>5916</v>
      </c>
      <c r="AU14" s="488">
        <v>6385</v>
      </c>
      <c r="AV14" s="479">
        <f t="shared" si="45"/>
        <v>15249</v>
      </c>
      <c r="AW14" s="483">
        <f t="shared" si="46"/>
        <v>635.375</v>
      </c>
      <c r="AX14" s="481">
        <f t="shared" si="47"/>
        <v>15612</v>
      </c>
      <c r="AY14" s="484">
        <f t="shared" si="48"/>
        <v>650.5</v>
      </c>
      <c r="AZ14" s="485">
        <f t="shared" si="49"/>
        <v>9604.5416666666661</v>
      </c>
      <c r="BA14" s="481">
        <f t="shared" si="50"/>
        <v>9559.6333333333332</v>
      </c>
    </row>
    <row r="15" spans="1:53">
      <c r="A15" s="489" t="s">
        <v>226</v>
      </c>
      <c r="B15" s="490" t="s">
        <v>235</v>
      </c>
      <c r="C15" s="502"/>
      <c r="D15" s="504">
        <v>100724</v>
      </c>
      <c r="E15" s="504">
        <v>4</v>
      </c>
      <c r="F15" s="486" t="s">
        <v>41</v>
      </c>
      <c r="G15" s="529"/>
      <c r="H15" s="506"/>
      <c r="I15" s="488"/>
      <c r="J15" s="506">
        <v>64284</v>
      </c>
      <c r="K15" s="488">
        <v>69598</v>
      </c>
      <c r="L15" s="506">
        <v>15082</v>
      </c>
      <c r="M15" s="488">
        <v>12784</v>
      </c>
      <c r="N15" s="506">
        <v>74906</v>
      </c>
      <c r="O15" s="488">
        <v>78705</v>
      </c>
      <c r="P15" s="479">
        <f t="shared" si="33"/>
        <v>154272</v>
      </c>
      <c r="Q15" s="480">
        <f t="shared" si="34"/>
        <v>5142.3999999999996</v>
      </c>
      <c r="R15" s="481">
        <f t="shared" si="35"/>
        <v>161087</v>
      </c>
      <c r="S15" s="482">
        <f t="shared" si="36"/>
        <v>5369.5666666666666</v>
      </c>
      <c r="T15" s="506">
        <v>0</v>
      </c>
      <c r="U15" s="507">
        <v>0</v>
      </c>
      <c r="V15" s="479">
        <f t="shared" si="37"/>
        <v>154272</v>
      </c>
      <c r="W15" s="478">
        <f t="shared" si="38"/>
        <v>161087</v>
      </c>
      <c r="X15" s="506"/>
      <c r="Y15" s="488"/>
      <c r="Z15" s="506"/>
      <c r="AA15" s="488"/>
      <c r="AB15" s="506"/>
      <c r="AC15" s="488"/>
      <c r="AD15" s="506"/>
      <c r="AE15" s="507"/>
      <c r="AF15" s="479">
        <f t="shared" si="39"/>
        <v>0</v>
      </c>
      <c r="AG15" s="480">
        <f t="shared" si="40"/>
        <v>0</v>
      </c>
      <c r="AH15" s="481">
        <f t="shared" si="41"/>
        <v>0</v>
      </c>
      <c r="AI15" s="481">
        <f t="shared" si="42"/>
        <v>0</v>
      </c>
      <c r="AJ15" s="487"/>
      <c r="AK15" s="507"/>
      <c r="AL15" s="479">
        <f t="shared" si="43"/>
        <v>0</v>
      </c>
      <c r="AM15" s="482">
        <f t="shared" si="44"/>
        <v>0</v>
      </c>
      <c r="AN15" s="487"/>
      <c r="AO15" s="488"/>
      <c r="AP15" s="487">
        <v>5871</v>
      </c>
      <c r="AQ15" s="488">
        <v>5538</v>
      </c>
      <c r="AR15" s="487">
        <v>3658</v>
      </c>
      <c r="AS15" s="488">
        <v>3061</v>
      </c>
      <c r="AT15" s="487">
        <v>4534</v>
      </c>
      <c r="AU15" s="488">
        <v>6575</v>
      </c>
      <c r="AV15" s="479">
        <f t="shared" si="45"/>
        <v>14063</v>
      </c>
      <c r="AW15" s="483">
        <f t="shared" si="46"/>
        <v>585.95833333333337</v>
      </c>
      <c r="AX15" s="481">
        <f t="shared" si="47"/>
        <v>15174</v>
      </c>
      <c r="AY15" s="484">
        <f t="shared" si="48"/>
        <v>632.25</v>
      </c>
      <c r="AZ15" s="485">
        <f t="shared" si="49"/>
        <v>5728.3583333333327</v>
      </c>
      <c r="BA15" s="481">
        <f t="shared" si="50"/>
        <v>6001.8166666666666</v>
      </c>
    </row>
    <row r="16" spans="1:53">
      <c r="A16" s="489" t="s">
        <v>226</v>
      </c>
      <c r="B16" s="490" t="s">
        <v>236</v>
      </c>
      <c r="C16" s="502"/>
      <c r="D16" s="504">
        <v>100830</v>
      </c>
      <c r="E16" s="504">
        <v>4</v>
      </c>
      <c r="F16" s="486" t="s">
        <v>41</v>
      </c>
      <c r="G16" s="529"/>
      <c r="H16" s="506"/>
      <c r="I16" s="488"/>
      <c r="J16" s="506">
        <v>44134</v>
      </c>
      <c r="K16" s="488">
        <v>44045</v>
      </c>
      <c r="L16" s="506">
        <v>13607</v>
      </c>
      <c r="M16" s="488">
        <v>12522</v>
      </c>
      <c r="N16" s="506">
        <v>51295</v>
      </c>
      <c r="O16" s="488">
        <v>50998</v>
      </c>
      <c r="P16" s="479">
        <f t="shared" si="33"/>
        <v>109036</v>
      </c>
      <c r="Q16" s="480">
        <f t="shared" si="34"/>
        <v>3634.5333333333333</v>
      </c>
      <c r="R16" s="481">
        <f t="shared" si="35"/>
        <v>107565</v>
      </c>
      <c r="S16" s="482">
        <f t="shared" si="36"/>
        <v>3585.5</v>
      </c>
      <c r="T16" s="506">
        <v>159</v>
      </c>
      <c r="U16" s="535">
        <v>543</v>
      </c>
      <c r="V16" s="479">
        <f t="shared" si="37"/>
        <v>109036</v>
      </c>
      <c r="W16" s="478">
        <f t="shared" si="38"/>
        <v>107565</v>
      </c>
      <c r="X16" s="506"/>
      <c r="Y16" s="488"/>
      <c r="Z16" s="506"/>
      <c r="AA16" s="488"/>
      <c r="AB16" s="506"/>
      <c r="AC16" s="488"/>
      <c r="AD16" s="506"/>
      <c r="AE16" s="507"/>
      <c r="AF16" s="479">
        <f t="shared" si="39"/>
        <v>0</v>
      </c>
      <c r="AG16" s="480">
        <f t="shared" si="40"/>
        <v>0</v>
      </c>
      <c r="AH16" s="481">
        <f t="shared" si="41"/>
        <v>0</v>
      </c>
      <c r="AI16" s="481">
        <f t="shared" si="42"/>
        <v>0</v>
      </c>
      <c r="AJ16" s="487"/>
      <c r="AK16" s="507"/>
      <c r="AL16" s="479">
        <f t="shared" si="43"/>
        <v>0</v>
      </c>
      <c r="AM16" s="482">
        <f t="shared" si="44"/>
        <v>0</v>
      </c>
      <c r="AN16" s="487"/>
      <c r="AO16" s="488"/>
      <c r="AP16" s="487">
        <v>5482</v>
      </c>
      <c r="AQ16" s="488">
        <v>5027</v>
      </c>
      <c r="AR16" s="487">
        <v>2655</v>
      </c>
      <c r="AS16" s="488">
        <v>2455</v>
      </c>
      <c r="AT16" s="487">
        <v>4907</v>
      </c>
      <c r="AU16" s="488">
        <v>4824</v>
      </c>
      <c r="AV16" s="479">
        <f t="shared" si="45"/>
        <v>13044</v>
      </c>
      <c r="AW16" s="483">
        <f t="shared" si="46"/>
        <v>543.5</v>
      </c>
      <c r="AX16" s="481">
        <f t="shared" si="47"/>
        <v>12306</v>
      </c>
      <c r="AY16" s="484">
        <f t="shared" si="48"/>
        <v>512.75</v>
      </c>
      <c r="AZ16" s="485">
        <f t="shared" si="49"/>
        <v>4178.0333333333328</v>
      </c>
      <c r="BA16" s="481">
        <f t="shared" si="50"/>
        <v>4098.25</v>
      </c>
    </row>
    <row r="17" spans="1:53">
      <c r="A17" s="508" t="s">
        <v>226</v>
      </c>
      <c r="B17" s="490" t="s">
        <v>237</v>
      </c>
      <c r="C17" s="502"/>
      <c r="D17" s="504">
        <v>101879</v>
      </c>
      <c r="E17" s="504">
        <v>4</v>
      </c>
      <c r="F17" s="486" t="s">
        <v>41</v>
      </c>
      <c r="G17" s="529"/>
      <c r="H17" s="506"/>
      <c r="I17" s="488"/>
      <c r="J17" s="506">
        <v>69517</v>
      </c>
      <c r="K17" s="488">
        <v>69739</v>
      </c>
      <c r="L17" s="506">
        <v>13695</v>
      </c>
      <c r="M17" s="488">
        <v>13056</v>
      </c>
      <c r="N17" s="506">
        <v>75503</v>
      </c>
      <c r="O17" s="488">
        <v>73482</v>
      </c>
      <c r="P17" s="479">
        <f t="shared" si="33"/>
        <v>158715</v>
      </c>
      <c r="Q17" s="480">
        <f t="shared" si="34"/>
        <v>5290.5</v>
      </c>
      <c r="R17" s="481">
        <f t="shared" si="35"/>
        <v>156277</v>
      </c>
      <c r="S17" s="482">
        <f t="shared" si="36"/>
        <v>5209.2333333333336</v>
      </c>
      <c r="T17" s="506">
        <v>2843</v>
      </c>
      <c r="U17" s="507">
        <v>2439</v>
      </c>
      <c r="V17" s="479">
        <f t="shared" si="37"/>
        <v>158715</v>
      </c>
      <c r="W17" s="478">
        <f t="shared" si="38"/>
        <v>156277</v>
      </c>
      <c r="X17" s="506"/>
      <c r="Y17" s="488"/>
      <c r="Z17" s="506"/>
      <c r="AA17" s="488"/>
      <c r="AB17" s="506"/>
      <c r="AC17" s="488"/>
      <c r="AD17" s="506"/>
      <c r="AE17" s="507"/>
      <c r="AF17" s="479">
        <f t="shared" si="39"/>
        <v>0</v>
      </c>
      <c r="AG17" s="480">
        <f t="shared" si="40"/>
        <v>0</v>
      </c>
      <c r="AH17" s="481">
        <f t="shared" si="41"/>
        <v>0</v>
      </c>
      <c r="AI17" s="481">
        <f t="shared" si="42"/>
        <v>0</v>
      </c>
      <c r="AJ17" s="487"/>
      <c r="AK17" s="507"/>
      <c r="AL17" s="479">
        <f t="shared" si="43"/>
        <v>0</v>
      </c>
      <c r="AM17" s="482">
        <f t="shared" si="44"/>
        <v>0</v>
      </c>
      <c r="AN17" s="487"/>
      <c r="AO17" s="488"/>
      <c r="AP17" s="487">
        <v>6294</v>
      </c>
      <c r="AQ17" s="488">
        <v>5291</v>
      </c>
      <c r="AR17" s="487">
        <v>3167</v>
      </c>
      <c r="AS17" s="488">
        <v>3144</v>
      </c>
      <c r="AT17" s="487">
        <v>5777</v>
      </c>
      <c r="AU17" s="488">
        <v>5311</v>
      </c>
      <c r="AV17" s="479">
        <f t="shared" si="45"/>
        <v>15238</v>
      </c>
      <c r="AW17" s="483">
        <f t="shared" si="46"/>
        <v>634.91666666666663</v>
      </c>
      <c r="AX17" s="481">
        <f t="shared" si="47"/>
        <v>13746</v>
      </c>
      <c r="AY17" s="484">
        <f t="shared" si="48"/>
        <v>572.75</v>
      </c>
      <c r="AZ17" s="485">
        <f t="shared" si="49"/>
        <v>5925.416666666667</v>
      </c>
      <c r="BA17" s="481">
        <f t="shared" si="50"/>
        <v>5781.9833333333336</v>
      </c>
    </row>
    <row r="18" spans="1:53">
      <c r="A18" s="508" t="s">
        <v>226</v>
      </c>
      <c r="B18" s="490" t="s">
        <v>238</v>
      </c>
      <c r="C18" s="502"/>
      <c r="D18" s="504">
        <v>101709</v>
      </c>
      <c r="E18" s="504">
        <v>5</v>
      </c>
      <c r="F18" s="486" t="s">
        <v>41</v>
      </c>
      <c r="G18" s="529"/>
      <c r="H18" s="506"/>
      <c r="I18" s="488"/>
      <c r="J18" s="506">
        <v>31661</v>
      </c>
      <c r="K18" s="488">
        <v>32559</v>
      </c>
      <c r="L18" s="506">
        <v>5829</v>
      </c>
      <c r="M18" s="488">
        <v>5820</v>
      </c>
      <c r="N18" s="506">
        <v>35251</v>
      </c>
      <c r="O18" s="488">
        <v>35788</v>
      </c>
      <c r="P18" s="479">
        <f t="shared" si="33"/>
        <v>72741</v>
      </c>
      <c r="Q18" s="480">
        <f t="shared" si="34"/>
        <v>2424.6999999999998</v>
      </c>
      <c r="R18" s="481">
        <f t="shared" si="35"/>
        <v>74167</v>
      </c>
      <c r="S18" s="482">
        <f t="shared" si="36"/>
        <v>2472.2333333333331</v>
      </c>
      <c r="T18" s="506">
        <v>52</v>
      </c>
      <c r="U18" s="507">
        <v>71</v>
      </c>
      <c r="V18" s="479">
        <f t="shared" si="37"/>
        <v>72741</v>
      </c>
      <c r="W18" s="478">
        <f t="shared" si="38"/>
        <v>74167</v>
      </c>
      <c r="X18" s="506"/>
      <c r="Y18" s="488"/>
      <c r="Z18" s="506"/>
      <c r="AA18" s="488"/>
      <c r="AB18" s="506"/>
      <c r="AC18" s="488"/>
      <c r="AD18" s="506"/>
      <c r="AE18" s="507"/>
      <c r="AF18" s="479">
        <f t="shared" si="39"/>
        <v>0</v>
      </c>
      <c r="AG18" s="480">
        <f t="shared" si="40"/>
        <v>0</v>
      </c>
      <c r="AH18" s="481">
        <f t="shared" si="41"/>
        <v>0</v>
      </c>
      <c r="AI18" s="481">
        <f t="shared" si="42"/>
        <v>0</v>
      </c>
      <c r="AJ18" s="487"/>
      <c r="AK18" s="507"/>
      <c r="AL18" s="479">
        <f t="shared" si="43"/>
        <v>0</v>
      </c>
      <c r="AM18" s="482">
        <f t="shared" si="44"/>
        <v>0</v>
      </c>
      <c r="AN18" s="487"/>
      <c r="AO18" s="488"/>
      <c r="AP18" s="487">
        <v>3422</v>
      </c>
      <c r="AQ18" s="488">
        <v>3104</v>
      </c>
      <c r="AR18" s="487">
        <v>2367</v>
      </c>
      <c r="AS18" s="488">
        <v>2097</v>
      </c>
      <c r="AT18" s="487">
        <v>3425</v>
      </c>
      <c r="AU18" s="488">
        <v>3082</v>
      </c>
      <c r="AV18" s="479">
        <f t="shared" si="45"/>
        <v>9214</v>
      </c>
      <c r="AW18" s="483">
        <f t="shared" si="46"/>
        <v>383.91666666666669</v>
      </c>
      <c r="AX18" s="481">
        <f t="shared" si="47"/>
        <v>8283</v>
      </c>
      <c r="AY18" s="484">
        <f t="shared" si="48"/>
        <v>345.125</v>
      </c>
      <c r="AZ18" s="485">
        <f t="shared" si="49"/>
        <v>2808.6166666666663</v>
      </c>
      <c r="BA18" s="481">
        <f t="shared" si="50"/>
        <v>2817.3583333333331</v>
      </c>
    </row>
    <row r="19" spans="1:53">
      <c r="A19" s="508" t="s">
        <v>226</v>
      </c>
      <c r="B19" s="490" t="s">
        <v>239</v>
      </c>
      <c r="C19" s="502"/>
      <c r="D19" s="504">
        <v>101587</v>
      </c>
      <c r="E19" s="504">
        <v>5</v>
      </c>
      <c r="F19" s="486" t="s">
        <v>41</v>
      </c>
      <c r="G19" s="529"/>
      <c r="H19" s="506"/>
      <c r="I19" s="488"/>
      <c r="J19" s="506">
        <v>23498</v>
      </c>
      <c r="K19" s="488">
        <v>23569</v>
      </c>
      <c r="L19" s="506">
        <v>4215</v>
      </c>
      <c r="M19" s="488">
        <v>3223</v>
      </c>
      <c r="N19" s="506">
        <v>25288</v>
      </c>
      <c r="O19" s="488">
        <v>25571</v>
      </c>
      <c r="P19" s="479">
        <f t="shared" si="33"/>
        <v>53001</v>
      </c>
      <c r="Q19" s="480">
        <f t="shared" si="34"/>
        <v>1766.7</v>
      </c>
      <c r="R19" s="481">
        <f t="shared" si="35"/>
        <v>52363</v>
      </c>
      <c r="S19" s="482">
        <f t="shared" si="36"/>
        <v>1745.4333333333334</v>
      </c>
      <c r="T19" s="506">
        <v>139</v>
      </c>
      <c r="U19" s="507">
        <v>730</v>
      </c>
      <c r="V19" s="479">
        <f t="shared" si="37"/>
        <v>53001</v>
      </c>
      <c r="W19" s="478">
        <f t="shared" si="38"/>
        <v>52363</v>
      </c>
      <c r="X19" s="506"/>
      <c r="Y19" s="488"/>
      <c r="Z19" s="506"/>
      <c r="AA19" s="488"/>
      <c r="AB19" s="506"/>
      <c r="AC19" s="488"/>
      <c r="AD19" s="506"/>
      <c r="AE19" s="507"/>
      <c r="AF19" s="479">
        <f t="shared" si="39"/>
        <v>0</v>
      </c>
      <c r="AG19" s="480">
        <f t="shared" si="40"/>
        <v>0</v>
      </c>
      <c r="AH19" s="481">
        <f t="shared" si="41"/>
        <v>0</v>
      </c>
      <c r="AI19" s="481">
        <f t="shared" si="42"/>
        <v>0</v>
      </c>
      <c r="AJ19" s="487"/>
      <c r="AK19" s="507"/>
      <c r="AL19" s="479">
        <f t="shared" si="43"/>
        <v>0</v>
      </c>
      <c r="AM19" s="482">
        <f t="shared" si="44"/>
        <v>0</v>
      </c>
      <c r="AN19" s="487"/>
      <c r="AO19" s="488"/>
      <c r="AP19" s="487">
        <v>18625</v>
      </c>
      <c r="AQ19" s="488">
        <v>15828</v>
      </c>
      <c r="AR19" s="487">
        <v>10100</v>
      </c>
      <c r="AS19" s="488">
        <v>8074</v>
      </c>
      <c r="AT19" s="487">
        <v>15711</v>
      </c>
      <c r="AU19" s="488">
        <v>13911</v>
      </c>
      <c r="AV19" s="479">
        <f t="shared" si="45"/>
        <v>44436</v>
      </c>
      <c r="AW19" s="483">
        <f t="shared" si="46"/>
        <v>1851.5</v>
      </c>
      <c r="AX19" s="481">
        <f t="shared" si="47"/>
        <v>37813</v>
      </c>
      <c r="AY19" s="484">
        <f t="shared" si="48"/>
        <v>1575.5416666666667</v>
      </c>
      <c r="AZ19" s="485">
        <f t="shared" si="49"/>
        <v>3618.2</v>
      </c>
      <c r="BA19" s="481">
        <f t="shared" si="50"/>
        <v>3320.9750000000004</v>
      </c>
    </row>
    <row r="20" spans="1:53">
      <c r="A20" s="508" t="s">
        <v>226</v>
      </c>
      <c r="B20" s="490" t="s">
        <v>240</v>
      </c>
      <c r="C20" s="503"/>
      <c r="D20" s="501">
        <v>100812</v>
      </c>
      <c r="E20" s="504">
        <v>6</v>
      </c>
      <c r="F20" s="486" t="s">
        <v>41</v>
      </c>
      <c r="G20" s="529"/>
      <c r="H20" s="506"/>
      <c r="I20" s="488"/>
      <c r="J20" s="506">
        <v>31712</v>
      </c>
      <c r="K20" s="488">
        <v>31273</v>
      </c>
      <c r="L20" s="506">
        <v>19256</v>
      </c>
      <c r="M20" s="488">
        <v>18380</v>
      </c>
      <c r="N20" s="506">
        <v>32618</v>
      </c>
      <c r="O20" s="488">
        <v>30076</v>
      </c>
      <c r="P20" s="479">
        <f t="shared" si="33"/>
        <v>83586</v>
      </c>
      <c r="Q20" s="480">
        <f t="shared" si="34"/>
        <v>2786.2</v>
      </c>
      <c r="R20" s="481">
        <f t="shared" si="35"/>
        <v>79729</v>
      </c>
      <c r="S20" s="482">
        <f t="shared" si="36"/>
        <v>2657.6333333333332</v>
      </c>
      <c r="T20" s="506">
        <v>0</v>
      </c>
      <c r="U20" s="507">
        <v>0</v>
      </c>
      <c r="V20" s="479">
        <f t="shared" si="37"/>
        <v>83586</v>
      </c>
      <c r="W20" s="478">
        <f t="shared" si="38"/>
        <v>79729</v>
      </c>
      <c r="X20" s="506"/>
      <c r="Y20" s="488"/>
      <c r="Z20" s="506"/>
      <c r="AA20" s="488"/>
      <c r="AB20" s="506"/>
      <c r="AC20" s="488"/>
      <c r="AD20" s="506"/>
      <c r="AE20" s="507"/>
      <c r="AF20" s="479">
        <f t="shared" si="39"/>
        <v>0</v>
      </c>
      <c r="AG20" s="480">
        <f t="shared" si="40"/>
        <v>0</v>
      </c>
      <c r="AH20" s="481">
        <f t="shared" si="41"/>
        <v>0</v>
      </c>
      <c r="AI20" s="481">
        <f t="shared" si="42"/>
        <v>0</v>
      </c>
      <c r="AJ20" s="487"/>
      <c r="AK20" s="507"/>
      <c r="AL20" s="479">
        <f t="shared" si="43"/>
        <v>0</v>
      </c>
      <c r="AM20" s="482">
        <f t="shared" si="44"/>
        <v>0</v>
      </c>
      <c r="AN20" s="487"/>
      <c r="AO20" s="488"/>
      <c r="AP20" s="487"/>
      <c r="AQ20" s="488"/>
      <c r="AR20" s="487"/>
      <c r="AS20" s="488"/>
      <c r="AT20" s="487"/>
      <c r="AU20" s="488"/>
      <c r="AV20" s="479">
        <f t="shared" si="45"/>
        <v>0</v>
      </c>
      <c r="AW20" s="483">
        <f t="shared" si="46"/>
        <v>0</v>
      </c>
      <c r="AX20" s="481">
        <f t="shared" si="47"/>
        <v>0</v>
      </c>
      <c r="AY20" s="484">
        <f t="shared" si="48"/>
        <v>0</v>
      </c>
      <c r="AZ20" s="485">
        <f t="shared" si="49"/>
        <v>2786.2</v>
      </c>
      <c r="BA20" s="481">
        <f t="shared" si="50"/>
        <v>2657.6333333333332</v>
      </c>
    </row>
    <row r="21" spans="1:53">
      <c r="A21" s="508" t="s">
        <v>226</v>
      </c>
      <c r="B21" s="490" t="s">
        <v>241</v>
      </c>
      <c r="C21" s="494" t="s">
        <v>608</v>
      </c>
      <c r="D21" s="499">
        <v>101240</v>
      </c>
      <c r="E21" s="504">
        <v>8</v>
      </c>
      <c r="F21" s="486" t="s">
        <v>41</v>
      </c>
      <c r="G21" s="529"/>
      <c r="H21" s="506"/>
      <c r="I21" s="488"/>
      <c r="J21" s="506">
        <v>65629</v>
      </c>
      <c r="K21" s="488">
        <v>56399</v>
      </c>
      <c r="L21" s="506">
        <v>25636</v>
      </c>
      <c r="M21" s="488">
        <v>22934</v>
      </c>
      <c r="N21" s="506">
        <v>60162</v>
      </c>
      <c r="O21" s="488">
        <v>59585</v>
      </c>
      <c r="P21" s="479">
        <f t="shared" si="33"/>
        <v>151427</v>
      </c>
      <c r="Q21" s="480">
        <f t="shared" si="34"/>
        <v>5047.5666666666666</v>
      </c>
      <c r="R21" s="481">
        <f t="shared" si="35"/>
        <v>138918</v>
      </c>
      <c r="S21" s="482">
        <f t="shared" si="36"/>
        <v>4630.6000000000004</v>
      </c>
      <c r="T21" s="506">
        <v>2848</v>
      </c>
      <c r="U21" s="507">
        <v>2869</v>
      </c>
      <c r="V21" s="479">
        <f t="shared" si="37"/>
        <v>151427</v>
      </c>
      <c r="W21" s="478">
        <f t="shared" si="38"/>
        <v>138918</v>
      </c>
      <c r="X21" s="506"/>
      <c r="Y21" s="488"/>
      <c r="Z21" s="506"/>
      <c r="AA21" s="488"/>
      <c r="AB21" s="506"/>
      <c r="AC21" s="488"/>
      <c r="AD21" s="506"/>
      <c r="AE21" s="507"/>
      <c r="AF21" s="479">
        <f t="shared" si="39"/>
        <v>0</v>
      </c>
      <c r="AG21" s="480">
        <f t="shared" si="40"/>
        <v>0</v>
      </c>
      <c r="AH21" s="481">
        <f t="shared" si="41"/>
        <v>0</v>
      </c>
      <c r="AI21" s="481">
        <f t="shared" si="42"/>
        <v>0</v>
      </c>
      <c r="AJ21" s="487"/>
      <c r="AK21" s="507"/>
      <c r="AL21" s="479">
        <f t="shared" si="43"/>
        <v>0</v>
      </c>
      <c r="AM21" s="482">
        <f t="shared" si="44"/>
        <v>0</v>
      </c>
      <c r="AN21" s="487"/>
      <c r="AO21" s="488"/>
      <c r="AP21" s="487"/>
      <c r="AQ21" s="488"/>
      <c r="AR21" s="487"/>
      <c r="AS21" s="488"/>
      <c r="AT21" s="487"/>
      <c r="AU21" s="488"/>
      <c r="AV21" s="479">
        <f t="shared" si="45"/>
        <v>0</v>
      </c>
      <c r="AW21" s="483">
        <f t="shared" si="46"/>
        <v>0</v>
      </c>
      <c r="AX21" s="481">
        <f t="shared" si="47"/>
        <v>0</v>
      </c>
      <c r="AY21" s="484">
        <f t="shared" si="48"/>
        <v>0</v>
      </c>
      <c r="AZ21" s="485">
        <f t="shared" si="49"/>
        <v>5047.5666666666666</v>
      </c>
      <c r="BA21" s="481">
        <f t="shared" si="50"/>
        <v>4630.6000000000004</v>
      </c>
    </row>
    <row r="22" spans="1:53">
      <c r="A22" s="489" t="s">
        <v>226</v>
      </c>
      <c r="B22" s="490" t="s">
        <v>242</v>
      </c>
      <c r="C22" s="496"/>
      <c r="D22" s="499">
        <v>101505</v>
      </c>
      <c r="E22" s="499">
        <v>8</v>
      </c>
      <c r="F22" s="486" t="s">
        <v>41</v>
      </c>
      <c r="G22" s="529"/>
      <c r="H22" s="506"/>
      <c r="I22" s="488"/>
      <c r="J22" s="506">
        <v>74288</v>
      </c>
      <c r="K22" s="488">
        <v>68911</v>
      </c>
      <c r="L22" s="506">
        <v>39473</v>
      </c>
      <c r="M22" s="488">
        <v>37089</v>
      </c>
      <c r="N22" s="506">
        <v>75268</v>
      </c>
      <c r="O22" s="488">
        <v>72385</v>
      </c>
      <c r="P22" s="479">
        <f t="shared" si="33"/>
        <v>189029</v>
      </c>
      <c r="Q22" s="480">
        <f t="shared" si="34"/>
        <v>6300.9666666666662</v>
      </c>
      <c r="R22" s="481">
        <f t="shared" si="35"/>
        <v>178385</v>
      </c>
      <c r="S22" s="482">
        <f t="shared" si="36"/>
        <v>5946.166666666667</v>
      </c>
      <c r="T22" s="506">
        <v>4722</v>
      </c>
      <c r="U22" s="507">
        <v>5103</v>
      </c>
      <c r="V22" s="479">
        <f t="shared" si="37"/>
        <v>189029</v>
      </c>
      <c r="W22" s="478">
        <f t="shared" si="38"/>
        <v>178385</v>
      </c>
      <c r="X22" s="506"/>
      <c r="Y22" s="488"/>
      <c r="Z22" s="506"/>
      <c r="AA22" s="488"/>
      <c r="AB22" s="506"/>
      <c r="AC22" s="488"/>
      <c r="AD22" s="506"/>
      <c r="AE22" s="507"/>
      <c r="AF22" s="479">
        <f t="shared" si="39"/>
        <v>0</v>
      </c>
      <c r="AG22" s="480">
        <f t="shared" si="40"/>
        <v>0</v>
      </c>
      <c r="AH22" s="481">
        <f t="shared" si="41"/>
        <v>0</v>
      </c>
      <c r="AI22" s="481">
        <f t="shared" si="42"/>
        <v>0</v>
      </c>
      <c r="AJ22" s="487"/>
      <c r="AK22" s="507"/>
      <c r="AL22" s="479">
        <f t="shared" si="43"/>
        <v>0</v>
      </c>
      <c r="AM22" s="482">
        <f t="shared" si="44"/>
        <v>0</v>
      </c>
      <c r="AN22" s="487"/>
      <c r="AO22" s="488"/>
      <c r="AP22" s="487"/>
      <c r="AQ22" s="488"/>
      <c r="AR22" s="487"/>
      <c r="AS22" s="488"/>
      <c r="AT22" s="487"/>
      <c r="AU22" s="488"/>
      <c r="AV22" s="479">
        <f t="shared" si="45"/>
        <v>0</v>
      </c>
      <c r="AW22" s="483">
        <f t="shared" si="46"/>
        <v>0</v>
      </c>
      <c r="AX22" s="481">
        <f t="shared" si="47"/>
        <v>0</v>
      </c>
      <c r="AY22" s="484">
        <f t="shared" si="48"/>
        <v>0</v>
      </c>
      <c r="AZ22" s="485">
        <f t="shared" si="49"/>
        <v>6300.9666666666662</v>
      </c>
      <c r="BA22" s="481">
        <f t="shared" si="50"/>
        <v>5946.166666666667</v>
      </c>
    </row>
    <row r="23" spans="1:53">
      <c r="A23" s="508" t="s">
        <v>226</v>
      </c>
      <c r="B23" s="490" t="s">
        <v>243</v>
      </c>
      <c r="C23" s="496"/>
      <c r="D23" s="499">
        <v>101514</v>
      </c>
      <c r="E23" s="499">
        <v>8</v>
      </c>
      <c r="F23" s="486" t="s">
        <v>41</v>
      </c>
      <c r="G23" s="529"/>
      <c r="H23" s="506"/>
      <c r="I23" s="488"/>
      <c r="J23" s="506">
        <v>101146</v>
      </c>
      <c r="K23" s="488">
        <v>94288</v>
      </c>
      <c r="L23" s="506">
        <v>43406</v>
      </c>
      <c r="M23" s="488">
        <v>41006</v>
      </c>
      <c r="N23" s="506">
        <v>102046</v>
      </c>
      <c r="O23" s="488">
        <v>101183</v>
      </c>
      <c r="P23" s="479">
        <f t="shared" si="33"/>
        <v>246598</v>
      </c>
      <c r="Q23" s="480">
        <f t="shared" si="34"/>
        <v>8219.9333333333325</v>
      </c>
      <c r="R23" s="481">
        <f t="shared" si="35"/>
        <v>236477</v>
      </c>
      <c r="S23" s="482">
        <f t="shared" si="36"/>
        <v>7882.5666666666666</v>
      </c>
      <c r="T23" s="506">
        <v>9766</v>
      </c>
      <c r="U23" s="507">
        <v>7824</v>
      </c>
      <c r="V23" s="479">
        <f t="shared" si="37"/>
        <v>246598</v>
      </c>
      <c r="W23" s="478">
        <f t="shared" si="38"/>
        <v>236477</v>
      </c>
      <c r="X23" s="506"/>
      <c r="Y23" s="488"/>
      <c r="Z23" s="506"/>
      <c r="AA23" s="488"/>
      <c r="AB23" s="506"/>
      <c r="AC23" s="488"/>
      <c r="AD23" s="506"/>
      <c r="AE23" s="507"/>
      <c r="AF23" s="479">
        <f t="shared" si="39"/>
        <v>0</v>
      </c>
      <c r="AG23" s="480">
        <f t="shared" si="40"/>
        <v>0</v>
      </c>
      <c r="AH23" s="481">
        <f t="shared" si="41"/>
        <v>0</v>
      </c>
      <c r="AI23" s="481">
        <f t="shared" si="42"/>
        <v>0</v>
      </c>
      <c r="AJ23" s="487"/>
      <c r="AK23" s="507"/>
      <c r="AL23" s="479">
        <f t="shared" si="43"/>
        <v>0</v>
      </c>
      <c r="AM23" s="482">
        <f t="shared" si="44"/>
        <v>0</v>
      </c>
      <c r="AN23" s="487"/>
      <c r="AO23" s="488"/>
      <c r="AP23" s="487"/>
      <c r="AQ23" s="488"/>
      <c r="AR23" s="487"/>
      <c r="AS23" s="488"/>
      <c r="AT23" s="487"/>
      <c r="AU23" s="488"/>
      <c r="AV23" s="479">
        <f t="shared" si="45"/>
        <v>0</v>
      </c>
      <c r="AW23" s="483">
        <f t="shared" si="46"/>
        <v>0</v>
      </c>
      <c r="AX23" s="481">
        <f t="shared" si="47"/>
        <v>0</v>
      </c>
      <c r="AY23" s="484">
        <f t="shared" si="48"/>
        <v>0</v>
      </c>
      <c r="AZ23" s="485">
        <f t="shared" si="49"/>
        <v>8219.9333333333325</v>
      </c>
      <c r="BA23" s="481">
        <f t="shared" si="50"/>
        <v>7882.5666666666666</v>
      </c>
    </row>
    <row r="24" spans="1:53">
      <c r="A24" s="508" t="s">
        <v>226</v>
      </c>
      <c r="B24" s="490" t="s">
        <v>244</v>
      </c>
      <c r="C24" s="494" t="s">
        <v>609</v>
      </c>
      <c r="D24" s="499">
        <v>101295</v>
      </c>
      <c r="E24" s="504">
        <v>8</v>
      </c>
      <c r="F24" s="486" t="s">
        <v>41</v>
      </c>
      <c r="G24" s="529"/>
      <c r="H24" s="506"/>
      <c r="I24" s="488"/>
      <c r="J24" s="506">
        <v>59866</v>
      </c>
      <c r="K24" s="488">
        <v>53640</v>
      </c>
      <c r="L24" s="506">
        <v>27052</v>
      </c>
      <c r="M24" s="488">
        <v>22236</v>
      </c>
      <c r="N24" s="506">
        <v>59667</v>
      </c>
      <c r="O24" s="488">
        <v>57357</v>
      </c>
      <c r="P24" s="479">
        <f t="shared" si="33"/>
        <v>146585</v>
      </c>
      <c r="Q24" s="480">
        <f t="shared" si="34"/>
        <v>4886.166666666667</v>
      </c>
      <c r="R24" s="481">
        <f t="shared" si="35"/>
        <v>133233</v>
      </c>
      <c r="S24" s="482">
        <f t="shared" si="36"/>
        <v>4441.1000000000004</v>
      </c>
      <c r="T24" s="506">
        <v>5314</v>
      </c>
      <c r="U24" s="507">
        <v>5228</v>
      </c>
      <c r="V24" s="479">
        <f t="shared" si="37"/>
        <v>146585</v>
      </c>
      <c r="W24" s="478">
        <f t="shared" si="38"/>
        <v>133233</v>
      </c>
      <c r="X24" s="506"/>
      <c r="Y24" s="488"/>
      <c r="Z24" s="506"/>
      <c r="AA24" s="488"/>
      <c r="AB24" s="506"/>
      <c r="AC24" s="488"/>
      <c r="AD24" s="506"/>
      <c r="AE24" s="507"/>
      <c r="AF24" s="479">
        <f t="shared" si="39"/>
        <v>0</v>
      </c>
      <c r="AG24" s="480">
        <f t="shared" si="40"/>
        <v>0</v>
      </c>
      <c r="AH24" s="481">
        <f t="shared" si="41"/>
        <v>0</v>
      </c>
      <c r="AI24" s="481">
        <f t="shared" si="42"/>
        <v>0</v>
      </c>
      <c r="AJ24" s="487"/>
      <c r="AK24" s="507"/>
      <c r="AL24" s="479">
        <f t="shared" si="43"/>
        <v>0</v>
      </c>
      <c r="AM24" s="482">
        <f t="shared" si="44"/>
        <v>0</v>
      </c>
      <c r="AN24" s="487"/>
      <c r="AO24" s="488"/>
      <c r="AP24" s="487"/>
      <c r="AQ24" s="488"/>
      <c r="AR24" s="487"/>
      <c r="AS24" s="488"/>
      <c r="AT24" s="487"/>
      <c r="AU24" s="488"/>
      <c r="AV24" s="479">
        <f t="shared" si="45"/>
        <v>0</v>
      </c>
      <c r="AW24" s="483">
        <f t="shared" si="46"/>
        <v>0</v>
      </c>
      <c r="AX24" s="481">
        <f t="shared" si="47"/>
        <v>0</v>
      </c>
      <c r="AY24" s="484">
        <f t="shared" si="48"/>
        <v>0</v>
      </c>
      <c r="AZ24" s="485">
        <f t="shared" si="49"/>
        <v>4886.166666666667</v>
      </c>
      <c r="BA24" s="481">
        <f t="shared" si="50"/>
        <v>4441.1000000000004</v>
      </c>
    </row>
    <row r="25" spans="1:53">
      <c r="A25" s="508" t="s">
        <v>226</v>
      </c>
      <c r="B25" s="490" t="s">
        <v>245</v>
      </c>
      <c r="C25" s="496"/>
      <c r="D25" s="499">
        <v>102429</v>
      </c>
      <c r="E25" s="499">
        <v>9</v>
      </c>
      <c r="F25" s="486" t="s">
        <v>41</v>
      </c>
      <c r="G25" s="529"/>
      <c r="H25" s="506"/>
      <c r="I25" s="488"/>
      <c r="J25" s="506">
        <v>37298</v>
      </c>
      <c r="K25" s="488">
        <v>34741</v>
      </c>
      <c r="L25" s="506">
        <v>16306</v>
      </c>
      <c r="M25" s="488">
        <v>15485</v>
      </c>
      <c r="N25" s="506">
        <v>38890</v>
      </c>
      <c r="O25" s="488">
        <v>36216</v>
      </c>
      <c r="P25" s="479">
        <f t="shared" si="33"/>
        <v>92494</v>
      </c>
      <c r="Q25" s="480">
        <f t="shared" si="34"/>
        <v>3083.1333333333332</v>
      </c>
      <c r="R25" s="481">
        <f t="shared" si="35"/>
        <v>86442</v>
      </c>
      <c r="S25" s="482">
        <f t="shared" si="36"/>
        <v>2881.4</v>
      </c>
      <c r="T25" s="506">
        <v>2066</v>
      </c>
      <c r="U25" s="507">
        <v>2567</v>
      </c>
      <c r="V25" s="479">
        <f t="shared" si="37"/>
        <v>92494</v>
      </c>
      <c r="W25" s="478">
        <f t="shared" si="38"/>
        <v>86442</v>
      </c>
      <c r="X25" s="506"/>
      <c r="Y25" s="488"/>
      <c r="Z25" s="506"/>
      <c r="AA25" s="488"/>
      <c r="AB25" s="506"/>
      <c r="AC25" s="488"/>
      <c r="AD25" s="506"/>
      <c r="AE25" s="507"/>
      <c r="AF25" s="479">
        <f t="shared" si="39"/>
        <v>0</v>
      </c>
      <c r="AG25" s="480">
        <f t="shared" si="40"/>
        <v>0</v>
      </c>
      <c r="AH25" s="481">
        <f t="shared" si="41"/>
        <v>0</v>
      </c>
      <c r="AI25" s="481">
        <f t="shared" si="42"/>
        <v>0</v>
      </c>
      <c r="AJ25" s="487"/>
      <c r="AK25" s="507"/>
      <c r="AL25" s="479">
        <f t="shared" si="43"/>
        <v>0</v>
      </c>
      <c r="AM25" s="482">
        <f t="shared" si="44"/>
        <v>0</v>
      </c>
      <c r="AN25" s="487"/>
      <c r="AO25" s="488"/>
      <c r="AP25" s="487"/>
      <c r="AQ25" s="488"/>
      <c r="AR25" s="487"/>
      <c r="AS25" s="488"/>
      <c r="AT25" s="487"/>
      <c r="AU25" s="488"/>
      <c r="AV25" s="479">
        <f t="shared" si="45"/>
        <v>0</v>
      </c>
      <c r="AW25" s="483">
        <f t="shared" si="46"/>
        <v>0</v>
      </c>
      <c r="AX25" s="481">
        <f t="shared" si="47"/>
        <v>0</v>
      </c>
      <c r="AY25" s="484">
        <f t="shared" si="48"/>
        <v>0</v>
      </c>
      <c r="AZ25" s="485">
        <f t="shared" si="49"/>
        <v>3083.1333333333332</v>
      </c>
      <c r="BA25" s="481">
        <f t="shared" si="50"/>
        <v>2881.4</v>
      </c>
    </row>
    <row r="26" spans="1:53">
      <c r="A26" s="508" t="s">
        <v>226</v>
      </c>
      <c r="B26" s="491" t="s">
        <v>246</v>
      </c>
      <c r="C26" s="497"/>
      <c r="D26" s="499">
        <v>102030</v>
      </c>
      <c r="E26" s="499">
        <v>9</v>
      </c>
      <c r="F26" s="486" t="s">
        <v>41</v>
      </c>
      <c r="G26" s="529"/>
      <c r="H26" s="506"/>
      <c r="I26" s="488"/>
      <c r="J26" s="506">
        <v>36732</v>
      </c>
      <c r="K26" s="488">
        <v>34127</v>
      </c>
      <c r="L26" s="506">
        <v>12916</v>
      </c>
      <c r="M26" s="488">
        <v>13348</v>
      </c>
      <c r="N26" s="506">
        <v>37181</v>
      </c>
      <c r="O26" s="488">
        <v>38396</v>
      </c>
      <c r="P26" s="479">
        <f t="shared" si="33"/>
        <v>86829</v>
      </c>
      <c r="Q26" s="480">
        <f t="shared" si="34"/>
        <v>2894.3</v>
      </c>
      <c r="R26" s="481">
        <f t="shared" si="35"/>
        <v>85871</v>
      </c>
      <c r="S26" s="482">
        <f t="shared" si="36"/>
        <v>2862.3666666666668</v>
      </c>
      <c r="T26" s="506">
        <v>3231</v>
      </c>
      <c r="U26" s="507">
        <v>3025</v>
      </c>
      <c r="V26" s="479">
        <f t="shared" si="37"/>
        <v>86829</v>
      </c>
      <c r="W26" s="478">
        <f t="shared" si="38"/>
        <v>85871</v>
      </c>
      <c r="X26" s="506"/>
      <c r="Y26" s="488"/>
      <c r="Z26" s="506"/>
      <c r="AA26" s="488"/>
      <c r="AB26" s="506"/>
      <c r="AC26" s="488"/>
      <c r="AD26" s="506"/>
      <c r="AE26" s="507"/>
      <c r="AF26" s="479">
        <f t="shared" si="39"/>
        <v>0</v>
      </c>
      <c r="AG26" s="480">
        <f t="shared" si="40"/>
        <v>0</v>
      </c>
      <c r="AH26" s="481">
        <f t="shared" si="41"/>
        <v>0</v>
      </c>
      <c r="AI26" s="481">
        <f t="shared" si="42"/>
        <v>0</v>
      </c>
      <c r="AJ26" s="487"/>
      <c r="AK26" s="507"/>
      <c r="AL26" s="479">
        <f t="shared" si="43"/>
        <v>0</v>
      </c>
      <c r="AM26" s="482">
        <f t="shared" si="44"/>
        <v>0</v>
      </c>
      <c r="AN26" s="487"/>
      <c r="AO26" s="488"/>
      <c r="AP26" s="487"/>
      <c r="AQ26" s="488"/>
      <c r="AR26" s="487"/>
      <c r="AS26" s="488"/>
      <c r="AT26" s="487"/>
      <c r="AU26" s="488"/>
      <c r="AV26" s="479">
        <f t="shared" si="45"/>
        <v>0</v>
      </c>
      <c r="AW26" s="483">
        <f t="shared" si="46"/>
        <v>0</v>
      </c>
      <c r="AX26" s="481">
        <f t="shared" si="47"/>
        <v>0</v>
      </c>
      <c r="AY26" s="484">
        <f t="shared" si="48"/>
        <v>0</v>
      </c>
      <c r="AZ26" s="485">
        <f t="shared" si="49"/>
        <v>2894.3</v>
      </c>
      <c r="BA26" s="481">
        <f t="shared" si="50"/>
        <v>2862.3666666666668</v>
      </c>
    </row>
    <row r="27" spans="1:53">
      <c r="A27" s="508" t="s">
        <v>226</v>
      </c>
      <c r="B27" s="492" t="s">
        <v>247</v>
      </c>
      <c r="C27" s="494" t="s">
        <v>610</v>
      </c>
      <c r="D27" s="499">
        <v>100760</v>
      </c>
      <c r="E27" s="504">
        <v>9</v>
      </c>
      <c r="F27" s="486" t="s">
        <v>41</v>
      </c>
      <c r="G27" s="529"/>
      <c r="H27" s="506"/>
      <c r="I27" s="488"/>
      <c r="J27" s="506">
        <v>23002</v>
      </c>
      <c r="K27" s="488">
        <v>17754</v>
      </c>
      <c r="L27" s="506">
        <v>8636</v>
      </c>
      <c r="M27" s="488">
        <v>6704</v>
      </c>
      <c r="N27" s="506">
        <v>20219</v>
      </c>
      <c r="O27" s="488">
        <v>18011</v>
      </c>
      <c r="P27" s="479">
        <f t="shared" si="33"/>
        <v>51857</v>
      </c>
      <c r="Q27" s="480">
        <f t="shared" si="34"/>
        <v>1728.5666666666666</v>
      </c>
      <c r="R27" s="481">
        <f t="shared" si="35"/>
        <v>42469</v>
      </c>
      <c r="S27" s="482">
        <f t="shared" si="36"/>
        <v>1415.6333333333334</v>
      </c>
      <c r="T27" s="506">
        <v>455</v>
      </c>
      <c r="U27" s="507">
        <v>1098</v>
      </c>
      <c r="V27" s="479">
        <f t="shared" si="37"/>
        <v>51857</v>
      </c>
      <c r="W27" s="478">
        <f t="shared" si="38"/>
        <v>42469</v>
      </c>
      <c r="X27" s="506"/>
      <c r="Y27" s="488"/>
      <c r="Z27" s="506"/>
      <c r="AA27" s="488"/>
      <c r="AB27" s="506"/>
      <c r="AC27" s="488"/>
      <c r="AD27" s="506"/>
      <c r="AE27" s="507"/>
      <c r="AF27" s="479">
        <f t="shared" si="39"/>
        <v>0</v>
      </c>
      <c r="AG27" s="480">
        <f t="shared" si="40"/>
        <v>0</v>
      </c>
      <c r="AH27" s="481">
        <f t="shared" si="41"/>
        <v>0</v>
      </c>
      <c r="AI27" s="481">
        <f t="shared" si="42"/>
        <v>0</v>
      </c>
      <c r="AJ27" s="487"/>
      <c r="AK27" s="507"/>
      <c r="AL27" s="479">
        <f t="shared" si="43"/>
        <v>0</v>
      </c>
      <c r="AM27" s="482">
        <f t="shared" si="44"/>
        <v>0</v>
      </c>
      <c r="AN27" s="487"/>
      <c r="AO27" s="488"/>
      <c r="AP27" s="487"/>
      <c r="AQ27" s="488"/>
      <c r="AR27" s="487"/>
      <c r="AS27" s="488"/>
      <c r="AT27" s="487"/>
      <c r="AU27" s="488"/>
      <c r="AV27" s="479">
        <f t="shared" si="45"/>
        <v>0</v>
      </c>
      <c r="AW27" s="483">
        <f t="shared" si="46"/>
        <v>0</v>
      </c>
      <c r="AX27" s="481">
        <f t="shared" si="47"/>
        <v>0</v>
      </c>
      <c r="AY27" s="484">
        <f t="shared" si="48"/>
        <v>0</v>
      </c>
      <c r="AZ27" s="485">
        <f t="shared" si="49"/>
        <v>1728.5666666666666</v>
      </c>
      <c r="BA27" s="481">
        <f t="shared" si="50"/>
        <v>1415.6333333333334</v>
      </c>
    </row>
    <row r="28" spans="1:53">
      <c r="A28" s="508" t="s">
        <v>226</v>
      </c>
      <c r="B28" s="492" t="s">
        <v>248</v>
      </c>
      <c r="C28" s="498"/>
      <c r="D28" s="499">
        <v>101143</v>
      </c>
      <c r="E28" s="504">
        <v>9</v>
      </c>
      <c r="F28" s="486" t="s">
        <v>41</v>
      </c>
      <c r="G28" s="529"/>
      <c r="H28" s="506"/>
      <c r="I28" s="488"/>
      <c r="J28" s="506">
        <v>29240</v>
      </c>
      <c r="K28" s="488">
        <v>25087</v>
      </c>
      <c r="L28" s="506">
        <v>12862</v>
      </c>
      <c r="M28" s="488">
        <v>9990</v>
      </c>
      <c r="N28" s="506">
        <v>27961</v>
      </c>
      <c r="O28" s="488">
        <v>25182</v>
      </c>
      <c r="P28" s="479">
        <f t="shared" si="33"/>
        <v>70063</v>
      </c>
      <c r="Q28" s="480">
        <f t="shared" si="34"/>
        <v>2335.4333333333334</v>
      </c>
      <c r="R28" s="481">
        <f t="shared" si="35"/>
        <v>60259</v>
      </c>
      <c r="S28" s="482">
        <f t="shared" si="36"/>
        <v>2008.6333333333334</v>
      </c>
      <c r="T28" s="506">
        <v>3088</v>
      </c>
      <c r="U28" s="507">
        <v>3803</v>
      </c>
      <c r="V28" s="479">
        <f t="shared" si="37"/>
        <v>70063</v>
      </c>
      <c r="W28" s="478">
        <f t="shared" si="38"/>
        <v>60259</v>
      </c>
      <c r="X28" s="506"/>
      <c r="Y28" s="488"/>
      <c r="Z28" s="506"/>
      <c r="AA28" s="488"/>
      <c r="AB28" s="506"/>
      <c r="AC28" s="488"/>
      <c r="AD28" s="506"/>
      <c r="AE28" s="507"/>
      <c r="AF28" s="479">
        <f t="shared" si="39"/>
        <v>0</v>
      </c>
      <c r="AG28" s="480">
        <f t="shared" si="40"/>
        <v>0</v>
      </c>
      <c r="AH28" s="481">
        <f t="shared" si="41"/>
        <v>0</v>
      </c>
      <c r="AI28" s="481">
        <f t="shared" si="42"/>
        <v>0</v>
      </c>
      <c r="AJ28" s="487"/>
      <c r="AK28" s="507"/>
      <c r="AL28" s="479">
        <f t="shared" si="43"/>
        <v>0</v>
      </c>
      <c r="AM28" s="482">
        <f t="shared" si="44"/>
        <v>0</v>
      </c>
      <c r="AN28" s="487"/>
      <c r="AO28" s="488"/>
      <c r="AP28" s="487"/>
      <c r="AQ28" s="488"/>
      <c r="AR28" s="487"/>
      <c r="AS28" s="488"/>
      <c r="AT28" s="487"/>
      <c r="AU28" s="488"/>
      <c r="AV28" s="479">
        <f t="shared" si="45"/>
        <v>0</v>
      </c>
      <c r="AW28" s="483">
        <f t="shared" si="46"/>
        <v>0</v>
      </c>
      <c r="AX28" s="481">
        <f t="shared" si="47"/>
        <v>0</v>
      </c>
      <c r="AY28" s="484">
        <f t="shared" si="48"/>
        <v>0</v>
      </c>
      <c r="AZ28" s="485">
        <f t="shared" si="49"/>
        <v>2335.4333333333334</v>
      </c>
      <c r="BA28" s="481">
        <f t="shared" si="50"/>
        <v>2008.6333333333334</v>
      </c>
    </row>
    <row r="29" spans="1:53">
      <c r="A29" s="508" t="s">
        <v>226</v>
      </c>
      <c r="B29" s="490" t="s">
        <v>249</v>
      </c>
      <c r="C29" s="496"/>
      <c r="D29" s="499">
        <v>101286</v>
      </c>
      <c r="E29" s="499">
        <v>9</v>
      </c>
      <c r="F29" s="486" t="s">
        <v>41</v>
      </c>
      <c r="G29" s="529"/>
      <c r="H29" s="506"/>
      <c r="I29" s="488"/>
      <c r="J29" s="506">
        <v>43429</v>
      </c>
      <c r="K29" s="488">
        <v>42480</v>
      </c>
      <c r="L29" s="506">
        <v>21192</v>
      </c>
      <c r="M29" s="488">
        <v>20701</v>
      </c>
      <c r="N29" s="506">
        <v>45168</v>
      </c>
      <c r="O29" s="488">
        <v>45807</v>
      </c>
      <c r="P29" s="479">
        <f t="shared" si="33"/>
        <v>109789</v>
      </c>
      <c r="Q29" s="480">
        <f t="shared" si="34"/>
        <v>3659.6333333333332</v>
      </c>
      <c r="R29" s="481">
        <f t="shared" si="35"/>
        <v>108988</v>
      </c>
      <c r="S29" s="482">
        <f t="shared" si="36"/>
        <v>3632.9333333333334</v>
      </c>
      <c r="T29" s="506">
        <v>2666</v>
      </c>
      <c r="U29" s="507">
        <v>3092</v>
      </c>
      <c r="V29" s="479">
        <f t="shared" si="37"/>
        <v>109789</v>
      </c>
      <c r="W29" s="478">
        <f t="shared" si="38"/>
        <v>108988</v>
      </c>
      <c r="X29" s="506"/>
      <c r="Y29" s="488"/>
      <c r="Z29" s="506"/>
      <c r="AA29" s="488"/>
      <c r="AB29" s="506"/>
      <c r="AC29" s="488"/>
      <c r="AD29" s="506"/>
      <c r="AE29" s="507"/>
      <c r="AF29" s="479">
        <f t="shared" si="39"/>
        <v>0</v>
      </c>
      <c r="AG29" s="480">
        <f t="shared" si="40"/>
        <v>0</v>
      </c>
      <c r="AH29" s="481">
        <f t="shared" si="41"/>
        <v>0</v>
      </c>
      <c r="AI29" s="481">
        <f t="shared" si="42"/>
        <v>0</v>
      </c>
      <c r="AJ29" s="487"/>
      <c r="AK29" s="507"/>
      <c r="AL29" s="479">
        <f t="shared" si="43"/>
        <v>0</v>
      </c>
      <c r="AM29" s="482">
        <f t="shared" si="44"/>
        <v>0</v>
      </c>
      <c r="AN29" s="487"/>
      <c r="AO29" s="488"/>
      <c r="AP29" s="487"/>
      <c r="AQ29" s="488"/>
      <c r="AR29" s="487"/>
      <c r="AS29" s="488"/>
      <c r="AT29" s="487"/>
      <c r="AU29" s="488"/>
      <c r="AV29" s="479">
        <f t="shared" si="45"/>
        <v>0</v>
      </c>
      <c r="AW29" s="483">
        <f t="shared" si="46"/>
        <v>0</v>
      </c>
      <c r="AX29" s="481">
        <f t="shared" si="47"/>
        <v>0</v>
      </c>
      <c r="AY29" s="484">
        <f t="shared" si="48"/>
        <v>0</v>
      </c>
      <c r="AZ29" s="485">
        <f t="shared" si="49"/>
        <v>3659.6333333333332</v>
      </c>
      <c r="BA29" s="481">
        <f t="shared" si="50"/>
        <v>3632.9333333333334</v>
      </c>
    </row>
    <row r="30" spans="1:53">
      <c r="A30" s="508" t="s">
        <v>226</v>
      </c>
      <c r="B30" s="490" t="s">
        <v>250</v>
      </c>
      <c r="C30" s="496"/>
      <c r="D30" s="499">
        <v>101161</v>
      </c>
      <c r="E30" s="499">
        <v>9</v>
      </c>
      <c r="F30" s="486" t="s">
        <v>41</v>
      </c>
      <c r="G30" s="529"/>
      <c r="H30" s="506"/>
      <c r="I30" s="488"/>
      <c r="J30" s="506">
        <v>48541</v>
      </c>
      <c r="K30" s="488">
        <v>45192</v>
      </c>
      <c r="L30" s="506">
        <v>20014</v>
      </c>
      <c r="M30" s="488">
        <v>18230</v>
      </c>
      <c r="N30" s="506">
        <v>47713</v>
      </c>
      <c r="O30" s="488">
        <v>48163</v>
      </c>
      <c r="P30" s="479">
        <f t="shared" si="33"/>
        <v>116268</v>
      </c>
      <c r="Q30" s="480">
        <f t="shared" si="34"/>
        <v>3875.6</v>
      </c>
      <c r="R30" s="481">
        <f t="shared" si="35"/>
        <v>111585</v>
      </c>
      <c r="S30" s="482">
        <f t="shared" si="36"/>
        <v>3719.5</v>
      </c>
      <c r="T30" s="506">
        <v>2813</v>
      </c>
      <c r="U30" s="507">
        <v>2719</v>
      </c>
      <c r="V30" s="479">
        <f t="shared" si="37"/>
        <v>116268</v>
      </c>
      <c r="W30" s="478">
        <f t="shared" si="38"/>
        <v>111585</v>
      </c>
      <c r="X30" s="506"/>
      <c r="Y30" s="488"/>
      <c r="Z30" s="506"/>
      <c r="AA30" s="488"/>
      <c r="AB30" s="506"/>
      <c r="AC30" s="488"/>
      <c r="AD30" s="506"/>
      <c r="AE30" s="507"/>
      <c r="AF30" s="479">
        <f t="shared" si="39"/>
        <v>0</v>
      </c>
      <c r="AG30" s="480">
        <f t="shared" si="40"/>
        <v>0</v>
      </c>
      <c r="AH30" s="481">
        <f t="shared" si="41"/>
        <v>0</v>
      </c>
      <c r="AI30" s="481">
        <f t="shared" si="42"/>
        <v>0</v>
      </c>
      <c r="AJ30" s="487"/>
      <c r="AK30" s="507"/>
      <c r="AL30" s="479">
        <f t="shared" si="43"/>
        <v>0</v>
      </c>
      <c r="AM30" s="482">
        <f t="shared" si="44"/>
        <v>0</v>
      </c>
      <c r="AN30" s="487"/>
      <c r="AO30" s="488"/>
      <c r="AP30" s="487"/>
      <c r="AQ30" s="488"/>
      <c r="AR30" s="487"/>
      <c r="AS30" s="488"/>
      <c r="AT30" s="487"/>
      <c r="AU30" s="488"/>
      <c r="AV30" s="479">
        <f t="shared" si="45"/>
        <v>0</v>
      </c>
      <c r="AW30" s="483">
        <f t="shared" si="46"/>
        <v>0</v>
      </c>
      <c r="AX30" s="481">
        <f t="shared" si="47"/>
        <v>0</v>
      </c>
      <c r="AY30" s="484">
        <f t="shared" si="48"/>
        <v>0</v>
      </c>
      <c r="AZ30" s="485">
        <f t="shared" si="49"/>
        <v>3875.6</v>
      </c>
      <c r="BA30" s="481">
        <f t="shared" si="50"/>
        <v>3719.5</v>
      </c>
    </row>
    <row r="31" spans="1:53">
      <c r="A31" s="508" t="s">
        <v>226</v>
      </c>
      <c r="B31" s="490" t="s">
        <v>251</v>
      </c>
      <c r="C31" s="496"/>
      <c r="D31" s="499">
        <v>101569</v>
      </c>
      <c r="E31" s="499">
        <v>9</v>
      </c>
      <c r="F31" s="486" t="s">
        <v>41</v>
      </c>
      <c r="G31" s="529"/>
      <c r="H31" s="506"/>
      <c r="I31" s="488"/>
      <c r="J31" s="506">
        <v>39365</v>
      </c>
      <c r="K31" s="488">
        <v>32698</v>
      </c>
      <c r="L31" s="506">
        <v>12916</v>
      </c>
      <c r="M31" s="488">
        <v>12314</v>
      </c>
      <c r="N31" s="506">
        <v>35848</v>
      </c>
      <c r="O31" s="488">
        <v>32489</v>
      </c>
      <c r="P31" s="479">
        <f t="shared" si="33"/>
        <v>88129</v>
      </c>
      <c r="Q31" s="480">
        <f t="shared" si="34"/>
        <v>2937.6333333333332</v>
      </c>
      <c r="R31" s="481">
        <f t="shared" si="35"/>
        <v>77501</v>
      </c>
      <c r="S31" s="482">
        <f t="shared" si="36"/>
        <v>2583.3666666666668</v>
      </c>
      <c r="T31" s="506">
        <v>840</v>
      </c>
      <c r="U31" s="507">
        <v>680</v>
      </c>
      <c r="V31" s="479">
        <f t="shared" si="37"/>
        <v>88129</v>
      </c>
      <c r="W31" s="478">
        <f t="shared" si="38"/>
        <v>77501</v>
      </c>
      <c r="X31" s="506"/>
      <c r="Y31" s="488"/>
      <c r="Z31" s="506"/>
      <c r="AA31" s="488"/>
      <c r="AB31" s="506"/>
      <c r="AC31" s="488"/>
      <c r="AD31" s="506"/>
      <c r="AE31" s="507"/>
      <c r="AF31" s="479">
        <f t="shared" si="39"/>
        <v>0</v>
      </c>
      <c r="AG31" s="480">
        <f t="shared" si="40"/>
        <v>0</v>
      </c>
      <c r="AH31" s="481">
        <f t="shared" si="41"/>
        <v>0</v>
      </c>
      <c r="AI31" s="481">
        <f t="shared" si="42"/>
        <v>0</v>
      </c>
      <c r="AJ31" s="487"/>
      <c r="AK31" s="507"/>
      <c r="AL31" s="479">
        <f t="shared" si="43"/>
        <v>0</v>
      </c>
      <c r="AM31" s="482">
        <f t="shared" si="44"/>
        <v>0</v>
      </c>
      <c r="AN31" s="487"/>
      <c r="AO31" s="488"/>
      <c r="AP31" s="487"/>
      <c r="AQ31" s="488"/>
      <c r="AR31" s="487"/>
      <c r="AS31" s="488"/>
      <c r="AT31" s="487"/>
      <c r="AU31" s="488"/>
      <c r="AV31" s="479">
        <f t="shared" si="45"/>
        <v>0</v>
      </c>
      <c r="AW31" s="483">
        <f t="shared" si="46"/>
        <v>0</v>
      </c>
      <c r="AX31" s="481">
        <f t="shared" si="47"/>
        <v>0</v>
      </c>
      <c r="AY31" s="484">
        <f t="shared" si="48"/>
        <v>0</v>
      </c>
      <c r="AZ31" s="485">
        <f t="shared" si="49"/>
        <v>2937.6333333333332</v>
      </c>
      <c r="BA31" s="481">
        <f t="shared" si="50"/>
        <v>2583.3666666666668</v>
      </c>
    </row>
    <row r="32" spans="1:53">
      <c r="A32" s="489" t="s">
        <v>226</v>
      </c>
      <c r="B32" s="493" t="s">
        <v>252</v>
      </c>
      <c r="C32" s="497"/>
      <c r="D32" s="504">
        <v>101897</v>
      </c>
      <c r="E32" s="504">
        <v>9</v>
      </c>
      <c r="F32" s="486" t="s">
        <v>41</v>
      </c>
      <c r="G32" s="529"/>
      <c r="H32" s="506"/>
      <c r="I32" s="488"/>
      <c r="J32" s="506">
        <v>30649</v>
      </c>
      <c r="K32" s="488">
        <v>29166</v>
      </c>
      <c r="L32" s="506">
        <v>13647</v>
      </c>
      <c r="M32" s="488">
        <v>11793</v>
      </c>
      <c r="N32" s="506">
        <v>31300</v>
      </c>
      <c r="O32" s="488">
        <v>27962</v>
      </c>
      <c r="P32" s="479">
        <f t="shared" si="33"/>
        <v>75596</v>
      </c>
      <c r="Q32" s="480">
        <f t="shared" si="34"/>
        <v>2519.8666666666668</v>
      </c>
      <c r="R32" s="481">
        <f t="shared" si="35"/>
        <v>68921</v>
      </c>
      <c r="S32" s="482">
        <f t="shared" si="36"/>
        <v>2297.3666666666668</v>
      </c>
      <c r="T32" s="506">
        <v>3917</v>
      </c>
      <c r="U32" s="507">
        <v>4267</v>
      </c>
      <c r="V32" s="479">
        <f t="shared" si="37"/>
        <v>75596</v>
      </c>
      <c r="W32" s="478">
        <f t="shared" si="38"/>
        <v>68921</v>
      </c>
      <c r="X32" s="506"/>
      <c r="Y32" s="488"/>
      <c r="Z32" s="506"/>
      <c r="AA32" s="488"/>
      <c r="AB32" s="506"/>
      <c r="AC32" s="488"/>
      <c r="AD32" s="506"/>
      <c r="AE32" s="507"/>
      <c r="AF32" s="479">
        <f t="shared" si="39"/>
        <v>0</v>
      </c>
      <c r="AG32" s="480">
        <f t="shared" si="40"/>
        <v>0</v>
      </c>
      <c r="AH32" s="481">
        <f t="shared" si="41"/>
        <v>0</v>
      </c>
      <c r="AI32" s="481">
        <f t="shared" si="42"/>
        <v>0</v>
      </c>
      <c r="AJ32" s="487"/>
      <c r="AK32" s="507"/>
      <c r="AL32" s="479">
        <f t="shared" si="43"/>
        <v>0</v>
      </c>
      <c r="AM32" s="482">
        <f t="shared" si="44"/>
        <v>0</v>
      </c>
      <c r="AN32" s="487"/>
      <c r="AO32" s="488"/>
      <c r="AP32" s="487"/>
      <c r="AQ32" s="488"/>
      <c r="AR32" s="487"/>
      <c r="AS32" s="488"/>
      <c r="AT32" s="487"/>
      <c r="AU32" s="488"/>
      <c r="AV32" s="479">
        <f t="shared" si="45"/>
        <v>0</v>
      </c>
      <c r="AW32" s="483">
        <f t="shared" si="46"/>
        <v>0</v>
      </c>
      <c r="AX32" s="481">
        <f t="shared" si="47"/>
        <v>0</v>
      </c>
      <c r="AY32" s="484">
        <f t="shared" si="48"/>
        <v>0</v>
      </c>
      <c r="AZ32" s="485">
        <f t="shared" si="49"/>
        <v>2519.8666666666668</v>
      </c>
      <c r="BA32" s="481">
        <f t="shared" si="50"/>
        <v>2297.3666666666668</v>
      </c>
    </row>
    <row r="33" spans="1:53">
      <c r="A33" s="489" t="s">
        <v>226</v>
      </c>
      <c r="B33" s="490" t="s">
        <v>253</v>
      </c>
      <c r="C33" s="496"/>
      <c r="D33" s="499">
        <v>101736</v>
      </c>
      <c r="E33" s="499">
        <v>9</v>
      </c>
      <c r="F33" s="486" t="s">
        <v>41</v>
      </c>
      <c r="G33" s="529"/>
      <c r="H33" s="506"/>
      <c r="I33" s="488"/>
      <c r="J33" s="506">
        <v>34653</v>
      </c>
      <c r="K33" s="488">
        <v>32325</v>
      </c>
      <c r="L33" s="506">
        <v>13315</v>
      </c>
      <c r="M33" s="488">
        <v>12735</v>
      </c>
      <c r="N33" s="506">
        <v>36130</v>
      </c>
      <c r="O33" s="488">
        <v>36289</v>
      </c>
      <c r="P33" s="479">
        <f t="shared" si="33"/>
        <v>84098</v>
      </c>
      <c r="Q33" s="480">
        <f t="shared" si="34"/>
        <v>2803.2666666666669</v>
      </c>
      <c r="R33" s="481">
        <f t="shared" si="35"/>
        <v>81349</v>
      </c>
      <c r="S33" s="482">
        <f t="shared" si="36"/>
        <v>2711.6333333333332</v>
      </c>
      <c r="T33" s="506">
        <v>4002</v>
      </c>
      <c r="U33" s="507">
        <v>4328</v>
      </c>
      <c r="V33" s="479">
        <f t="shared" si="37"/>
        <v>84098</v>
      </c>
      <c r="W33" s="478">
        <f t="shared" si="38"/>
        <v>81349</v>
      </c>
      <c r="X33" s="506"/>
      <c r="Y33" s="488"/>
      <c r="Z33" s="506"/>
      <c r="AA33" s="488"/>
      <c r="AB33" s="506"/>
      <c r="AC33" s="488"/>
      <c r="AD33" s="506"/>
      <c r="AE33" s="507"/>
      <c r="AF33" s="479">
        <f t="shared" si="39"/>
        <v>0</v>
      </c>
      <c r="AG33" s="480">
        <f t="shared" si="40"/>
        <v>0</v>
      </c>
      <c r="AH33" s="481">
        <f t="shared" si="41"/>
        <v>0</v>
      </c>
      <c r="AI33" s="481">
        <f t="shared" si="42"/>
        <v>0</v>
      </c>
      <c r="AJ33" s="487"/>
      <c r="AK33" s="507"/>
      <c r="AL33" s="479">
        <f t="shared" si="43"/>
        <v>0</v>
      </c>
      <c r="AM33" s="482">
        <f t="shared" si="44"/>
        <v>0</v>
      </c>
      <c r="AN33" s="487"/>
      <c r="AO33" s="488"/>
      <c r="AP33" s="487"/>
      <c r="AQ33" s="488"/>
      <c r="AR33" s="487"/>
      <c r="AS33" s="488"/>
      <c r="AT33" s="487"/>
      <c r="AU33" s="488"/>
      <c r="AV33" s="479">
        <f t="shared" si="45"/>
        <v>0</v>
      </c>
      <c r="AW33" s="483">
        <f t="shared" si="46"/>
        <v>0</v>
      </c>
      <c r="AX33" s="481">
        <f t="shared" si="47"/>
        <v>0</v>
      </c>
      <c r="AY33" s="484">
        <f t="shared" si="48"/>
        <v>0</v>
      </c>
      <c r="AZ33" s="485">
        <f t="shared" si="49"/>
        <v>2803.2666666666669</v>
      </c>
      <c r="BA33" s="481">
        <f t="shared" si="50"/>
        <v>2711.6333333333332</v>
      </c>
    </row>
    <row r="34" spans="1:53">
      <c r="A34" s="489" t="s">
        <v>226</v>
      </c>
      <c r="B34" s="490" t="s">
        <v>254</v>
      </c>
      <c r="C34" s="495"/>
      <c r="D34" s="499">
        <v>102067</v>
      </c>
      <c r="E34" s="499">
        <v>9</v>
      </c>
      <c r="F34" s="486" t="s">
        <v>41</v>
      </c>
      <c r="G34" s="529"/>
      <c r="H34" s="506"/>
      <c r="I34" s="488"/>
      <c r="J34" s="506">
        <v>48990</v>
      </c>
      <c r="K34" s="488">
        <v>48172</v>
      </c>
      <c r="L34" s="506">
        <v>22752</v>
      </c>
      <c r="M34" s="488">
        <v>22682</v>
      </c>
      <c r="N34" s="506">
        <v>52247</v>
      </c>
      <c r="O34" s="488">
        <v>50746</v>
      </c>
      <c r="P34" s="479">
        <f t="shared" si="33"/>
        <v>123989</v>
      </c>
      <c r="Q34" s="480">
        <f t="shared" si="34"/>
        <v>4132.9666666666662</v>
      </c>
      <c r="R34" s="481">
        <f t="shared" si="35"/>
        <v>121600</v>
      </c>
      <c r="S34" s="482">
        <f t="shared" si="36"/>
        <v>4053.3333333333335</v>
      </c>
      <c r="T34" s="506">
        <v>501</v>
      </c>
      <c r="U34" s="507">
        <v>437</v>
      </c>
      <c r="V34" s="479">
        <f t="shared" si="37"/>
        <v>123989</v>
      </c>
      <c r="W34" s="478">
        <f t="shared" si="38"/>
        <v>121600</v>
      </c>
      <c r="X34" s="506"/>
      <c r="Y34" s="488"/>
      <c r="Z34" s="506"/>
      <c r="AA34" s="488"/>
      <c r="AB34" s="506"/>
      <c r="AC34" s="488"/>
      <c r="AD34" s="506"/>
      <c r="AE34" s="507"/>
      <c r="AF34" s="479">
        <f t="shared" si="39"/>
        <v>0</v>
      </c>
      <c r="AG34" s="480">
        <f t="shared" si="40"/>
        <v>0</v>
      </c>
      <c r="AH34" s="481">
        <f t="shared" si="41"/>
        <v>0</v>
      </c>
      <c r="AI34" s="481">
        <f t="shared" si="42"/>
        <v>0</v>
      </c>
      <c r="AJ34" s="487"/>
      <c r="AK34" s="507"/>
      <c r="AL34" s="479">
        <f t="shared" si="43"/>
        <v>0</v>
      </c>
      <c r="AM34" s="482">
        <f t="shared" si="44"/>
        <v>0</v>
      </c>
      <c r="AN34" s="487"/>
      <c r="AO34" s="488"/>
      <c r="AP34" s="487"/>
      <c r="AQ34" s="488"/>
      <c r="AR34" s="487"/>
      <c r="AS34" s="488"/>
      <c r="AT34" s="487"/>
      <c r="AU34" s="488"/>
      <c r="AV34" s="479">
        <f t="shared" si="45"/>
        <v>0</v>
      </c>
      <c r="AW34" s="483">
        <f t="shared" si="46"/>
        <v>0</v>
      </c>
      <c r="AX34" s="481">
        <f t="shared" si="47"/>
        <v>0</v>
      </c>
      <c r="AY34" s="484">
        <f t="shared" si="48"/>
        <v>0</v>
      </c>
      <c r="AZ34" s="485">
        <f t="shared" si="49"/>
        <v>4132.9666666666662</v>
      </c>
      <c r="BA34" s="481">
        <f t="shared" si="50"/>
        <v>4053.3333333333335</v>
      </c>
    </row>
    <row r="35" spans="1:53">
      <c r="A35" s="489" t="s">
        <v>226</v>
      </c>
      <c r="B35" s="490" t="s">
        <v>255</v>
      </c>
      <c r="C35" s="496"/>
      <c r="D35" s="499">
        <v>251260</v>
      </c>
      <c r="E35" s="499">
        <v>9</v>
      </c>
      <c r="F35" s="486" t="s">
        <v>41</v>
      </c>
      <c r="G35" s="529"/>
      <c r="H35" s="506"/>
      <c r="I35" s="488"/>
      <c r="J35" s="506">
        <v>52038</v>
      </c>
      <c r="K35" s="488">
        <v>49665</v>
      </c>
      <c r="L35" s="506">
        <v>21824</v>
      </c>
      <c r="M35" s="488">
        <v>19863</v>
      </c>
      <c r="N35" s="506">
        <v>54079</v>
      </c>
      <c r="O35" s="488">
        <v>51771</v>
      </c>
      <c r="P35" s="479">
        <f t="shared" si="33"/>
        <v>127941</v>
      </c>
      <c r="Q35" s="480">
        <f t="shared" si="34"/>
        <v>4264.7</v>
      </c>
      <c r="R35" s="481">
        <f t="shared" si="35"/>
        <v>121299</v>
      </c>
      <c r="S35" s="482">
        <f t="shared" si="36"/>
        <v>4043.3</v>
      </c>
      <c r="T35" s="506">
        <v>799</v>
      </c>
      <c r="U35" s="507">
        <v>814</v>
      </c>
      <c r="V35" s="479">
        <f t="shared" si="37"/>
        <v>127941</v>
      </c>
      <c r="W35" s="478">
        <f t="shared" si="38"/>
        <v>121299</v>
      </c>
      <c r="X35" s="506"/>
      <c r="Y35" s="488"/>
      <c r="Z35" s="506"/>
      <c r="AA35" s="488"/>
      <c r="AB35" s="506"/>
      <c r="AC35" s="488"/>
      <c r="AD35" s="506"/>
      <c r="AE35" s="507"/>
      <c r="AF35" s="479">
        <f t="shared" si="39"/>
        <v>0</v>
      </c>
      <c r="AG35" s="480">
        <f t="shared" si="40"/>
        <v>0</v>
      </c>
      <c r="AH35" s="481">
        <f t="shared" si="41"/>
        <v>0</v>
      </c>
      <c r="AI35" s="481">
        <f t="shared" si="42"/>
        <v>0</v>
      </c>
      <c r="AJ35" s="487"/>
      <c r="AK35" s="507"/>
      <c r="AL35" s="479">
        <f t="shared" si="43"/>
        <v>0</v>
      </c>
      <c r="AM35" s="482">
        <f t="shared" si="44"/>
        <v>0</v>
      </c>
      <c r="AN35" s="487"/>
      <c r="AO35" s="488"/>
      <c r="AP35" s="487"/>
      <c r="AQ35" s="488"/>
      <c r="AR35" s="487"/>
      <c r="AS35" s="488"/>
      <c r="AT35" s="487"/>
      <c r="AU35" s="488"/>
      <c r="AV35" s="479">
        <f t="shared" si="45"/>
        <v>0</v>
      </c>
      <c r="AW35" s="483">
        <f t="shared" si="46"/>
        <v>0</v>
      </c>
      <c r="AX35" s="481">
        <f t="shared" si="47"/>
        <v>0</v>
      </c>
      <c r="AY35" s="484">
        <f t="shared" si="48"/>
        <v>0</v>
      </c>
      <c r="AZ35" s="485">
        <f t="shared" si="49"/>
        <v>4264.7</v>
      </c>
      <c r="BA35" s="481">
        <f t="shared" si="50"/>
        <v>4043.3</v>
      </c>
    </row>
    <row r="36" spans="1:53">
      <c r="A36" s="489" t="s">
        <v>226</v>
      </c>
      <c r="B36" s="490" t="s">
        <v>256</v>
      </c>
      <c r="C36" s="495"/>
      <c r="D36" s="499">
        <v>101949</v>
      </c>
      <c r="E36" s="499">
        <v>10</v>
      </c>
      <c r="F36" s="486" t="s">
        <v>41</v>
      </c>
      <c r="G36" s="529"/>
      <c r="H36" s="506"/>
      <c r="I36" s="488"/>
      <c r="J36" s="506">
        <v>14934</v>
      </c>
      <c r="K36" s="488">
        <v>14100</v>
      </c>
      <c r="L36" s="506">
        <v>5146</v>
      </c>
      <c r="M36" s="488">
        <v>4925</v>
      </c>
      <c r="N36" s="506">
        <v>14698</v>
      </c>
      <c r="O36" s="488">
        <v>15433</v>
      </c>
      <c r="P36" s="479">
        <f t="shared" si="33"/>
        <v>34778</v>
      </c>
      <c r="Q36" s="480">
        <f t="shared" si="34"/>
        <v>1159.2666666666667</v>
      </c>
      <c r="R36" s="481">
        <f t="shared" si="35"/>
        <v>34458</v>
      </c>
      <c r="S36" s="482">
        <f t="shared" si="36"/>
        <v>1148.5999999999999</v>
      </c>
      <c r="T36" s="506">
        <v>1146</v>
      </c>
      <c r="U36" s="507">
        <v>1155</v>
      </c>
      <c r="V36" s="479">
        <f t="shared" si="37"/>
        <v>34778</v>
      </c>
      <c r="W36" s="478">
        <f t="shared" si="38"/>
        <v>34458</v>
      </c>
      <c r="X36" s="506"/>
      <c r="Y36" s="488"/>
      <c r="Z36" s="506"/>
      <c r="AA36" s="488"/>
      <c r="AB36" s="506"/>
      <c r="AC36" s="488"/>
      <c r="AD36" s="506"/>
      <c r="AE36" s="507"/>
      <c r="AF36" s="479">
        <f t="shared" si="39"/>
        <v>0</v>
      </c>
      <c r="AG36" s="480">
        <f t="shared" si="40"/>
        <v>0</v>
      </c>
      <c r="AH36" s="481">
        <f t="shared" si="41"/>
        <v>0</v>
      </c>
      <c r="AI36" s="481">
        <f t="shared" si="42"/>
        <v>0</v>
      </c>
      <c r="AJ36" s="487"/>
      <c r="AK36" s="507"/>
      <c r="AL36" s="479">
        <f t="shared" si="43"/>
        <v>0</v>
      </c>
      <c r="AM36" s="482">
        <f t="shared" si="44"/>
        <v>0</v>
      </c>
      <c r="AN36" s="487"/>
      <c r="AO36" s="488"/>
      <c r="AP36" s="487"/>
      <c r="AQ36" s="488"/>
      <c r="AR36" s="487"/>
      <c r="AS36" s="488"/>
      <c r="AT36" s="487"/>
      <c r="AU36" s="488"/>
      <c r="AV36" s="479">
        <f t="shared" si="45"/>
        <v>0</v>
      </c>
      <c r="AW36" s="483">
        <f t="shared" si="46"/>
        <v>0</v>
      </c>
      <c r="AX36" s="481">
        <f t="shared" si="47"/>
        <v>0</v>
      </c>
      <c r="AY36" s="484">
        <f t="shared" si="48"/>
        <v>0</v>
      </c>
      <c r="AZ36" s="485">
        <f t="shared" si="49"/>
        <v>1159.2666666666667</v>
      </c>
      <c r="BA36" s="481">
        <f t="shared" si="50"/>
        <v>1148.5999999999999</v>
      </c>
    </row>
    <row r="37" spans="1:53">
      <c r="A37" s="489" t="s">
        <v>226</v>
      </c>
      <c r="B37" s="490" t="s">
        <v>257</v>
      </c>
      <c r="C37" s="495"/>
      <c r="D37" s="489">
        <v>101028</v>
      </c>
      <c r="E37" s="499">
        <v>10</v>
      </c>
      <c r="F37" s="486" t="s">
        <v>41</v>
      </c>
      <c r="G37" s="529"/>
      <c r="H37" s="506"/>
      <c r="I37" s="488"/>
      <c r="J37" s="506">
        <v>16736</v>
      </c>
      <c r="K37" s="488">
        <v>18190</v>
      </c>
      <c r="L37" s="506">
        <v>5926</v>
      </c>
      <c r="M37" s="488">
        <v>6794</v>
      </c>
      <c r="N37" s="506">
        <v>17951</v>
      </c>
      <c r="O37" s="488">
        <v>19222</v>
      </c>
      <c r="P37" s="479">
        <f t="shared" si="33"/>
        <v>40613</v>
      </c>
      <c r="Q37" s="480">
        <f t="shared" si="34"/>
        <v>1353.7666666666667</v>
      </c>
      <c r="R37" s="481">
        <f t="shared" si="35"/>
        <v>44206</v>
      </c>
      <c r="S37" s="482">
        <f t="shared" si="36"/>
        <v>1473.5333333333333</v>
      </c>
      <c r="T37" s="506">
        <v>980</v>
      </c>
      <c r="U37" s="507">
        <v>687</v>
      </c>
      <c r="V37" s="479">
        <f t="shared" si="37"/>
        <v>40613</v>
      </c>
      <c r="W37" s="478">
        <f t="shared" si="38"/>
        <v>44206</v>
      </c>
      <c r="X37" s="506"/>
      <c r="Y37" s="488"/>
      <c r="Z37" s="506"/>
      <c r="AA37" s="488"/>
      <c r="AB37" s="506"/>
      <c r="AC37" s="488"/>
      <c r="AD37" s="506"/>
      <c r="AE37" s="507"/>
      <c r="AF37" s="479">
        <f t="shared" si="39"/>
        <v>0</v>
      </c>
      <c r="AG37" s="480">
        <f t="shared" si="40"/>
        <v>0</v>
      </c>
      <c r="AH37" s="481">
        <f t="shared" si="41"/>
        <v>0</v>
      </c>
      <c r="AI37" s="481">
        <f t="shared" si="42"/>
        <v>0</v>
      </c>
      <c r="AJ37" s="487"/>
      <c r="AK37" s="507"/>
      <c r="AL37" s="479">
        <f t="shared" si="43"/>
        <v>0</v>
      </c>
      <c r="AM37" s="482">
        <f t="shared" si="44"/>
        <v>0</v>
      </c>
      <c r="AN37" s="487"/>
      <c r="AO37" s="488"/>
      <c r="AP37" s="487"/>
      <c r="AQ37" s="488"/>
      <c r="AR37" s="487"/>
      <c r="AS37" s="488"/>
      <c r="AT37" s="487"/>
      <c r="AU37" s="488"/>
      <c r="AV37" s="479">
        <f t="shared" si="45"/>
        <v>0</v>
      </c>
      <c r="AW37" s="483">
        <f t="shared" si="46"/>
        <v>0</v>
      </c>
      <c r="AX37" s="481">
        <f t="shared" si="47"/>
        <v>0</v>
      </c>
      <c r="AY37" s="484">
        <f t="shared" si="48"/>
        <v>0</v>
      </c>
      <c r="AZ37" s="485">
        <f t="shared" si="49"/>
        <v>1353.7666666666667</v>
      </c>
      <c r="BA37" s="481">
        <f t="shared" si="50"/>
        <v>1473.5333333333333</v>
      </c>
    </row>
    <row r="38" spans="1:53">
      <c r="A38" s="489" t="s">
        <v>226</v>
      </c>
      <c r="B38" s="490" t="s">
        <v>258</v>
      </c>
      <c r="C38" s="495"/>
      <c r="D38" s="499">
        <v>101301</v>
      </c>
      <c r="E38" s="499">
        <v>10</v>
      </c>
      <c r="F38" s="486" t="s">
        <v>41</v>
      </c>
      <c r="G38" s="529"/>
      <c r="H38" s="506"/>
      <c r="I38" s="488"/>
      <c r="J38" s="506">
        <v>20519</v>
      </c>
      <c r="K38" s="488">
        <v>17376</v>
      </c>
      <c r="L38" s="506">
        <v>10681</v>
      </c>
      <c r="M38" s="488">
        <v>10061</v>
      </c>
      <c r="N38" s="506">
        <v>19796</v>
      </c>
      <c r="O38" s="488">
        <v>18865</v>
      </c>
      <c r="P38" s="479">
        <f t="shared" si="33"/>
        <v>50996</v>
      </c>
      <c r="Q38" s="480">
        <f t="shared" si="34"/>
        <v>1699.8666666666666</v>
      </c>
      <c r="R38" s="481">
        <f t="shared" si="35"/>
        <v>46302</v>
      </c>
      <c r="S38" s="482">
        <f t="shared" si="36"/>
        <v>1543.4</v>
      </c>
      <c r="T38" s="506">
        <v>1437</v>
      </c>
      <c r="U38" s="507">
        <v>1532</v>
      </c>
      <c r="V38" s="479">
        <f t="shared" si="37"/>
        <v>50996</v>
      </c>
      <c r="W38" s="478">
        <f t="shared" si="38"/>
        <v>46302</v>
      </c>
      <c r="X38" s="506"/>
      <c r="Y38" s="488"/>
      <c r="Z38" s="506"/>
      <c r="AA38" s="488"/>
      <c r="AB38" s="506"/>
      <c r="AC38" s="488"/>
      <c r="AD38" s="506"/>
      <c r="AE38" s="507"/>
      <c r="AF38" s="479">
        <f t="shared" si="39"/>
        <v>0</v>
      </c>
      <c r="AG38" s="480">
        <f t="shared" si="40"/>
        <v>0</v>
      </c>
      <c r="AH38" s="481">
        <f t="shared" si="41"/>
        <v>0</v>
      </c>
      <c r="AI38" s="481">
        <f t="shared" si="42"/>
        <v>0</v>
      </c>
      <c r="AJ38" s="487"/>
      <c r="AK38" s="507"/>
      <c r="AL38" s="479">
        <f t="shared" si="43"/>
        <v>0</v>
      </c>
      <c r="AM38" s="482">
        <f t="shared" si="44"/>
        <v>0</v>
      </c>
      <c r="AN38" s="487"/>
      <c r="AO38" s="488"/>
      <c r="AP38" s="487"/>
      <c r="AQ38" s="488"/>
      <c r="AR38" s="487"/>
      <c r="AS38" s="488"/>
      <c r="AT38" s="487"/>
      <c r="AU38" s="488"/>
      <c r="AV38" s="479">
        <f t="shared" si="45"/>
        <v>0</v>
      </c>
      <c r="AW38" s="483">
        <f t="shared" si="46"/>
        <v>0</v>
      </c>
      <c r="AX38" s="481">
        <f t="shared" si="47"/>
        <v>0</v>
      </c>
      <c r="AY38" s="484">
        <f t="shared" si="48"/>
        <v>0</v>
      </c>
      <c r="AZ38" s="485">
        <f t="shared" si="49"/>
        <v>1699.8666666666666</v>
      </c>
      <c r="BA38" s="481">
        <f t="shared" si="50"/>
        <v>1543.4</v>
      </c>
    </row>
    <row r="39" spans="1:53">
      <c r="A39" s="489" t="s">
        <v>226</v>
      </c>
      <c r="B39" s="490" t="s">
        <v>259</v>
      </c>
      <c r="C39" s="495"/>
      <c r="D39" s="499">
        <v>101499</v>
      </c>
      <c r="E39" s="499">
        <v>10</v>
      </c>
      <c r="F39" s="486" t="s">
        <v>41</v>
      </c>
      <c r="G39" s="529"/>
      <c r="H39" s="506"/>
      <c r="I39" s="488"/>
      <c r="J39" s="506">
        <v>11575</v>
      </c>
      <c r="K39" s="488">
        <v>11595</v>
      </c>
      <c r="L39" s="506">
        <v>4902</v>
      </c>
      <c r="M39" s="488">
        <v>4766</v>
      </c>
      <c r="N39" s="506">
        <v>11707</v>
      </c>
      <c r="O39" s="488">
        <v>11899</v>
      </c>
      <c r="P39" s="479">
        <f t="shared" si="33"/>
        <v>28184</v>
      </c>
      <c r="Q39" s="480">
        <f t="shared" si="34"/>
        <v>939.4666666666667</v>
      </c>
      <c r="R39" s="481">
        <f t="shared" si="35"/>
        <v>28260</v>
      </c>
      <c r="S39" s="482">
        <f t="shared" si="36"/>
        <v>942</v>
      </c>
      <c r="T39" s="506">
        <v>328</v>
      </c>
      <c r="U39" s="507">
        <v>483</v>
      </c>
      <c r="V39" s="479">
        <f t="shared" si="37"/>
        <v>28184</v>
      </c>
      <c r="W39" s="478">
        <f t="shared" si="38"/>
        <v>28260</v>
      </c>
      <c r="X39" s="506"/>
      <c r="Y39" s="488"/>
      <c r="Z39" s="506"/>
      <c r="AA39" s="488"/>
      <c r="AB39" s="506"/>
      <c r="AC39" s="488"/>
      <c r="AD39" s="506"/>
      <c r="AE39" s="507"/>
      <c r="AF39" s="479">
        <f t="shared" si="39"/>
        <v>0</v>
      </c>
      <c r="AG39" s="480">
        <f t="shared" si="40"/>
        <v>0</v>
      </c>
      <c r="AH39" s="481">
        <f t="shared" si="41"/>
        <v>0</v>
      </c>
      <c r="AI39" s="481">
        <f t="shared" si="42"/>
        <v>0</v>
      </c>
      <c r="AJ39" s="487"/>
      <c r="AK39" s="507"/>
      <c r="AL39" s="479">
        <f t="shared" si="43"/>
        <v>0</v>
      </c>
      <c r="AM39" s="482">
        <f t="shared" si="44"/>
        <v>0</v>
      </c>
      <c r="AN39" s="487"/>
      <c r="AO39" s="488"/>
      <c r="AP39" s="487"/>
      <c r="AQ39" s="488"/>
      <c r="AR39" s="487"/>
      <c r="AS39" s="488"/>
      <c r="AT39" s="487"/>
      <c r="AU39" s="488"/>
      <c r="AV39" s="479">
        <f t="shared" si="45"/>
        <v>0</v>
      </c>
      <c r="AW39" s="483">
        <f t="shared" si="46"/>
        <v>0</v>
      </c>
      <c r="AX39" s="481">
        <f t="shared" si="47"/>
        <v>0</v>
      </c>
      <c r="AY39" s="484">
        <f t="shared" si="48"/>
        <v>0</v>
      </c>
      <c r="AZ39" s="485">
        <f t="shared" si="49"/>
        <v>939.4666666666667</v>
      </c>
      <c r="BA39" s="481">
        <f t="shared" si="50"/>
        <v>942</v>
      </c>
    </row>
    <row r="40" spans="1:53">
      <c r="A40" s="489" t="s">
        <v>226</v>
      </c>
      <c r="B40" s="490" t="s">
        <v>260</v>
      </c>
      <c r="C40" s="495"/>
      <c r="D40" s="499">
        <v>101602</v>
      </c>
      <c r="E40" s="499">
        <v>10</v>
      </c>
      <c r="F40" s="486" t="s">
        <v>41</v>
      </c>
      <c r="G40" s="529"/>
      <c r="H40" s="506"/>
      <c r="I40" s="488"/>
      <c r="J40" s="506">
        <v>16461</v>
      </c>
      <c r="K40" s="488">
        <v>15563</v>
      </c>
      <c r="L40" s="506">
        <v>7584</v>
      </c>
      <c r="M40" s="488">
        <v>7066</v>
      </c>
      <c r="N40" s="506">
        <v>17522</v>
      </c>
      <c r="O40" s="488">
        <v>16795</v>
      </c>
      <c r="P40" s="479">
        <f t="shared" si="33"/>
        <v>41567</v>
      </c>
      <c r="Q40" s="480">
        <f t="shared" si="34"/>
        <v>1385.5666666666666</v>
      </c>
      <c r="R40" s="481">
        <f t="shared" si="35"/>
        <v>39424</v>
      </c>
      <c r="S40" s="482">
        <f t="shared" si="36"/>
        <v>1314.1333333333334</v>
      </c>
      <c r="T40" s="506">
        <v>1870</v>
      </c>
      <c r="U40" s="507">
        <v>1761</v>
      </c>
      <c r="V40" s="479">
        <f t="shared" si="37"/>
        <v>41567</v>
      </c>
      <c r="W40" s="478">
        <f t="shared" si="38"/>
        <v>39424</v>
      </c>
      <c r="X40" s="506"/>
      <c r="Y40" s="488"/>
      <c r="Z40" s="506"/>
      <c r="AA40" s="488"/>
      <c r="AB40" s="506"/>
      <c r="AC40" s="488"/>
      <c r="AD40" s="506"/>
      <c r="AE40" s="507"/>
      <c r="AF40" s="479">
        <f t="shared" si="39"/>
        <v>0</v>
      </c>
      <c r="AG40" s="480">
        <f t="shared" si="40"/>
        <v>0</v>
      </c>
      <c r="AH40" s="481">
        <f t="shared" si="41"/>
        <v>0</v>
      </c>
      <c r="AI40" s="481">
        <f t="shared" si="42"/>
        <v>0</v>
      </c>
      <c r="AJ40" s="487"/>
      <c r="AK40" s="507"/>
      <c r="AL40" s="479">
        <f t="shared" si="43"/>
        <v>0</v>
      </c>
      <c r="AM40" s="482">
        <f t="shared" si="44"/>
        <v>0</v>
      </c>
      <c r="AN40" s="487"/>
      <c r="AO40" s="488"/>
      <c r="AP40" s="487"/>
      <c r="AQ40" s="488"/>
      <c r="AR40" s="487"/>
      <c r="AS40" s="488"/>
      <c r="AT40" s="487"/>
      <c r="AU40" s="488"/>
      <c r="AV40" s="479">
        <f t="shared" si="45"/>
        <v>0</v>
      </c>
      <c r="AW40" s="483">
        <f t="shared" si="46"/>
        <v>0</v>
      </c>
      <c r="AX40" s="481">
        <f t="shared" si="47"/>
        <v>0</v>
      </c>
      <c r="AY40" s="484">
        <f t="shared" si="48"/>
        <v>0</v>
      </c>
      <c r="AZ40" s="485">
        <f t="shared" si="49"/>
        <v>1385.5666666666666</v>
      </c>
      <c r="BA40" s="481">
        <f t="shared" si="50"/>
        <v>1314.1333333333334</v>
      </c>
    </row>
    <row r="41" spans="1:53">
      <c r="A41" s="489" t="s">
        <v>226</v>
      </c>
      <c r="B41" s="492" t="s">
        <v>261</v>
      </c>
      <c r="C41" s="495" t="s">
        <v>609</v>
      </c>
      <c r="D41" s="499">
        <v>102076</v>
      </c>
      <c r="E41" s="499">
        <v>10</v>
      </c>
      <c r="F41" s="486" t="s">
        <v>41</v>
      </c>
      <c r="G41" s="529"/>
      <c r="H41" s="506"/>
      <c r="I41" s="488"/>
      <c r="J41" s="506">
        <v>23965</v>
      </c>
      <c r="K41" s="488">
        <v>24759</v>
      </c>
      <c r="L41" s="506">
        <v>8221</v>
      </c>
      <c r="M41" s="488">
        <v>8018</v>
      </c>
      <c r="N41" s="506">
        <v>27919</v>
      </c>
      <c r="O41" s="488">
        <v>27416</v>
      </c>
      <c r="P41" s="479">
        <f t="shared" si="33"/>
        <v>60105</v>
      </c>
      <c r="Q41" s="480">
        <f t="shared" si="34"/>
        <v>2003.5</v>
      </c>
      <c r="R41" s="481">
        <f t="shared" si="35"/>
        <v>60193</v>
      </c>
      <c r="S41" s="482">
        <f t="shared" si="36"/>
        <v>2006.4333333333334</v>
      </c>
      <c r="T41" s="506">
        <v>1432</v>
      </c>
      <c r="U41" s="507">
        <v>1634</v>
      </c>
      <c r="V41" s="479">
        <f t="shared" si="37"/>
        <v>60105</v>
      </c>
      <c r="W41" s="478">
        <f t="shared" si="38"/>
        <v>60193</v>
      </c>
      <c r="X41" s="506"/>
      <c r="Y41" s="488"/>
      <c r="Z41" s="506"/>
      <c r="AA41" s="488"/>
      <c r="AB41" s="506"/>
      <c r="AC41" s="488"/>
      <c r="AD41" s="506"/>
      <c r="AE41" s="507"/>
      <c r="AF41" s="479">
        <f t="shared" si="39"/>
        <v>0</v>
      </c>
      <c r="AG41" s="480">
        <f t="shared" si="40"/>
        <v>0</v>
      </c>
      <c r="AH41" s="481">
        <f t="shared" si="41"/>
        <v>0</v>
      </c>
      <c r="AI41" s="481">
        <f t="shared" si="42"/>
        <v>0</v>
      </c>
      <c r="AJ41" s="487"/>
      <c r="AK41" s="507"/>
      <c r="AL41" s="479">
        <f t="shared" si="43"/>
        <v>0</v>
      </c>
      <c r="AM41" s="482">
        <f t="shared" si="44"/>
        <v>0</v>
      </c>
      <c r="AN41" s="487"/>
      <c r="AO41" s="488"/>
      <c r="AP41" s="487"/>
      <c r="AQ41" s="488"/>
      <c r="AR41" s="487"/>
      <c r="AS41" s="488"/>
      <c r="AT41" s="487"/>
      <c r="AU41" s="488"/>
      <c r="AV41" s="479">
        <f t="shared" si="45"/>
        <v>0</v>
      </c>
      <c r="AW41" s="483">
        <f t="shared" si="46"/>
        <v>0</v>
      </c>
      <c r="AX41" s="481">
        <f t="shared" si="47"/>
        <v>0</v>
      </c>
      <c r="AY41" s="484">
        <f t="shared" si="48"/>
        <v>0</v>
      </c>
      <c r="AZ41" s="485">
        <f t="shared" si="49"/>
        <v>2003.5</v>
      </c>
      <c r="BA41" s="481">
        <f t="shared" si="50"/>
        <v>2006.4333333333334</v>
      </c>
    </row>
    <row r="42" spans="1:53">
      <c r="A42" s="489" t="s">
        <v>226</v>
      </c>
      <c r="B42" s="490" t="s">
        <v>262</v>
      </c>
      <c r="C42" s="496"/>
      <c r="D42" s="499">
        <v>102313</v>
      </c>
      <c r="E42" s="499">
        <v>12</v>
      </c>
      <c r="F42" s="486" t="s">
        <v>41</v>
      </c>
      <c r="G42" s="529"/>
      <c r="H42" s="506"/>
      <c r="I42" s="488"/>
      <c r="J42" s="506">
        <v>17016</v>
      </c>
      <c r="K42" s="488">
        <v>14286</v>
      </c>
      <c r="L42" s="506">
        <v>8628</v>
      </c>
      <c r="M42" s="488">
        <v>9157</v>
      </c>
      <c r="N42" s="506">
        <v>14834</v>
      </c>
      <c r="O42" s="488">
        <v>13552</v>
      </c>
      <c r="P42" s="479">
        <f t="shared" si="33"/>
        <v>40478</v>
      </c>
      <c r="Q42" s="480">
        <f t="shared" si="34"/>
        <v>1349.2666666666667</v>
      </c>
      <c r="R42" s="481">
        <f t="shared" si="35"/>
        <v>36995</v>
      </c>
      <c r="S42" s="482">
        <f t="shared" si="36"/>
        <v>1233.1666666666667</v>
      </c>
      <c r="T42" s="506">
        <v>210</v>
      </c>
      <c r="U42" s="507">
        <v>72</v>
      </c>
      <c r="V42" s="479">
        <f t="shared" si="37"/>
        <v>40478</v>
      </c>
      <c r="W42" s="478">
        <f t="shared" si="38"/>
        <v>36995</v>
      </c>
      <c r="X42" s="506"/>
      <c r="Y42" s="488"/>
      <c r="Z42" s="506"/>
      <c r="AA42" s="488"/>
      <c r="AB42" s="506"/>
      <c r="AC42" s="488"/>
      <c r="AD42" s="506"/>
      <c r="AE42" s="507"/>
      <c r="AF42" s="479">
        <f t="shared" si="39"/>
        <v>0</v>
      </c>
      <c r="AG42" s="480">
        <f t="shared" si="40"/>
        <v>0</v>
      </c>
      <c r="AH42" s="481">
        <f t="shared" si="41"/>
        <v>0</v>
      </c>
      <c r="AI42" s="481">
        <f t="shared" si="42"/>
        <v>0</v>
      </c>
      <c r="AJ42" s="487"/>
      <c r="AK42" s="507"/>
      <c r="AL42" s="479">
        <f t="shared" si="43"/>
        <v>0</v>
      </c>
      <c r="AM42" s="482">
        <f t="shared" si="44"/>
        <v>0</v>
      </c>
      <c r="AN42" s="487"/>
      <c r="AO42" s="488"/>
      <c r="AP42" s="487"/>
      <c r="AQ42" s="488"/>
      <c r="AR42" s="487"/>
      <c r="AS42" s="488"/>
      <c r="AT42" s="487"/>
      <c r="AU42" s="488"/>
      <c r="AV42" s="479">
        <f t="shared" si="45"/>
        <v>0</v>
      </c>
      <c r="AW42" s="483">
        <f t="shared" si="46"/>
        <v>0</v>
      </c>
      <c r="AX42" s="481">
        <f t="shared" si="47"/>
        <v>0</v>
      </c>
      <c r="AY42" s="484">
        <f t="shared" si="48"/>
        <v>0</v>
      </c>
      <c r="AZ42" s="485">
        <f t="shared" si="49"/>
        <v>1349.2666666666667</v>
      </c>
      <c r="BA42" s="481">
        <f t="shared" si="50"/>
        <v>1233.1666666666667</v>
      </c>
    </row>
    <row r="43" spans="1:53">
      <c r="A43" s="489" t="s">
        <v>226</v>
      </c>
      <c r="B43" s="492" t="s">
        <v>263</v>
      </c>
      <c r="C43" s="495"/>
      <c r="D43" s="499">
        <v>101462</v>
      </c>
      <c r="E43" s="499">
        <v>13</v>
      </c>
      <c r="F43" s="486" t="s">
        <v>41</v>
      </c>
      <c r="G43" s="529"/>
      <c r="H43" s="506"/>
      <c r="I43" s="488"/>
      <c r="J43" s="506">
        <v>11982</v>
      </c>
      <c r="K43" s="488">
        <v>10608</v>
      </c>
      <c r="L43" s="506">
        <v>5837</v>
      </c>
      <c r="M43" s="488">
        <v>5791</v>
      </c>
      <c r="N43" s="506">
        <v>11230</v>
      </c>
      <c r="O43" s="488">
        <v>12456</v>
      </c>
      <c r="P43" s="479">
        <f t="shared" si="33"/>
        <v>29049</v>
      </c>
      <c r="Q43" s="480">
        <f t="shared" si="34"/>
        <v>968.3</v>
      </c>
      <c r="R43" s="481">
        <f t="shared" si="35"/>
        <v>28855</v>
      </c>
      <c r="S43" s="482">
        <f t="shared" si="36"/>
        <v>961.83333333333337</v>
      </c>
      <c r="T43" s="506">
        <v>2649</v>
      </c>
      <c r="U43" s="507">
        <v>2593</v>
      </c>
      <c r="V43" s="479">
        <f t="shared" si="37"/>
        <v>29049</v>
      </c>
      <c r="W43" s="478">
        <f t="shared" si="38"/>
        <v>28855</v>
      </c>
      <c r="X43" s="506"/>
      <c r="Y43" s="488"/>
      <c r="Z43" s="506"/>
      <c r="AA43" s="488"/>
      <c r="AB43" s="506"/>
      <c r="AC43" s="488"/>
      <c r="AD43" s="506"/>
      <c r="AE43" s="507"/>
      <c r="AF43" s="479">
        <f t="shared" si="39"/>
        <v>0</v>
      </c>
      <c r="AG43" s="480">
        <f t="shared" si="40"/>
        <v>0</v>
      </c>
      <c r="AH43" s="481">
        <f t="shared" si="41"/>
        <v>0</v>
      </c>
      <c r="AI43" s="481">
        <f t="shared" si="42"/>
        <v>0</v>
      </c>
      <c r="AJ43" s="487"/>
      <c r="AK43" s="507"/>
      <c r="AL43" s="479">
        <f t="shared" si="43"/>
        <v>0</v>
      </c>
      <c r="AM43" s="482">
        <f t="shared" si="44"/>
        <v>0</v>
      </c>
      <c r="AN43" s="487"/>
      <c r="AO43" s="488"/>
      <c r="AP43" s="487"/>
      <c r="AQ43" s="488"/>
      <c r="AR43" s="487"/>
      <c r="AS43" s="488"/>
      <c r="AT43" s="487"/>
      <c r="AU43" s="488"/>
      <c r="AV43" s="479">
        <f t="shared" si="45"/>
        <v>0</v>
      </c>
      <c r="AW43" s="483">
        <f t="shared" si="46"/>
        <v>0</v>
      </c>
      <c r="AX43" s="481">
        <f t="shared" si="47"/>
        <v>0</v>
      </c>
      <c r="AY43" s="484">
        <f t="shared" si="48"/>
        <v>0</v>
      </c>
      <c r="AZ43" s="485">
        <f t="shared" si="49"/>
        <v>968.3</v>
      </c>
      <c r="BA43" s="481">
        <f t="shared" si="50"/>
        <v>961.83333333333337</v>
      </c>
    </row>
    <row r="44" spans="1:53">
      <c r="A44" s="489" t="s">
        <v>226</v>
      </c>
      <c r="B44" s="490" t="s">
        <v>264</v>
      </c>
      <c r="C44" s="496"/>
      <c r="D44" s="489">
        <v>101471</v>
      </c>
      <c r="E44" s="499">
        <v>13</v>
      </c>
      <c r="F44" s="486" t="s">
        <v>41</v>
      </c>
      <c r="G44" s="529"/>
      <c r="H44" s="506"/>
      <c r="I44" s="488"/>
      <c r="J44" s="506">
        <v>6532</v>
      </c>
      <c r="K44" s="488">
        <v>6441</v>
      </c>
      <c r="L44" s="506">
        <v>6591</v>
      </c>
      <c r="M44" s="488">
        <v>5198</v>
      </c>
      <c r="N44" s="506">
        <v>5330</v>
      </c>
      <c r="O44" s="488">
        <v>6591</v>
      </c>
      <c r="P44" s="479">
        <f t="shared" si="33"/>
        <v>18453</v>
      </c>
      <c r="Q44" s="480">
        <f t="shared" si="34"/>
        <v>615.1</v>
      </c>
      <c r="R44" s="481">
        <f t="shared" si="35"/>
        <v>18230</v>
      </c>
      <c r="S44" s="482">
        <f t="shared" si="36"/>
        <v>607.66666666666663</v>
      </c>
      <c r="T44" s="506">
        <v>18</v>
      </c>
      <c r="U44" s="507">
        <v>0</v>
      </c>
      <c r="V44" s="479">
        <f t="shared" si="37"/>
        <v>18453</v>
      </c>
      <c r="W44" s="478">
        <f t="shared" si="38"/>
        <v>18230</v>
      </c>
      <c r="X44" s="506"/>
      <c r="Y44" s="488"/>
      <c r="Z44" s="506"/>
      <c r="AA44" s="488"/>
      <c r="AB44" s="506"/>
      <c r="AC44" s="488"/>
      <c r="AD44" s="506"/>
      <c r="AE44" s="507"/>
      <c r="AF44" s="479">
        <f t="shared" si="39"/>
        <v>0</v>
      </c>
      <c r="AG44" s="480">
        <f t="shared" si="40"/>
        <v>0</v>
      </c>
      <c r="AH44" s="481">
        <f t="shared" si="41"/>
        <v>0</v>
      </c>
      <c r="AI44" s="481">
        <f t="shared" si="42"/>
        <v>0</v>
      </c>
      <c r="AJ44" s="487"/>
      <c r="AK44" s="507"/>
      <c r="AL44" s="479">
        <f t="shared" si="43"/>
        <v>0</v>
      </c>
      <c r="AM44" s="482">
        <f t="shared" si="44"/>
        <v>0</v>
      </c>
      <c r="AN44" s="487"/>
      <c r="AO44" s="488"/>
      <c r="AP44" s="487"/>
      <c r="AQ44" s="488"/>
      <c r="AR44" s="487"/>
      <c r="AS44" s="488"/>
      <c r="AT44" s="487"/>
      <c r="AU44" s="488"/>
      <c r="AV44" s="479">
        <f t="shared" si="45"/>
        <v>0</v>
      </c>
      <c r="AW44" s="483">
        <f t="shared" si="46"/>
        <v>0</v>
      </c>
      <c r="AX44" s="481">
        <f t="shared" si="47"/>
        <v>0</v>
      </c>
      <c r="AY44" s="484">
        <f t="shared" si="48"/>
        <v>0</v>
      </c>
      <c r="AZ44" s="485">
        <f t="shared" si="49"/>
        <v>615.1</v>
      </c>
      <c r="BA44" s="481">
        <f t="shared" si="50"/>
        <v>607.66666666666663</v>
      </c>
    </row>
    <row r="45" spans="1:53" ht="13.5" thickBot="1">
      <c r="A45" s="489" t="s">
        <v>226</v>
      </c>
      <c r="B45" s="490" t="s">
        <v>265</v>
      </c>
      <c r="C45" s="496"/>
      <c r="D45" s="489">
        <v>101994</v>
      </c>
      <c r="E45" s="499">
        <v>13</v>
      </c>
      <c r="F45" s="486" t="s">
        <v>41</v>
      </c>
      <c r="G45" s="529"/>
      <c r="H45" s="506"/>
      <c r="I45" s="488"/>
      <c r="J45" s="506">
        <v>6330</v>
      </c>
      <c r="K45" s="488">
        <v>4746</v>
      </c>
      <c r="L45" s="506">
        <v>3648</v>
      </c>
      <c r="M45" s="488">
        <v>2666</v>
      </c>
      <c r="N45" s="506">
        <v>5584</v>
      </c>
      <c r="O45" s="488">
        <v>5169</v>
      </c>
      <c r="P45" s="479">
        <f t="shared" si="33"/>
        <v>15562</v>
      </c>
      <c r="Q45" s="480">
        <f t="shared" si="34"/>
        <v>518.73333333333335</v>
      </c>
      <c r="R45" s="481">
        <f t="shared" si="35"/>
        <v>12581</v>
      </c>
      <c r="S45" s="482">
        <f t="shared" si="36"/>
        <v>419.36666666666667</v>
      </c>
      <c r="T45" s="506">
        <v>704</v>
      </c>
      <c r="U45" s="507">
        <v>844</v>
      </c>
      <c r="V45" s="479">
        <f t="shared" si="37"/>
        <v>15562</v>
      </c>
      <c r="W45" s="478">
        <f t="shared" si="38"/>
        <v>12581</v>
      </c>
      <c r="X45" s="506"/>
      <c r="Y45" s="488"/>
      <c r="Z45" s="506"/>
      <c r="AA45" s="488"/>
      <c r="AB45" s="506"/>
      <c r="AC45" s="488"/>
      <c r="AD45" s="506"/>
      <c r="AE45" s="507"/>
      <c r="AF45" s="479">
        <f t="shared" si="39"/>
        <v>0</v>
      </c>
      <c r="AG45" s="480">
        <f t="shared" si="40"/>
        <v>0</v>
      </c>
      <c r="AH45" s="481">
        <f t="shared" si="41"/>
        <v>0</v>
      </c>
      <c r="AI45" s="481">
        <f t="shared" si="42"/>
        <v>0</v>
      </c>
      <c r="AJ45" s="487"/>
      <c r="AK45" s="507"/>
      <c r="AL45" s="479">
        <f t="shared" si="43"/>
        <v>0</v>
      </c>
      <c r="AM45" s="482">
        <f t="shared" si="44"/>
        <v>0</v>
      </c>
      <c r="AN45" s="487"/>
      <c r="AO45" s="488"/>
      <c r="AP45" s="487"/>
      <c r="AQ45" s="488"/>
      <c r="AR45" s="487"/>
      <c r="AS45" s="488"/>
      <c r="AT45" s="487"/>
      <c r="AU45" s="488"/>
      <c r="AV45" s="479">
        <f t="shared" si="45"/>
        <v>0</v>
      </c>
      <c r="AW45" s="483">
        <f t="shared" si="46"/>
        <v>0</v>
      </c>
      <c r="AX45" s="481">
        <f t="shared" si="47"/>
        <v>0</v>
      </c>
      <c r="AY45" s="484">
        <f t="shared" si="48"/>
        <v>0</v>
      </c>
      <c r="AZ45" s="485">
        <f t="shared" si="49"/>
        <v>518.73333333333335</v>
      </c>
      <c r="BA45" s="481">
        <f t="shared" si="50"/>
        <v>419.36666666666667</v>
      </c>
    </row>
    <row r="46" spans="1:53" ht="14.25" thickTop="1" thickBot="1">
      <c r="A46" s="536" t="s">
        <v>277</v>
      </c>
      <c r="B46" s="537" t="s">
        <v>290</v>
      </c>
      <c r="C46" s="538"/>
      <c r="D46" s="536">
        <v>106397</v>
      </c>
      <c r="E46" s="539">
        <v>1</v>
      </c>
      <c r="F46" s="486" t="s">
        <v>41</v>
      </c>
      <c r="G46" s="529" t="s">
        <v>41</v>
      </c>
      <c r="H46" s="506"/>
      <c r="I46" s="488">
        <v>0</v>
      </c>
      <c r="J46" s="506">
        <v>246316</v>
      </c>
      <c r="K46" s="488">
        <v>264770</v>
      </c>
      <c r="L46" s="506">
        <v>42076</v>
      </c>
      <c r="M46" s="488">
        <v>42430</v>
      </c>
      <c r="N46" s="506">
        <v>281242</v>
      </c>
      <c r="O46" s="488">
        <v>293440</v>
      </c>
      <c r="P46" s="479">
        <f t="shared" si="33"/>
        <v>569634</v>
      </c>
      <c r="Q46" s="480">
        <f t="shared" si="34"/>
        <v>18987.8</v>
      </c>
      <c r="R46" s="481">
        <f t="shared" si="35"/>
        <v>600640</v>
      </c>
      <c r="S46" s="482">
        <f t="shared" si="36"/>
        <v>20021.333333333332</v>
      </c>
      <c r="T46" s="506">
        <v>129</v>
      </c>
      <c r="U46" s="824">
        <v>152</v>
      </c>
      <c r="V46" s="479">
        <f t="shared" si="37"/>
        <v>569634</v>
      </c>
      <c r="W46" s="478">
        <f t="shared" si="38"/>
        <v>600640</v>
      </c>
      <c r="X46" s="506"/>
      <c r="Y46" s="488"/>
      <c r="Z46" s="506"/>
      <c r="AA46" s="488"/>
      <c r="AB46" s="506"/>
      <c r="AC46" s="488"/>
      <c r="AD46" s="506"/>
      <c r="AE46" s="507"/>
      <c r="AF46" s="479">
        <f t="shared" si="39"/>
        <v>0</v>
      </c>
      <c r="AG46" s="480">
        <f t="shared" si="40"/>
        <v>0</v>
      </c>
      <c r="AH46" s="481">
        <f t="shared" si="41"/>
        <v>0</v>
      </c>
      <c r="AI46" s="481">
        <f t="shared" si="42"/>
        <v>0</v>
      </c>
      <c r="AJ46" s="487"/>
      <c r="AK46" s="507"/>
      <c r="AL46" s="479">
        <f t="shared" si="43"/>
        <v>0</v>
      </c>
      <c r="AM46" s="482">
        <f t="shared" si="44"/>
        <v>0</v>
      </c>
      <c r="AN46" s="487"/>
      <c r="AO46" s="488">
        <v>0</v>
      </c>
      <c r="AP46" s="487">
        <v>32580</v>
      </c>
      <c r="AQ46" s="488">
        <v>32380</v>
      </c>
      <c r="AR46" s="487">
        <v>11596</v>
      </c>
      <c r="AS46" s="488">
        <v>11422</v>
      </c>
      <c r="AT46" s="487">
        <v>33033</v>
      </c>
      <c r="AU46" s="488">
        <v>33794</v>
      </c>
      <c r="AV46" s="479">
        <f t="shared" si="45"/>
        <v>77209</v>
      </c>
      <c r="AW46" s="483">
        <f t="shared" si="46"/>
        <v>3217.0416666666665</v>
      </c>
      <c r="AX46" s="481">
        <f t="shared" si="47"/>
        <v>77596</v>
      </c>
      <c r="AY46" s="484">
        <f t="shared" si="48"/>
        <v>3233.1666666666665</v>
      </c>
      <c r="AZ46" s="485">
        <f t="shared" si="49"/>
        <v>22204.841666666667</v>
      </c>
      <c r="BA46" s="481">
        <f t="shared" si="50"/>
        <v>23254.5</v>
      </c>
    </row>
    <row r="47" spans="1:53" ht="13.5" thickTop="1">
      <c r="A47" s="536" t="s">
        <v>277</v>
      </c>
      <c r="B47" s="537" t="s">
        <v>291</v>
      </c>
      <c r="C47" s="538"/>
      <c r="D47" s="536">
        <v>106458</v>
      </c>
      <c r="E47" s="539">
        <v>3</v>
      </c>
      <c r="F47" s="486" t="s">
        <v>41</v>
      </c>
      <c r="G47" s="529" t="s">
        <v>41</v>
      </c>
      <c r="H47" s="506"/>
      <c r="I47" s="488">
        <v>0</v>
      </c>
      <c r="J47" s="506">
        <v>122334</v>
      </c>
      <c r="K47" s="488">
        <v>121842</v>
      </c>
      <c r="L47" s="506">
        <v>23610</v>
      </c>
      <c r="M47" s="488">
        <v>23400</v>
      </c>
      <c r="N47" s="506">
        <v>131785</v>
      </c>
      <c r="O47" s="488">
        <v>130541</v>
      </c>
      <c r="P47" s="479">
        <f t="shared" si="33"/>
        <v>277729</v>
      </c>
      <c r="Q47" s="480">
        <f t="shared" si="34"/>
        <v>9257.6333333333332</v>
      </c>
      <c r="R47" s="481">
        <f t="shared" si="35"/>
        <v>275783</v>
      </c>
      <c r="S47" s="482">
        <f t="shared" si="36"/>
        <v>9192.7666666666664</v>
      </c>
      <c r="T47" s="506">
        <v>3670</v>
      </c>
      <c r="U47" s="507">
        <v>4590</v>
      </c>
      <c r="V47" s="479">
        <f t="shared" si="37"/>
        <v>277729</v>
      </c>
      <c r="W47" s="478">
        <f t="shared" si="38"/>
        <v>275783</v>
      </c>
      <c r="X47" s="506"/>
      <c r="Y47" s="488"/>
      <c r="Z47" s="506"/>
      <c r="AA47" s="488"/>
      <c r="AB47" s="506"/>
      <c r="AC47" s="488"/>
      <c r="AD47" s="506"/>
      <c r="AE47" s="507"/>
      <c r="AF47" s="479">
        <f t="shared" si="39"/>
        <v>0</v>
      </c>
      <c r="AG47" s="480">
        <f t="shared" si="40"/>
        <v>0</v>
      </c>
      <c r="AH47" s="481">
        <f t="shared" si="41"/>
        <v>0</v>
      </c>
      <c r="AI47" s="481">
        <f t="shared" si="42"/>
        <v>0</v>
      </c>
      <c r="AJ47" s="487"/>
      <c r="AK47" s="507"/>
      <c r="AL47" s="479">
        <f t="shared" si="43"/>
        <v>0</v>
      </c>
      <c r="AM47" s="482">
        <f t="shared" si="44"/>
        <v>0</v>
      </c>
      <c r="AN47" s="487"/>
      <c r="AO47" s="488">
        <v>0</v>
      </c>
      <c r="AP47" s="487">
        <v>30065</v>
      </c>
      <c r="AQ47" s="488">
        <v>27476</v>
      </c>
      <c r="AR47" s="487">
        <v>18372</v>
      </c>
      <c r="AS47" s="488">
        <v>17738</v>
      </c>
      <c r="AT47" s="487">
        <v>30058</v>
      </c>
      <c r="AU47" s="488">
        <v>27377</v>
      </c>
      <c r="AV47" s="479">
        <f t="shared" si="45"/>
        <v>78495</v>
      </c>
      <c r="AW47" s="483">
        <f t="shared" si="46"/>
        <v>3270.625</v>
      </c>
      <c r="AX47" s="481">
        <f t="shared" si="47"/>
        <v>72591</v>
      </c>
      <c r="AY47" s="484">
        <f t="shared" si="48"/>
        <v>3024.625</v>
      </c>
      <c r="AZ47" s="485">
        <f t="shared" si="49"/>
        <v>12528.258333333333</v>
      </c>
      <c r="BA47" s="481">
        <f t="shared" si="50"/>
        <v>12217.391666666666</v>
      </c>
    </row>
    <row r="48" spans="1:53" ht="13.5" thickBot="1">
      <c r="A48" s="536" t="s">
        <v>277</v>
      </c>
      <c r="B48" s="540" t="s">
        <v>292</v>
      </c>
      <c r="C48" s="541" t="s">
        <v>293</v>
      </c>
      <c r="D48" s="536">
        <v>106467</v>
      </c>
      <c r="E48" s="542">
        <v>3</v>
      </c>
      <c r="F48" s="486" t="s">
        <v>41</v>
      </c>
      <c r="G48" s="529" t="s">
        <v>41</v>
      </c>
      <c r="H48" s="506"/>
      <c r="I48" s="488">
        <v>0</v>
      </c>
      <c r="J48" s="506">
        <v>98931</v>
      </c>
      <c r="K48" s="488">
        <v>98893</v>
      </c>
      <c r="L48" s="506">
        <v>15630</v>
      </c>
      <c r="M48" s="488">
        <v>13732</v>
      </c>
      <c r="N48" s="506">
        <v>108145</v>
      </c>
      <c r="O48" s="488">
        <v>109990</v>
      </c>
      <c r="P48" s="479">
        <f t="shared" si="33"/>
        <v>222706</v>
      </c>
      <c r="Q48" s="480">
        <f t="shared" si="34"/>
        <v>7423.5333333333338</v>
      </c>
      <c r="R48" s="481">
        <f t="shared" si="35"/>
        <v>222615</v>
      </c>
      <c r="S48" s="482">
        <f t="shared" si="36"/>
        <v>7420.5</v>
      </c>
      <c r="T48" s="506">
        <v>5994</v>
      </c>
      <c r="U48" s="507">
        <v>6891</v>
      </c>
      <c r="V48" s="479">
        <f t="shared" si="37"/>
        <v>222706</v>
      </c>
      <c r="W48" s="478">
        <f t="shared" si="38"/>
        <v>222615</v>
      </c>
      <c r="X48" s="506"/>
      <c r="Y48" s="488"/>
      <c r="Z48" s="506"/>
      <c r="AA48" s="488"/>
      <c r="AB48" s="506"/>
      <c r="AC48" s="488"/>
      <c r="AD48" s="506"/>
      <c r="AE48" s="507"/>
      <c r="AF48" s="479">
        <f t="shared" si="39"/>
        <v>0</v>
      </c>
      <c r="AG48" s="480">
        <f t="shared" si="40"/>
        <v>0</v>
      </c>
      <c r="AH48" s="481">
        <f t="shared" si="41"/>
        <v>0</v>
      </c>
      <c r="AI48" s="481">
        <f t="shared" si="42"/>
        <v>0</v>
      </c>
      <c r="AJ48" s="487"/>
      <c r="AK48" s="507"/>
      <c r="AL48" s="479">
        <f t="shared" si="43"/>
        <v>0</v>
      </c>
      <c r="AM48" s="482">
        <f t="shared" si="44"/>
        <v>0</v>
      </c>
      <c r="AN48" s="487"/>
      <c r="AO48" s="488">
        <v>0</v>
      </c>
      <c r="AP48" s="487">
        <v>4819</v>
      </c>
      <c r="AQ48" s="488">
        <v>5122</v>
      </c>
      <c r="AR48" s="487">
        <v>4911</v>
      </c>
      <c r="AS48" s="488">
        <v>5134</v>
      </c>
      <c r="AT48" s="487">
        <v>5179</v>
      </c>
      <c r="AU48" s="488">
        <v>5236</v>
      </c>
      <c r="AV48" s="479">
        <f t="shared" si="45"/>
        <v>14909</v>
      </c>
      <c r="AW48" s="483">
        <f t="shared" si="46"/>
        <v>621.20833333333337</v>
      </c>
      <c r="AX48" s="481">
        <f t="shared" si="47"/>
        <v>15492</v>
      </c>
      <c r="AY48" s="484">
        <f t="shared" si="48"/>
        <v>645.5</v>
      </c>
      <c r="AZ48" s="485">
        <f t="shared" si="49"/>
        <v>8044.7416666666668</v>
      </c>
      <c r="BA48" s="481">
        <f t="shared" si="50"/>
        <v>8066</v>
      </c>
    </row>
    <row r="49" spans="1:53" ht="14.25" thickTop="1" thickBot="1">
      <c r="A49" s="536" t="s">
        <v>277</v>
      </c>
      <c r="B49" s="537" t="s">
        <v>294</v>
      </c>
      <c r="C49" s="538" t="s">
        <v>295</v>
      </c>
      <c r="D49" s="536">
        <v>106245</v>
      </c>
      <c r="E49" s="539">
        <v>3</v>
      </c>
      <c r="F49" s="486" t="s">
        <v>41</v>
      </c>
      <c r="G49" s="529" t="s">
        <v>41</v>
      </c>
      <c r="H49" s="506"/>
      <c r="I49" s="488">
        <v>0</v>
      </c>
      <c r="J49" s="506">
        <v>104543</v>
      </c>
      <c r="K49" s="488">
        <v>102646</v>
      </c>
      <c r="L49" s="506">
        <v>22237</v>
      </c>
      <c r="M49" s="488">
        <v>21964</v>
      </c>
      <c r="N49" s="506">
        <v>110450</v>
      </c>
      <c r="O49" s="488">
        <v>107750</v>
      </c>
      <c r="P49" s="479">
        <f t="shared" si="33"/>
        <v>237230</v>
      </c>
      <c r="Q49" s="480">
        <f t="shared" si="34"/>
        <v>7907.666666666667</v>
      </c>
      <c r="R49" s="481">
        <f t="shared" si="35"/>
        <v>232360</v>
      </c>
      <c r="S49" s="482">
        <f t="shared" si="36"/>
        <v>7745.333333333333</v>
      </c>
      <c r="T49" s="506">
        <v>15191</v>
      </c>
      <c r="U49" s="824">
        <v>15649</v>
      </c>
      <c r="V49" s="479">
        <f t="shared" si="37"/>
        <v>237230</v>
      </c>
      <c r="W49" s="478">
        <f t="shared" si="38"/>
        <v>232360</v>
      </c>
      <c r="X49" s="506"/>
      <c r="Y49" s="488"/>
      <c r="Z49" s="506"/>
      <c r="AA49" s="488"/>
      <c r="AB49" s="506"/>
      <c r="AC49" s="488"/>
      <c r="AD49" s="506"/>
      <c r="AE49" s="507"/>
      <c r="AF49" s="479">
        <f t="shared" si="39"/>
        <v>0</v>
      </c>
      <c r="AG49" s="480">
        <f t="shared" si="40"/>
        <v>0</v>
      </c>
      <c r="AH49" s="481">
        <f t="shared" si="41"/>
        <v>0</v>
      </c>
      <c r="AI49" s="481">
        <f t="shared" si="42"/>
        <v>0</v>
      </c>
      <c r="AJ49" s="487"/>
      <c r="AK49" s="507"/>
      <c r="AL49" s="479">
        <f t="shared" si="43"/>
        <v>0</v>
      </c>
      <c r="AM49" s="482">
        <f t="shared" si="44"/>
        <v>0</v>
      </c>
      <c r="AN49" s="487"/>
      <c r="AO49" s="488">
        <v>0</v>
      </c>
      <c r="AP49" s="487">
        <v>19512</v>
      </c>
      <c r="AQ49" s="488">
        <v>19295</v>
      </c>
      <c r="AR49" s="487">
        <v>6389</v>
      </c>
      <c r="AS49" s="488">
        <v>5560</v>
      </c>
      <c r="AT49" s="487">
        <v>20809</v>
      </c>
      <c r="AU49" s="488">
        <v>19890</v>
      </c>
      <c r="AV49" s="479">
        <f t="shared" si="45"/>
        <v>46710</v>
      </c>
      <c r="AW49" s="483">
        <f t="shared" si="46"/>
        <v>1946.25</v>
      </c>
      <c r="AX49" s="481">
        <f t="shared" si="47"/>
        <v>44745</v>
      </c>
      <c r="AY49" s="484">
        <f t="shared" si="48"/>
        <v>1864.375</v>
      </c>
      <c r="AZ49" s="485">
        <f t="shared" si="49"/>
        <v>9853.9166666666679</v>
      </c>
      <c r="BA49" s="481">
        <f t="shared" si="50"/>
        <v>9609.7083333333321</v>
      </c>
    </row>
    <row r="50" spans="1:53" ht="14.25" thickTop="1" thickBot="1">
      <c r="A50" s="536" t="s">
        <v>277</v>
      </c>
      <c r="B50" s="537" t="s">
        <v>296</v>
      </c>
      <c r="C50" s="538"/>
      <c r="D50" s="536">
        <v>106704</v>
      </c>
      <c r="E50" s="539">
        <v>3</v>
      </c>
      <c r="F50" s="486" t="s">
        <v>41</v>
      </c>
      <c r="G50" s="529" t="s">
        <v>41</v>
      </c>
      <c r="H50" s="506"/>
      <c r="I50" s="488">
        <v>0</v>
      </c>
      <c r="J50" s="506">
        <v>114123</v>
      </c>
      <c r="K50" s="488">
        <v>118421</v>
      </c>
      <c r="L50" s="506">
        <v>17883</v>
      </c>
      <c r="M50" s="488">
        <v>17256</v>
      </c>
      <c r="N50" s="506">
        <v>129238</v>
      </c>
      <c r="O50" s="488">
        <v>132663</v>
      </c>
      <c r="P50" s="479">
        <f t="shared" si="33"/>
        <v>261244</v>
      </c>
      <c r="Q50" s="480">
        <f t="shared" si="34"/>
        <v>8708.1333333333332</v>
      </c>
      <c r="R50" s="481">
        <f t="shared" si="35"/>
        <v>268340</v>
      </c>
      <c r="S50" s="482">
        <f t="shared" si="36"/>
        <v>8944.6666666666661</v>
      </c>
      <c r="T50" s="506">
        <v>2287</v>
      </c>
      <c r="U50" s="507">
        <v>2309</v>
      </c>
      <c r="V50" s="479">
        <f t="shared" si="37"/>
        <v>261244</v>
      </c>
      <c r="W50" s="478">
        <f t="shared" si="38"/>
        <v>268340</v>
      </c>
      <c r="X50" s="506"/>
      <c r="Y50" s="488"/>
      <c r="Z50" s="506"/>
      <c r="AA50" s="488"/>
      <c r="AB50" s="506"/>
      <c r="AC50" s="488"/>
      <c r="AD50" s="506"/>
      <c r="AE50" s="507"/>
      <c r="AF50" s="479">
        <f t="shared" si="39"/>
        <v>0</v>
      </c>
      <c r="AG50" s="480">
        <f t="shared" si="40"/>
        <v>0</v>
      </c>
      <c r="AH50" s="481">
        <f t="shared" si="41"/>
        <v>0</v>
      </c>
      <c r="AI50" s="481">
        <f t="shared" si="42"/>
        <v>0</v>
      </c>
      <c r="AJ50" s="487"/>
      <c r="AK50" s="507"/>
      <c r="AL50" s="479">
        <f t="shared" si="43"/>
        <v>0</v>
      </c>
      <c r="AM50" s="482">
        <f t="shared" si="44"/>
        <v>0</v>
      </c>
      <c r="AN50" s="487"/>
      <c r="AO50" s="488">
        <v>0</v>
      </c>
      <c r="AP50" s="487">
        <v>12195</v>
      </c>
      <c r="AQ50" s="488">
        <v>12039</v>
      </c>
      <c r="AR50" s="487">
        <v>7867</v>
      </c>
      <c r="AS50" s="488">
        <v>8398</v>
      </c>
      <c r="AT50" s="487">
        <v>11968</v>
      </c>
      <c r="AU50" s="488">
        <v>13862</v>
      </c>
      <c r="AV50" s="479">
        <f t="shared" si="45"/>
        <v>32030</v>
      </c>
      <c r="AW50" s="483">
        <f t="shared" si="46"/>
        <v>1334.5833333333333</v>
      </c>
      <c r="AX50" s="481">
        <f t="shared" si="47"/>
        <v>34299</v>
      </c>
      <c r="AY50" s="484">
        <f t="shared" si="48"/>
        <v>1429.125</v>
      </c>
      <c r="AZ50" s="485">
        <f t="shared" si="49"/>
        <v>10042.716666666667</v>
      </c>
      <c r="BA50" s="481">
        <f t="shared" si="50"/>
        <v>10373.791666666666</v>
      </c>
    </row>
    <row r="51" spans="1:53" ht="14.25" thickTop="1" thickBot="1">
      <c r="A51" s="536" t="s">
        <v>277</v>
      </c>
      <c r="B51" s="537" t="s">
        <v>297</v>
      </c>
      <c r="C51" s="538"/>
      <c r="D51" s="536">
        <v>107071</v>
      </c>
      <c r="E51" s="539">
        <v>4</v>
      </c>
      <c r="F51" s="486" t="s">
        <v>41</v>
      </c>
      <c r="G51" s="529" t="s">
        <v>41</v>
      </c>
      <c r="H51" s="506"/>
      <c r="I51" s="488">
        <v>0</v>
      </c>
      <c r="J51" s="506">
        <v>43169</v>
      </c>
      <c r="K51" s="488">
        <v>43223</v>
      </c>
      <c r="L51" s="506">
        <v>5624</v>
      </c>
      <c r="M51" s="488">
        <v>5222</v>
      </c>
      <c r="N51" s="506">
        <v>47196</v>
      </c>
      <c r="O51" s="488">
        <v>45506</v>
      </c>
      <c r="P51" s="479">
        <f t="shared" si="33"/>
        <v>95989</v>
      </c>
      <c r="Q51" s="480">
        <f t="shared" si="34"/>
        <v>3199.6333333333332</v>
      </c>
      <c r="R51" s="481">
        <f t="shared" si="35"/>
        <v>93951</v>
      </c>
      <c r="S51" s="482">
        <f t="shared" si="36"/>
        <v>3131.7</v>
      </c>
      <c r="T51" s="506">
        <v>35</v>
      </c>
      <c r="U51" s="824">
        <v>3</v>
      </c>
      <c r="V51" s="479">
        <f t="shared" si="37"/>
        <v>95989</v>
      </c>
      <c r="W51" s="478">
        <f t="shared" si="38"/>
        <v>93951</v>
      </c>
      <c r="X51" s="506"/>
      <c r="Y51" s="488"/>
      <c r="Z51" s="506"/>
      <c r="AA51" s="488"/>
      <c r="AB51" s="506"/>
      <c r="AC51" s="488"/>
      <c r="AD51" s="506"/>
      <c r="AE51" s="507"/>
      <c r="AF51" s="479">
        <f t="shared" si="39"/>
        <v>0</v>
      </c>
      <c r="AG51" s="480">
        <f t="shared" si="40"/>
        <v>0</v>
      </c>
      <c r="AH51" s="481">
        <f t="shared" si="41"/>
        <v>0</v>
      </c>
      <c r="AI51" s="481">
        <f t="shared" si="42"/>
        <v>0</v>
      </c>
      <c r="AJ51" s="487"/>
      <c r="AK51" s="507"/>
      <c r="AL51" s="479">
        <f t="shared" si="43"/>
        <v>0</v>
      </c>
      <c r="AM51" s="482">
        <f t="shared" si="44"/>
        <v>0</v>
      </c>
      <c r="AN51" s="487"/>
      <c r="AO51" s="488">
        <v>0</v>
      </c>
      <c r="AP51" s="487">
        <v>2586</v>
      </c>
      <c r="AQ51" s="488">
        <v>2442</v>
      </c>
      <c r="AR51" s="487">
        <v>3120</v>
      </c>
      <c r="AS51" s="488">
        <v>3471</v>
      </c>
      <c r="AT51" s="487">
        <v>2498</v>
      </c>
      <c r="AU51" s="488">
        <v>2297</v>
      </c>
      <c r="AV51" s="479">
        <f t="shared" si="45"/>
        <v>8204</v>
      </c>
      <c r="AW51" s="483">
        <f t="shared" si="46"/>
        <v>341.83333333333331</v>
      </c>
      <c r="AX51" s="481">
        <f t="shared" si="47"/>
        <v>8210</v>
      </c>
      <c r="AY51" s="484">
        <f t="shared" si="48"/>
        <v>342.08333333333331</v>
      </c>
      <c r="AZ51" s="485">
        <f t="shared" si="49"/>
        <v>3541.4666666666667</v>
      </c>
      <c r="BA51" s="481">
        <f t="shared" si="50"/>
        <v>3473.7833333333333</v>
      </c>
    </row>
    <row r="52" spans="1:53" ht="14.25" thickTop="1" thickBot="1">
      <c r="A52" s="536" t="s">
        <v>277</v>
      </c>
      <c r="B52" s="540" t="s">
        <v>298</v>
      </c>
      <c r="C52" s="541"/>
      <c r="D52" s="536">
        <v>107983</v>
      </c>
      <c r="E52" s="543">
        <v>4</v>
      </c>
      <c r="F52" s="486" t="s">
        <v>41</v>
      </c>
      <c r="G52" s="529" t="s">
        <v>41</v>
      </c>
      <c r="H52" s="506"/>
      <c r="I52" s="488">
        <v>0</v>
      </c>
      <c r="J52" s="506">
        <v>36593</v>
      </c>
      <c r="K52" s="488">
        <v>35911</v>
      </c>
      <c r="L52" s="506">
        <v>4813</v>
      </c>
      <c r="M52" s="488">
        <v>4852</v>
      </c>
      <c r="N52" s="506">
        <v>39975</v>
      </c>
      <c r="O52" s="488">
        <v>41166</v>
      </c>
      <c r="P52" s="479">
        <f t="shared" si="33"/>
        <v>81381</v>
      </c>
      <c r="Q52" s="480">
        <f t="shared" si="34"/>
        <v>2712.7</v>
      </c>
      <c r="R52" s="481">
        <f t="shared" si="35"/>
        <v>81929</v>
      </c>
      <c r="S52" s="482">
        <f t="shared" si="36"/>
        <v>2730.9666666666667</v>
      </c>
      <c r="T52" s="506">
        <v>1008</v>
      </c>
      <c r="U52" s="507">
        <v>1550</v>
      </c>
      <c r="V52" s="479">
        <f t="shared" si="37"/>
        <v>81381</v>
      </c>
      <c r="W52" s="478">
        <f t="shared" si="38"/>
        <v>81929</v>
      </c>
      <c r="X52" s="506"/>
      <c r="Y52" s="488"/>
      <c r="Z52" s="506"/>
      <c r="AA52" s="488"/>
      <c r="AB52" s="506"/>
      <c r="AC52" s="488"/>
      <c r="AD52" s="506"/>
      <c r="AE52" s="507"/>
      <c r="AF52" s="479">
        <f t="shared" si="39"/>
        <v>0</v>
      </c>
      <c r="AG52" s="480">
        <f t="shared" si="40"/>
        <v>0</v>
      </c>
      <c r="AH52" s="481">
        <f t="shared" si="41"/>
        <v>0</v>
      </c>
      <c r="AI52" s="481">
        <f t="shared" si="42"/>
        <v>0</v>
      </c>
      <c r="AJ52" s="487"/>
      <c r="AK52" s="507"/>
      <c r="AL52" s="479">
        <f t="shared" si="43"/>
        <v>0</v>
      </c>
      <c r="AM52" s="482">
        <f t="shared" si="44"/>
        <v>0</v>
      </c>
      <c r="AN52" s="487"/>
      <c r="AO52" s="488">
        <v>0</v>
      </c>
      <c r="AP52" s="487">
        <v>2750</v>
      </c>
      <c r="AQ52" s="488">
        <v>2664</v>
      </c>
      <c r="AR52" s="487">
        <v>2344</v>
      </c>
      <c r="AS52" s="488">
        <v>2364</v>
      </c>
      <c r="AT52" s="487">
        <v>2737</v>
      </c>
      <c r="AU52" s="488">
        <v>2559</v>
      </c>
      <c r="AV52" s="479">
        <f t="shared" si="45"/>
        <v>7831</v>
      </c>
      <c r="AW52" s="483">
        <f t="shared" si="46"/>
        <v>326.29166666666669</v>
      </c>
      <c r="AX52" s="481">
        <f t="shared" si="47"/>
        <v>7587</v>
      </c>
      <c r="AY52" s="484">
        <f t="shared" si="48"/>
        <v>316.125</v>
      </c>
      <c r="AZ52" s="485">
        <f t="shared" si="49"/>
        <v>3038.9916666666663</v>
      </c>
      <c r="BA52" s="481">
        <f t="shared" si="50"/>
        <v>3047.0916666666667</v>
      </c>
    </row>
    <row r="53" spans="1:53" ht="14.25" thickTop="1" thickBot="1">
      <c r="A53" s="536" t="s">
        <v>277</v>
      </c>
      <c r="B53" s="537" t="s">
        <v>299</v>
      </c>
      <c r="C53" s="538"/>
      <c r="D53" s="536">
        <v>106485</v>
      </c>
      <c r="E53" s="539">
        <v>5</v>
      </c>
      <c r="F53" s="486" t="s">
        <v>41</v>
      </c>
      <c r="G53" s="529" t="s">
        <v>41</v>
      </c>
      <c r="H53" s="506"/>
      <c r="I53" s="488">
        <v>0</v>
      </c>
      <c r="J53" s="506">
        <v>31870</v>
      </c>
      <c r="K53" s="488">
        <v>30508</v>
      </c>
      <c r="L53" s="506">
        <v>4622</v>
      </c>
      <c r="M53" s="488">
        <v>4744</v>
      </c>
      <c r="N53" s="506">
        <v>34112</v>
      </c>
      <c r="O53" s="488">
        <v>33241</v>
      </c>
      <c r="P53" s="479">
        <f t="shared" si="33"/>
        <v>70604</v>
      </c>
      <c r="Q53" s="480">
        <f t="shared" si="34"/>
        <v>2353.4666666666667</v>
      </c>
      <c r="R53" s="481">
        <f t="shared" si="35"/>
        <v>68493</v>
      </c>
      <c r="S53" s="482">
        <f t="shared" si="36"/>
        <v>2283.1</v>
      </c>
      <c r="T53" s="506">
        <v>4390</v>
      </c>
      <c r="U53" s="824">
        <v>4557</v>
      </c>
      <c r="V53" s="479">
        <f t="shared" si="37"/>
        <v>70604</v>
      </c>
      <c r="W53" s="478">
        <f t="shared" si="38"/>
        <v>68493</v>
      </c>
      <c r="X53" s="506"/>
      <c r="Y53" s="488"/>
      <c r="Z53" s="506"/>
      <c r="AA53" s="488"/>
      <c r="AB53" s="506"/>
      <c r="AC53" s="488"/>
      <c r="AD53" s="506"/>
      <c r="AE53" s="507"/>
      <c r="AF53" s="479">
        <f t="shared" si="39"/>
        <v>0</v>
      </c>
      <c r="AG53" s="480">
        <f t="shared" si="40"/>
        <v>0</v>
      </c>
      <c r="AH53" s="481">
        <f t="shared" si="41"/>
        <v>0</v>
      </c>
      <c r="AI53" s="481">
        <f t="shared" si="42"/>
        <v>0</v>
      </c>
      <c r="AJ53" s="487"/>
      <c r="AK53" s="507"/>
      <c r="AL53" s="479">
        <f t="shared" si="43"/>
        <v>0</v>
      </c>
      <c r="AM53" s="482">
        <f t="shared" si="44"/>
        <v>0</v>
      </c>
      <c r="AN53" s="487"/>
      <c r="AO53" s="488">
        <v>0</v>
      </c>
      <c r="AP53" s="487">
        <v>618</v>
      </c>
      <c r="AQ53" s="488">
        <v>677</v>
      </c>
      <c r="AR53" s="487">
        <v>828</v>
      </c>
      <c r="AS53" s="488">
        <v>1215</v>
      </c>
      <c r="AT53" s="487">
        <v>696</v>
      </c>
      <c r="AU53" s="488">
        <v>1000</v>
      </c>
      <c r="AV53" s="479">
        <f t="shared" si="45"/>
        <v>2142</v>
      </c>
      <c r="AW53" s="483">
        <f t="shared" si="46"/>
        <v>89.25</v>
      </c>
      <c r="AX53" s="481">
        <f t="shared" si="47"/>
        <v>2892</v>
      </c>
      <c r="AY53" s="484">
        <f t="shared" si="48"/>
        <v>120.5</v>
      </c>
      <c r="AZ53" s="485">
        <f t="shared" si="49"/>
        <v>2442.7166666666667</v>
      </c>
      <c r="BA53" s="481">
        <f t="shared" si="50"/>
        <v>2403.6</v>
      </c>
    </row>
    <row r="54" spans="1:53" ht="14.25" thickTop="1" thickBot="1">
      <c r="A54" s="536" t="s">
        <v>277</v>
      </c>
      <c r="B54" s="537" t="s">
        <v>300</v>
      </c>
      <c r="C54" s="538"/>
      <c r="D54" s="536">
        <v>108092</v>
      </c>
      <c r="E54" s="539">
        <v>6</v>
      </c>
      <c r="F54" s="486" t="s">
        <v>41</v>
      </c>
      <c r="G54" s="529" t="s">
        <v>41</v>
      </c>
      <c r="H54" s="506"/>
      <c r="I54" s="488">
        <v>0</v>
      </c>
      <c r="J54" s="506">
        <v>78825</v>
      </c>
      <c r="K54" s="488">
        <v>81620</v>
      </c>
      <c r="L54" s="506">
        <v>14723</v>
      </c>
      <c r="M54" s="488">
        <v>12744</v>
      </c>
      <c r="N54" s="506">
        <v>84807</v>
      </c>
      <c r="O54" s="488">
        <v>87885</v>
      </c>
      <c r="P54" s="479">
        <f t="shared" si="33"/>
        <v>178355</v>
      </c>
      <c r="Q54" s="480">
        <f t="shared" si="34"/>
        <v>5945.166666666667</v>
      </c>
      <c r="R54" s="481">
        <f t="shared" si="35"/>
        <v>182249</v>
      </c>
      <c r="S54" s="482">
        <f t="shared" si="36"/>
        <v>6074.9666666666662</v>
      </c>
      <c r="T54" s="506">
        <v>1530</v>
      </c>
      <c r="U54" s="824">
        <v>7665</v>
      </c>
      <c r="V54" s="479">
        <f t="shared" si="37"/>
        <v>178355</v>
      </c>
      <c r="W54" s="478">
        <f t="shared" si="38"/>
        <v>182249</v>
      </c>
      <c r="X54" s="506"/>
      <c r="Y54" s="488"/>
      <c r="Z54" s="506"/>
      <c r="AA54" s="488"/>
      <c r="AB54" s="506"/>
      <c r="AC54" s="488"/>
      <c r="AD54" s="506"/>
      <c r="AE54" s="507"/>
      <c r="AF54" s="479">
        <f t="shared" si="39"/>
        <v>0</v>
      </c>
      <c r="AG54" s="480">
        <f t="shared" si="40"/>
        <v>0</v>
      </c>
      <c r="AH54" s="481">
        <f t="shared" si="41"/>
        <v>0</v>
      </c>
      <c r="AI54" s="481">
        <f t="shared" si="42"/>
        <v>0</v>
      </c>
      <c r="AJ54" s="487"/>
      <c r="AK54" s="507"/>
      <c r="AL54" s="479">
        <f t="shared" si="43"/>
        <v>0</v>
      </c>
      <c r="AM54" s="482">
        <f t="shared" si="44"/>
        <v>0</v>
      </c>
      <c r="AN54" s="487"/>
      <c r="AO54" s="488">
        <v>0</v>
      </c>
      <c r="AP54" s="487">
        <v>0</v>
      </c>
      <c r="AQ54" s="488">
        <v>0</v>
      </c>
      <c r="AR54" s="487">
        <v>0</v>
      </c>
      <c r="AS54" s="488">
        <v>0</v>
      </c>
      <c r="AT54" s="487">
        <v>0</v>
      </c>
      <c r="AU54" s="488">
        <v>0</v>
      </c>
      <c r="AV54" s="479">
        <f t="shared" si="45"/>
        <v>0</v>
      </c>
      <c r="AW54" s="483">
        <f t="shared" si="46"/>
        <v>0</v>
      </c>
      <c r="AX54" s="481">
        <f t="shared" si="47"/>
        <v>0</v>
      </c>
      <c r="AY54" s="484">
        <f t="shared" si="48"/>
        <v>0</v>
      </c>
      <c r="AZ54" s="485">
        <f t="shared" si="49"/>
        <v>5945.166666666667</v>
      </c>
      <c r="BA54" s="481">
        <f t="shared" si="50"/>
        <v>6074.9666666666662</v>
      </c>
    </row>
    <row r="55" spans="1:53" ht="14.25" thickTop="1" thickBot="1">
      <c r="A55" s="536" t="s">
        <v>277</v>
      </c>
      <c r="B55" s="540" t="s">
        <v>301</v>
      </c>
      <c r="C55" s="538" t="s">
        <v>302</v>
      </c>
      <c r="D55" s="536">
        <v>106412</v>
      </c>
      <c r="E55" s="539">
        <v>6</v>
      </c>
      <c r="F55" s="486" t="s">
        <v>41</v>
      </c>
      <c r="G55" s="529" t="s">
        <v>41</v>
      </c>
      <c r="H55" s="506"/>
      <c r="I55" s="488">
        <v>0</v>
      </c>
      <c r="J55" s="506">
        <v>37521</v>
      </c>
      <c r="K55" s="488">
        <v>32959</v>
      </c>
      <c r="L55" s="506">
        <v>5110</v>
      </c>
      <c r="M55" s="488">
        <v>3636</v>
      </c>
      <c r="N55" s="506">
        <v>37638</v>
      </c>
      <c r="O55" s="488">
        <v>35159</v>
      </c>
      <c r="P55" s="479">
        <f t="shared" si="33"/>
        <v>80269</v>
      </c>
      <c r="Q55" s="480">
        <f t="shared" si="34"/>
        <v>2675.6333333333332</v>
      </c>
      <c r="R55" s="481">
        <f t="shared" si="35"/>
        <v>71754</v>
      </c>
      <c r="S55" s="482">
        <f t="shared" si="36"/>
        <v>2391.8000000000002</v>
      </c>
      <c r="T55" s="506">
        <v>0</v>
      </c>
      <c r="U55" s="507">
        <v>0</v>
      </c>
      <c r="V55" s="479">
        <f t="shared" si="37"/>
        <v>80269</v>
      </c>
      <c r="W55" s="478">
        <f t="shared" si="38"/>
        <v>71754</v>
      </c>
      <c r="X55" s="506"/>
      <c r="Y55" s="488"/>
      <c r="Z55" s="506"/>
      <c r="AA55" s="488"/>
      <c r="AB55" s="506"/>
      <c r="AC55" s="488"/>
      <c r="AD55" s="506"/>
      <c r="AE55" s="507"/>
      <c r="AF55" s="479">
        <f t="shared" si="39"/>
        <v>0</v>
      </c>
      <c r="AG55" s="480">
        <f t="shared" si="40"/>
        <v>0</v>
      </c>
      <c r="AH55" s="481">
        <f t="shared" si="41"/>
        <v>0</v>
      </c>
      <c r="AI55" s="481">
        <f t="shared" si="42"/>
        <v>0</v>
      </c>
      <c r="AJ55" s="487"/>
      <c r="AK55" s="507"/>
      <c r="AL55" s="479">
        <f t="shared" si="43"/>
        <v>0</v>
      </c>
      <c r="AM55" s="482">
        <f t="shared" si="44"/>
        <v>0</v>
      </c>
      <c r="AN55" s="487"/>
      <c r="AO55" s="488">
        <v>0</v>
      </c>
      <c r="AP55" s="487">
        <v>732</v>
      </c>
      <c r="AQ55" s="488">
        <v>642</v>
      </c>
      <c r="AR55" s="487">
        <v>277</v>
      </c>
      <c r="AS55" s="488">
        <v>311</v>
      </c>
      <c r="AT55" s="487">
        <v>623</v>
      </c>
      <c r="AU55" s="488">
        <v>628</v>
      </c>
      <c r="AV55" s="479">
        <f t="shared" si="45"/>
        <v>1632</v>
      </c>
      <c r="AW55" s="483">
        <f t="shared" si="46"/>
        <v>68</v>
      </c>
      <c r="AX55" s="481">
        <f t="shared" si="47"/>
        <v>1581</v>
      </c>
      <c r="AY55" s="484">
        <f t="shared" si="48"/>
        <v>65.875</v>
      </c>
      <c r="AZ55" s="485">
        <f t="shared" si="49"/>
        <v>2743.6333333333332</v>
      </c>
      <c r="BA55" s="481">
        <f t="shared" si="50"/>
        <v>2457.6750000000002</v>
      </c>
    </row>
    <row r="56" spans="1:53" ht="14.25" thickTop="1" thickBot="1">
      <c r="A56" s="536" t="s">
        <v>277</v>
      </c>
      <c r="B56" s="540" t="s">
        <v>303</v>
      </c>
      <c r="C56" s="541"/>
      <c r="D56" s="536">
        <v>367459</v>
      </c>
      <c r="E56" s="543">
        <v>8</v>
      </c>
      <c r="F56" s="486" t="s">
        <v>41</v>
      </c>
      <c r="G56" s="529" t="s">
        <v>41</v>
      </c>
      <c r="H56" s="506"/>
      <c r="I56" s="488">
        <v>0</v>
      </c>
      <c r="J56" s="506">
        <v>74726</v>
      </c>
      <c r="K56" s="488">
        <v>74059</v>
      </c>
      <c r="L56" s="506">
        <v>16520</v>
      </c>
      <c r="M56" s="488">
        <v>16612</v>
      </c>
      <c r="N56" s="506">
        <v>78065</v>
      </c>
      <c r="O56" s="544">
        <v>75010</v>
      </c>
      <c r="P56" s="479">
        <f t="shared" si="33"/>
        <v>169311</v>
      </c>
      <c r="Q56" s="480">
        <f t="shared" si="34"/>
        <v>5643.7</v>
      </c>
      <c r="R56" s="481">
        <f t="shared" si="35"/>
        <v>165681</v>
      </c>
      <c r="S56" s="482">
        <f t="shared" si="36"/>
        <v>5522.7</v>
      </c>
      <c r="T56" s="506">
        <v>6400</v>
      </c>
      <c r="U56" s="824">
        <v>6725</v>
      </c>
      <c r="V56" s="479">
        <f t="shared" si="37"/>
        <v>169311</v>
      </c>
      <c r="W56" s="478">
        <f t="shared" si="38"/>
        <v>165681</v>
      </c>
      <c r="X56" s="506"/>
      <c r="Y56" s="488"/>
      <c r="Z56" s="506"/>
      <c r="AA56" s="488"/>
      <c r="AB56" s="506"/>
      <c r="AC56" s="488"/>
      <c r="AD56" s="506"/>
      <c r="AE56" s="507"/>
      <c r="AF56" s="479">
        <f t="shared" si="39"/>
        <v>0</v>
      </c>
      <c r="AG56" s="480">
        <f t="shared" si="40"/>
        <v>0</v>
      </c>
      <c r="AH56" s="481">
        <f t="shared" si="41"/>
        <v>0</v>
      </c>
      <c r="AI56" s="481">
        <f t="shared" si="42"/>
        <v>0</v>
      </c>
      <c r="AJ56" s="487"/>
      <c r="AK56" s="507"/>
      <c r="AL56" s="479">
        <f t="shared" si="43"/>
        <v>0</v>
      </c>
      <c r="AM56" s="482">
        <f t="shared" si="44"/>
        <v>0</v>
      </c>
      <c r="AN56" s="487"/>
      <c r="AO56" s="488"/>
      <c r="AP56" s="487"/>
      <c r="AQ56" s="507"/>
      <c r="AR56" s="487"/>
      <c r="AS56" s="488"/>
      <c r="AT56" s="487"/>
      <c r="AU56" s="507"/>
      <c r="AV56" s="479">
        <f t="shared" si="45"/>
        <v>0</v>
      </c>
      <c r="AW56" s="483">
        <f t="shared" si="46"/>
        <v>0</v>
      </c>
      <c r="AX56" s="481">
        <f t="shared" si="47"/>
        <v>0</v>
      </c>
      <c r="AY56" s="484">
        <f t="shared" si="48"/>
        <v>0</v>
      </c>
      <c r="AZ56" s="485">
        <f t="shared" si="49"/>
        <v>5643.7</v>
      </c>
      <c r="BA56" s="481">
        <f t="shared" si="50"/>
        <v>5522.7</v>
      </c>
    </row>
    <row r="57" spans="1:53" ht="14.25" thickTop="1" thickBot="1">
      <c r="A57" s="536" t="s">
        <v>277</v>
      </c>
      <c r="B57" s="537" t="s">
        <v>304</v>
      </c>
      <c r="C57" s="538"/>
      <c r="D57" s="536">
        <v>107664</v>
      </c>
      <c r="E57" s="545">
        <v>8</v>
      </c>
      <c r="F57" s="486" t="s">
        <v>41</v>
      </c>
      <c r="G57" s="529" t="s">
        <v>41</v>
      </c>
      <c r="H57" s="506"/>
      <c r="I57" s="488">
        <v>0</v>
      </c>
      <c r="J57" s="506">
        <v>118448</v>
      </c>
      <c r="K57" s="488">
        <v>114316</v>
      </c>
      <c r="L57" s="506">
        <v>21689</v>
      </c>
      <c r="M57" s="488">
        <v>19331</v>
      </c>
      <c r="N57" s="506">
        <v>116649</v>
      </c>
      <c r="O57" s="824">
        <v>103936</v>
      </c>
      <c r="P57" s="479">
        <f t="shared" si="33"/>
        <v>256786</v>
      </c>
      <c r="Q57" s="480">
        <f t="shared" si="34"/>
        <v>8559.5333333333328</v>
      </c>
      <c r="R57" s="481">
        <f t="shared" si="35"/>
        <v>237583</v>
      </c>
      <c r="S57" s="482">
        <f t="shared" si="36"/>
        <v>7919.4333333333334</v>
      </c>
      <c r="T57" s="506">
        <v>1261</v>
      </c>
      <c r="U57" s="824">
        <v>2851</v>
      </c>
      <c r="V57" s="479">
        <f t="shared" si="37"/>
        <v>256786</v>
      </c>
      <c r="W57" s="478">
        <f t="shared" si="38"/>
        <v>237583</v>
      </c>
      <c r="X57" s="506"/>
      <c r="Y57" s="488"/>
      <c r="Z57" s="506"/>
      <c r="AA57" s="488"/>
      <c r="AB57" s="506"/>
      <c r="AC57" s="488"/>
      <c r="AD57" s="506"/>
      <c r="AE57" s="507"/>
      <c r="AF57" s="479">
        <f t="shared" si="39"/>
        <v>0</v>
      </c>
      <c r="AG57" s="480">
        <f t="shared" si="40"/>
        <v>0</v>
      </c>
      <c r="AH57" s="481">
        <f t="shared" si="41"/>
        <v>0</v>
      </c>
      <c r="AI57" s="481">
        <f t="shared" si="42"/>
        <v>0</v>
      </c>
      <c r="AJ57" s="487"/>
      <c r="AK57" s="507"/>
      <c r="AL57" s="479">
        <f t="shared" si="43"/>
        <v>0</v>
      </c>
      <c r="AM57" s="482">
        <f t="shared" si="44"/>
        <v>0</v>
      </c>
      <c r="AN57" s="487"/>
      <c r="AO57" s="488"/>
      <c r="AP57" s="487"/>
      <c r="AQ57" s="488"/>
      <c r="AR57" s="487"/>
      <c r="AS57" s="488"/>
      <c r="AT57" s="487"/>
      <c r="AU57" s="488"/>
      <c r="AV57" s="479">
        <f t="shared" si="45"/>
        <v>0</v>
      </c>
      <c r="AW57" s="483">
        <f t="shared" si="46"/>
        <v>0</v>
      </c>
      <c r="AX57" s="481">
        <f t="shared" si="47"/>
        <v>0</v>
      </c>
      <c r="AY57" s="484">
        <f t="shared" si="48"/>
        <v>0</v>
      </c>
      <c r="AZ57" s="485">
        <f t="shared" si="49"/>
        <v>8559.5333333333328</v>
      </c>
      <c r="BA57" s="481">
        <f t="shared" si="50"/>
        <v>7919.4333333333334</v>
      </c>
    </row>
    <row r="58" spans="1:53" ht="14.25" thickTop="1" thickBot="1">
      <c r="A58" s="536" t="s">
        <v>277</v>
      </c>
      <c r="B58" s="537" t="s">
        <v>305</v>
      </c>
      <c r="C58" s="538"/>
      <c r="D58" s="536">
        <v>106449</v>
      </c>
      <c r="E58" s="536">
        <v>9</v>
      </c>
      <c r="F58" s="486" t="s">
        <v>41</v>
      </c>
      <c r="G58" s="529" t="s">
        <v>41</v>
      </c>
      <c r="H58" s="506"/>
      <c r="I58" s="488">
        <v>0</v>
      </c>
      <c r="J58" s="506">
        <v>45198</v>
      </c>
      <c r="K58" s="488">
        <v>44228</v>
      </c>
      <c r="L58" s="506">
        <v>9675</v>
      </c>
      <c r="M58" s="488">
        <v>8835</v>
      </c>
      <c r="N58" s="506">
        <v>47448</v>
      </c>
      <c r="O58" s="488">
        <v>45025</v>
      </c>
      <c r="P58" s="479">
        <f t="shared" si="33"/>
        <v>102321</v>
      </c>
      <c r="Q58" s="480">
        <f t="shared" si="34"/>
        <v>3410.7</v>
      </c>
      <c r="R58" s="481">
        <f t="shared" si="35"/>
        <v>98088</v>
      </c>
      <c r="S58" s="482">
        <f t="shared" si="36"/>
        <v>3269.6</v>
      </c>
      <c r="T58" s="506">
        <v>5744</v>
      </c>
      <c r="U58" s="507">
        <v>8209</v>
      </c>
      <c r="V58" s="479">
        <f t="shared" si="37"/>
        <v>102321</v>
      </c>
      <c r="W58" s="478">
        <f t="shared" si="38"/>
        <v>98088</v>
      </c>
      <c r="X58" s="506"/>
      <c r="Y58" s="488"/>
      <c r="Z58" s="506"/>
      <c r="AA58" s="488"/>
      <c r="AB58" s="506"/>
      <c r="AC58" s="488"/>
      <c r="AD58" s="506"/>
      <c r="AE58" s="507"/>
      <c r="AF58" s="479">
        <f t="shared" si="39"/>
        <v>0</v>
      </c>
      <c r="AG58" s="480">
        <f t="shared" si="40"/>
        <v>0</v>
      </c>
      <c r="AH58" s="481">
        <f t="shared" si="41"/>
        <v>0</v>
      </c>
      <c r="AI58" s="481">
        <f t="shared" si="42"/>
        <v>0</v>
      </c>
      <c r="AJ58" s="487"/>
      <c r="AK58" s="507"/>
      <c r="AL58" s="479">
        <f t="shared" si="43"/>
        <v>0</v>
      </c>
      <c r="AM58" s="482">
        <f t="shared" si="44"/>
        <v>0</v>
      </c>
      <c r="AN58" s="487"/>
      <c r="AO58" s="488"/>
      <c r="AP58" s="487"/>
      <c r="AQ58" s="488"/>
      <c r="AR58" s="487"/>
      <c r="AS58" s="488"/>
      <c r="AT58" s="487"/>
      <c r="AU58" s="488"/>
      <c r="AV58" s="479">
        <f t="shared" si="45"/>
        <v>0</v>
      </c>
      <c r="AW58" s="483">
        <f t="shared" si="46"/>
        <v>0</v>
      </c>
      <c r="AX58" s="481">
        <f t="shared" si="47"/>
        <v>0</v>
      </c>
      <c r="AY58" s="484">
        <f t="shared" si="48"/>
        <v>0</v>
      </c>
      <c r="AZ58" s="485">
        <f t="shared" si="49"/>
        <v>3410.7</v>
      </c>
      <c r="BA58" s="481">
        <f t="shared" si="50"/>
        <v>3269.6</v>
      </c>
    </row>
    <row r="59" spans="1:53" ht="14.25" thickTop="1" thickBot="1">
      <c r="A59" s="536" t="s">
        <v>277</v>
      </c>
      <c r="B59" s="546" t="s">
        <v>306</v>
      </c>
      <c r="C59" s="538"/>
      <c r="D59" s="536">
        <v>106980</v>
      </c>
      <c r="E59" s="539">
        <v>9</v>
      </c>
      <c r="F59" s="486" t="s">
        <v>41</v>
      </c>
      <c r="G59" s="529" t="s">
        <v>41</v>
      </c>
      <c r="H59" s="506"/>
      <c r="I59" s="488">
        <v>0</v>
      </c>
      <c r="J59" s="506">
        <v>36294</v>
      </c>
      <c r="K59" s="488">
        <v>28997</v>
      </c>
      <c r="L59" s="506">
        <v>5944</v>
      </c>
      <c r="M59" s="488">
        <v>4459</v>
      </c>
      <c r="N59" s="506">
        <v>33758</v>
      </c>
      <c r="O59" s="488">
        <v>31398</v>
      </c>
      <c r="P59" s="479">
        <f t="shared" si="33"/>
        <v>75996</v>
      </c>
      <c r="Q59" s="480">
        <f t="shared" si="34"/>
        <v>2533.1999999999998</v>
      </c>
      <c r="R59" s="481">
        <f t="shared" si="35"/>
        <v>64854</v>
      </c>
      <c r="S59" s="482">
        <f t="shared" si="36"/>
        <v>2161.8000000000002</v>
      </c>
      <c r="T59" s="506">
        <v>5339</v>
      </c>
      <c r="U59" s="824">
        <v>6276</v>
      </c>
      <c r="V59" s="479">
        <f t="shared" si="37"/>
        <v>75996</v>
      </c>
      <c r="W59" s="478">
        <f t="shared" si="38"/>
        <v>64854</v>
      </c>
      <c r="X59" s="506"/>
      <c r="Y59" s="488"/>
      <c r="Z59" s="506"/>
      <c r="AA59" s="488"/>
      <c r="AB59" s="506"/>
      <c r="AC59" s="488"/>
      <c r="AD59" s="506"/>
      <c r="AE59" s="507"/>
      <c r="AF59" s="479">
        <f t="shared" si="39"/>
        <v>0</v>
      </c>
      <c r="AG59" s="480">
        <f t="shared" si="40"/>
        <v>0</v>
      </c>
      <c r="AH59" s="481">
        <f t="shared" si="41"/>
        <v>0</v>
      </c>
      <c r="AI59" s="481">
        <f t="shared" si="42"/>
        <v>0</v>
      </c>
      <c r="AJ59" s="487"/>
      <c r="AK59" s="507"/>
      <c r="AL59" s="479">
        <f t="shared" si="43"/>
        <v>0</v>
      </c>
      <c r="AM59" s="482">
        <f t="shared" si="44"/>
        <v>0</v>
      </c>
      <c r="AN59" s="487"/>
      <c r="AO59" s="488"/>
      <c r="AP59" s="487"/>
      <c r="AQ59" s="488"/>
      <c r="AR59" s="487"/>
      <c r="AS59" s="488"/>
      <c r="AT59" s="487"/>
      <c r="AU59" s="488"/>
      <c r="AV59" s="479">
        <f t="shared" si="45"/>
        <v>0</v>
      </c>
      <c r="AW59" s="483">
        <f t="shared" si="46"/>
        <v>0</v>
      </c>
      <c r="AX59" s="481">
        <f t="shared" si="47"/>
        <v>0</v>
      </c>
      <c r="AY59" s="484">
        <f t="shared" si="48"/>
        <v>0</v>
      </c>
      <c r="AZ59" s="485">
        <f t="shared" si="49"/>
        <v>2533.1999999999998</v>
      </c>
      <c r="BA59" s="481">
        <f t="shared" si="50"/>
        <v>2161.8000000000002</v>
      </c>
    </row>
    <row r="60" spans="1:53" ht="14.25" thickTop="1" thickBot="1">
      <c r="A60" s="536" t="s">
        <v>277</v>
      </c>
      <c r="B60" s="537" t="s">
        <v>307</v>
      </c>
      <c r="C60" s="538"/>
      <c r="D60" s="536">
        <v>107327</v>
      </c>
      <c r="E60" s="536">
        <v>10</v>
      </c>
      <c r="F60" s="486" t="s">
        <v>41</v>
      </c>
      <c r="G60" s="529" t="s">
        <v>41</v>
      </c>
      <c r="H60" s="506"/>
      <c r="I60" s="488">
        <v>0</v>
      </c>
      <c r="J60" s="506">
        <v>16635</v>
      </c>
      <c r="K60" s="825">
        <v>14784</v>
      </c>
      <c r="L60" s="741">
        <v>3987</v>
      </c>
      <c r="M60" s="488">
        <v>2995</v>
      </c>
      <c r="N60" s="506">
        <v>16099</v>
      </c>
      <c r="O60" s="488">
        <v>13417</v>
      </c>
      <c r="P60" s="479">
        <f t="shared" si="33"/>
        <v>36721</v>
      </c>
      <c r="Q60" s="480">
        <f t="shared" si="34"/>
        <v>1224.0333333333333</v>
      </c>
      <c r="R60" s="481">
        <f t="shared" si="35"/>
        <v>31196</v>
      </c>
      <c r="S60" s="482">
        <f t="shared" si="36"/>
        <v>1039.8666666666666</v>
      </c>
      <c r="T60" s="506">
        <v>893</v>
      </c>
      <c r="U60" s="507">
        <v>1232</v>
      </c>
      <c r="V60" s="479">
        <f t="shared" si="37"/>
        <v>36721</v>
      </c>
      <c r="W60" s="478">
        <f t="shared" si="38"/>
        <v>31196</v>
      </c>
      <c r="X60" s="506"/>
      <c r="Y60" s="488"/>
      <c r="Z60" s="506"/>
      <c r="AA60" s="488"/>
      <c r="AB60" s="506"/>
      <c r="AC60" s="488"/>
      <c r="AD60" s="506"/>
      <c r="AE60" s="507"/>
      <c r="AF60" s="479">
        <f t="shared" si="39"/>
        <v>0</v>
      </c>
      <c r="AG60" s="480">
        <f t="shared" si="40"/>
        <v>0</v>
      </c>
      <c r="AH60" s="481">
        <f t="shared" si="41"/>
        <v>0</v>
      </c>
      <c r="AI60" s="481">
        <f t="shared" si="42"/>
        <v>0</v>
      </c>
      <c r="AJ60" s="487"/>
      <c r="AK60" s="507"/>
      <c r="AL60" s="479">
        <f t="shared" si="43"/>
        <v>0</v>
      </c>
      <c r="AM60" s="482">
        <f t="shared" si="44"/>
        <v>0</v>
      </c>
      <c r="AN60" s="487"/>
      <c r="AO60" s="488"/>
      <c r="AP60" s="487"/>
      <c r="AQ60" s="488"/>
      <c r="AR60" s="487"/>
      <c r="AS60" s="488"/>
      <c r="AT60" s="487"/>
      <c r="AU60" s="488"/>
      <c r="AV60" s="479">
        <f t="shared" si="45"/>
        <v>0</v>
      </c>
      <c r="AW60" s="483">
        <f t="shared" si="46"/>
        <v>0</v>
      </c>
      <c r="AX60" s="481">
        <f t="shared" si="47"/>
        <v>0</v>
      </c>
      <c r="AY60" s="484">
        <f t="shared" si="48"/>
        <v>0</v>
      </c>
      <c r="AZ60" s="485">
        <f t="shared" si="49"/>
        <v>1224.0333333333333</v>
      </c>
      <c r="BA60" s="481">
        <f t="shared" si="50"/>
        <v>1039.8666666666666</v>
      </c>
    </row>
    <row r="61" spans="1:53" ht="14.25" thickTop="1" thickBot="1">
      <c r="A61" s="536" t="s">
        <v>277</v>
      </c>
      <c r="B61" s="537" t="s">
        <v>308</v>
      </c>
      <c r="C61" s="538"/>
      <c r="D61" s="536">
        <v>420538</v>
      </c>
      <c r="E61" s="536">
        <v>10</v>
      </c>
      <c r="F61" s="486" t="s">
        <v>41</v>
      </c>
      <c r="G61" s="529" t="s">
        <v>41</v>
      </c>
      <c r="H61" s="506"/>
      <c r="I61" s="488">
        <v>0</v>
      </c>
      <c r="J61" s="506">
        <v>16307</v>
      </c>
      <c r="K61" s="488">
        <v>16019</v>
      </c>
      <c r="L61" s="506">
        <v>2857</v>
      </c>
      <c r="M61" s="488">
        <v>3311</v>
      </c>
      <c r="N61" s="506">
        <v>16162</v>
      </c>
      <c r="O61" s="488">
        <v>16566</v>
      </c>
      <c r="P61" s="479">
        <f t="shared" si="33"/>
        <v>35326</v>
      </c>
      <c r="Q61" s="480">
        <f t="shared" si="34"/>
        <v>1177.5333333333333</v>
      </c>
      <c r="R61" s="481">
        <f t="shared" si="35"/>
        <v>35896</v>
      </c>
      <c r="S61" s="482">
        <f t="shared" si="36"/>
        <v>1196.5333333333333</v>
      </c>
      <c r="T61" s="506">
        <v>554</v>
      </c>
      <c r="U61" s="824">
        <v>534</v>
      </c>
      <c r="V61" s="479">
        <f t="shared" si="37"/>
        <v>35326</v>
      </c>
      <c r="W61" s="478">
        <f t="shared" si="38"/>
        <v>35896</v>
      </c>
      <c r="X61" s="506"/>
      <c r="Y61" s="488"/>
      <c r="Z61" s="506"/>
      <c r="AA61" s="488"/>
      <c r="AB61" s="506"/>
      <c r="AC61" s="488"/>
      <c r="AD61" s="506"/>
      <c r="AE61" s="507"/>
      <c r="AF61" s="479">
        <f t="shared" si="39"/>
        <v>0</v>
      </c>
      <c r="AG61" s="480">
        <f t="shared" si="40"/>
        <v>0</v>
      </c>
      <c r="AH61" s="481">
        <f t="shared" si="41"/>
        <v>0</v>
      </c>
      <c r="AI61" s="481">
        <f t="shared" si="42"/>
        <v>0</v>
      </c>
      <c r="AJ61" s="487"/>
      <c r="AK61" s="507"/>
      <c r="AL61" s="479">
        <f t="shared" si="43"/>
        <v>0</v>
      </c>
      <c r="AM61" s="482">
        <f t="shared" si="44"/>
        <v>0</v>
      </c>
      <c r="AN61" s="487"/>
      <c r="AO61" s="488"/>
      <c r="AP61" s="487"/>
      <c r="AQ61" s="488"/>
      <c r="AR61" s="487"/>
      <c r="AS61" s="488"/>
      <c r="AT61" s="487"/>
      <c r="AU61" s="488"/>
      <c r="AV61" s="479">
        <f t="shared" si="45"/>
        <v>0</v>
      </c>
      <c r="AW61" s="483">
        <f t="shared" si="46"/>
        <v>0</v>
      </c>
      <c r="AX61" s="481">
        <f t="shared" si="47"/>
        <v>0</v>
      </c>
      <c r="AY61" s="484">
        <f t="shared" si="48"/>
        <v>0</v>
      </c>
      <c r="AZ61" s="485">
        <f t="shared" si="49"/>
        <v>1177.5333333333333</v>
      </c>
      <c r="BA61" s="481">
        <f t="shared" si="50"/>
        <v>1196.5333333333333</v>
      </c>
    </row>
    <row r="62" spans="1:53" ht="14.25" thickTop="1" thickBot="1">
      <c r="A62" s="536" t="s">
        <v>277</v>
      </c>
      <c r="B62" s="537" t="s">
        <v>309</v>
      </c>
      <c r="C62" s="538"/>
      <c r="D62" s="536">
        <v>440402</v>
      </c>
      <c r="E62" s="536">
        <v>10</v>
      </c>
      <c r="F62" s="486" t="s">
        <v>41</v>
      </c>
      <c r="G62" s="529" t="s">
        <v>41</v>
      </c>
      <c r="H62" s="506"/>
      <c r="I62" s="488">
        <v>0</v>
      </c>
      <c r="J62" s="506">
        <v>16455</v>
      </c>
      <c r="K62" s="488">
        <v>19894</v>
      </c>
      <c r="L62" s="506">
        <v>7850</v>
      </c>
      <c r="M62" s="488">
        <v>8511</v>
      </c>
      <c r="N62" s="506">
        <v>16273</v>
      </c>
      <c r="O62" s="544">
        <v>19812</v>
      </c>
      <c r="P62" s="479">
        <f t="shared" si="33"/>
        <v>40578</v>
      </c>
      <c r="Q62" s="480">
        <f t="shared" si="34"/>
        <v>1352.6</v>
      </c>
      <c r="R62" s="481">
        <f t="shared" si="35"/>
        <v>48217</v>
      </c>
      <c r="S62" s="482">
        <f t="shared" si="36"/>
        <v>1607.2333333333333</v>
      </c>
      <c r="T62" s="506">
        <v>2129</v>
      </c>
      <c r="U62" s="824">
        <v>5903</v>
      </c>
      <c r="V62" s="479">
        <f t="shared" si="37"/>
        <v>40578</v>
      </c>
      <c r="W62" s="478">
        <f t="shared" si="38"/>
        <v>48217</v>
      </c>
      <c r="X62" s="506"/>
      <c r="Y62" s="488"/>
      <c r="Z62" s="506"/>
      <c r="AA62" s="488"/>
      <c r="AB62" s="506"/>
      <c r="AC62" s="488"/>
      <c r="AD62" s="506"/>
      <c r="AE62" s="507"/>
      <c r="AF62" s="479">
        <f t="shared" si="39"/>
        <v>0</v>
      </c>
      <c r="AG62" s="480">
        <f t="shared" si="40"/>
        <v>0</v>
      </c>
      <c r="AH62" s="481">
        <f t="shared" si="41"/>
        <v>0</v>
      </c>
      <c r="AI62" s="481">
        <f t="shared" si="42"/>
        <v>0</v>
      </c>
      <c r="AJ62" s="487"/>
      <c r="AK62" s="507"/>
      <c r="AL62" s="479">
        <f t="shared" si="43"/>
        <v>0</v>
      </c>
      <c r="AM62" s="482">
        <f t="shared" si="44"/>
        <v>0</v>
      </c>
      <c r="AN62" s="487"/>
      <c r="AO62" s="488"/>
      <c r="AP62" s="487"/>
      <c r="AQ62" s="488"/>
      <c r="AR62" s="487"/>
      <c r="AS62" s="488"/>
      <c r="AT62" s="487"/>
      <c r="AU62" s="488"/>
      <c r="AV62" s="479">
        <f t="shared" si="45"/>
        <v>0</v>
      </c>
      <c r="AW62" s="483">
        <f t="shared" si="46"/>
        <v>0</v>
      </c>
      <c r="AX62" s="481">
        <f t="shared" si="47"/>
        <v>0</v>
      </c>
      <c r="AY62" s="484">
        <f t="shared" si="48"/>
        <v>0</v>
      </c>
      <c r="AZ62" s="485">
        <f t="shared" si="49"/>
        <v>1352.6</v>
      </c>
      <c r="BA62" s="481">
        <f t="shared" si="50"/>
        <v>1607.2333333333333</v>
      </c>
    </row>
    <row r="63" spans="1:53" ht="14.25" thickTop="1" thickBot="1">
      <c r="A63" s="536" t="s">
        <v>277</v>
      </c>
      <c r="B63" s="540" t="s">
        <v>310</v>
      </c>
      <c r="C63" s="538"/>
      <c r="D63" s="536">
        <v>106625</v>
      </c>
      <c r="E63" s="536">
        <v>10</v>
      </c>
      <c r="F63" s="486" t="s">
        <v>41</v>
      </c>
      <c r="G63" s="529" t="s">
        <v>41</v>
      </c>
      <c r="H63" s="506"/>
      <c r="I63" s="488">
        <v>0</v>
      </c>
      <c r="J63" s="506">
        <v>26678</v>
      </c>
      <c r="K63" s="488">
        <v>25086</v>
      </c>
      <c r="L63" s="506">
        <v>5370</v>
      </c>
      <c r="M63" s="488">
        <v>5590</v>
      </c>
      <c r="N63" s="506">
        <v>27189</v>
      </c>
      <c r="O63" s="488">
        <v>25739</v>
      </c>
      <c r="P63" s="479">
        <f t="shared" si="33"/>
        <v>59237</v>
      </c>
      <c r="Q63" s="480">
        <f t="shared" si="34"/>
        <v>1974.5666666666666</v>
      </c>
      <c r="R63" s="481">
        <f t="shared" si="35"/>
        <v>56415</v>
      </c>
      <c r="S63" s="482">
        <f t="shared" si="36"/>
        <v>1880.5</v>
      </c>
      <c r="T63" s="506">
        <v>2681</v>
      </c>
      <c r="U63" s="824">
        <v>2856</v>
      </c>
      <c r="V63" s="479">
        <f t="shared" si="37"/>
        <v>59237</v>
      </c>
      <c r="W63" s="478">
        <f t="shared" si="38"/>
        <v>56415</v>
      </c>
      <c r="X63" s="506"/>
      <c r="Y63" s="488"/>
      <c r="Z63" s="506"/>
      <c r="AA63" s="488"/>
      <c r="AB63" s="506"/>
      <c r="AC63" s="488"/>
      <c r="AD63" s="506"/>
      <c r="AE63" s="507"/>
      <c r="AF63" s="479">
        <f t="shared" si="39"/>
        <v>0</v>
      </c>
      <c r="AG63" s="480">
        <f t="shared" si="40"/>
        <v>0</v>
      </c>
      <c r="AH63" s="481">
        <f t="shared" si="41"/>
        <v>0</v>
      </c>
      <c r="AI63" s="481">
        <f t="shared" si="42"/>
        <v>0</v>
      </c>
      <c r="AJ63" s="487"/>
      <c r="AK63" s="507"/>
      <c r="AL63" s="479">
        <f t="shared" si="43"/>
        <v>0</v>
      </c>
      <c r="AM63" s="482">
        <f t="shared" si="44"/>
        <v>0</v>
      </c>
      <c r="AN63" s="487"/>
      <c r="AO63" s="488"/>
      <c r="AP63" s="487"/>
      <c r="AQ63" s="488"/>
      <c r="AR63" s="487"/>
      <c r="AS63" s="488"/>
      <c r="AT63" s="487"/>
      <c r="AU63" s="488"/>
      <c r="AV63" s="479">
        <f t="shared" si="45"/>
        <v>0</v>
      </c>
      <c r="AW63" s="483">
        <f t="shared" si="46"/>
        <v>0</v>
      </c>
      <c r="AX63" s="481">
        <f t="shared" si="47"/>
        <v>0</v>
      </c>
      <c r="AY63" s="484">
        <f t="shared" si="48"/>
        <v>0</v>
      </c>
      <c r="AZ63" s="485">
        <f t="shared" si="49"/>
        <v>1974.5666666666666</v>
      </c>
      <c r="BA63" s="481">
        <f t="shared" si="50"/>
        <v>1880.5</v>
      </c>
    </row>
    <row r="64" spans="1:53" ht="13.5" thickTop="1">
      <c r="A64" s="536" t="s">
        <v>277</v>
      </c>
      <c r="B64" s="540" t="s">
        <v>311</v>
      </c>
      <c r="C64" s="541"/>
      <c r="D64" s="536">
        <v>107521</v>
      </c>
      <c r="E64" s="536">
        <v>10</v>
      </c>
      <c r="F64" s="486" t="s">
        <v>41</v>
      </c>
      <c r="G64" s="529" t="s">
        <v>41</v>
      </c>
      <c r="H64" s="506"/>
      <c r="I64" s="488">
        <v>0</v>
      </c>
      <c r="J64" s="506">
        <v>10597</v>
      </c>
      <c r="K64" s="488">
        <v>12111</v>
      </c>
      <c r="L64" s="506">
        <v>2342</v>
      </c>
      <c r="M64" s="488">
        <v>2706</v>
      </c>
      <c r="N64" s="506">
        <v>11431</v>
      </c>
      <c r="O64" s="488">
        <v>13793</v>
      </c>
      <c r="P64" s="479">
        <f t="shared" si="33"/>
        <v>24370</v>
      </c>
      <c r="Q64" s="480">
        <f t="shared" si="34"/>
        <v>812.33333333333337</v>
      </c>
      <c r="R64" s="481">
        <f t="shared" si="35"/>
        <v>28610</v>
      </c>
      <c r="S64" s="482">
        <f t="shared" si="36"/>
        <v>953.66666666666663</v>
      </c>
      <c r="T64" s="506">
        <v>2393</v>
      </c>
      <c r="U64" s="507">
        <v>6188</v>
      </c>
      <c r="V64" s="479">
        <f t="shared" si="37"/>
        <v>24370</v>
      </c>
      <c r="W64" s="478">
        <f t="shared" si="38"/>
        <v>28610</v>
      </c>
      <c r="X64" s="506"/>
      <c r="Y64" s="488"/>
      <c r="Z64" s="506"/>
      <c r="AA64" s="488"/>
      <c r="AB64" s="506"/>
      <c r="AC64" s="488"/>
      <c r="AD64" s="506"/>
      <c r="AE64" s="507"/>
      <c r="AF64" s="479">
        <f t="shared" si="39"/>
        <v>0</v>
      </c>
      <c r="AG64" s="480">
        <f t="shared" si="40"/>
        <v>0</v>
      </c>
      <c r="AH64" s="481">
        <f t="shared" si="41"/>
        <v>0</v>
      </c>
      <c r="AI64" s="481">
        <f t="shared" si="42"/>
        <v>0</v>
      </c>
      <c r="AJ64" s="487"/>
      <c r="AK64" s="507"/>
      <c r="AL64" s="479">
        <f t="shared" si="43"/>
        <v>0</v>
      </c>
      <c r="AM64" s="482">
        <f t="shared" si="44"/>
        <v>0</v>
      </c>
      <c r="AN64" s="487"/>
      <c r="AO64" s="488"/>
      <c r="AP64" s="487"/>
      <c r="AQ64" s="488"/>
      <c r="AR64" s="487"/>
      <c r="AS64" s="488"/>
      <c r="AT64" s="487"/>
      <c r="AU64" s="488"/>
      <c r="AV64" s="479">
        <f t="shared" si="45"/>
        <v>0</v>
      </c>
      <c r="AW64" s="483">
        <f t="shared" si="46"/>
        <v>0</v>
      </c>
      <c r="AX64" s="481">
        <f t="shared" si="47"/>
        <v>0</v>
      </c>
      <c r="AY64" s="484">
        <f t="shared" si="48"/>
        <v>0</v>
      </c>
      <c r="AZ64" s="485">
        <f t="shared" si="49"/>
        <v>812.33333333333337</v>
      </c>
      <c r="BA64" s="481">
        <f t="shared" si="50"/>
        <v>953.66666666666663</v>
      </c>
    </row>
    <row r="65" spans="1:53" ht="13.5" thickBot="1">
      <c r="A65" s="536" t="s">
        <v>277</v>
      </c>
      <c r="B65" s="537" t="s">
        <v>312</v>
      </c>
      <c r="C65" s="538"/>
      <c r="D65" s="536">
        <v>106795</v>
      </c>
      <c r="E65" s="536">
        <v>10</v>
      </c>
      <c r="F65" s="486" t="s">
        <v>41</v>
      </c>
      <c r="G65" s="529" t="s">
        <v>41</v>
      </c>
      <c r="H65" s="506"/>
      <c r="I65" s="488">
        <v>0</v>
      </c>
      <c r="J65" s="506">
        <v>12387</v>
      </c>
      <c r="K65" s="488">
        <v>13097</v>
      </c>
      <c r="L65" s="506">
        <v>2973</v>
      </c>
      <c r="M65" s="488">
        <v>2898</v>
      </c>
      <c r="N65" s="506">
        <v>14313</v>
      </c>
      <c r="O65" s="488">
        <v>14579</v>
      </c>
      <c r="P65" s="479">
        <f t="shared" si="33"/>
        <v>29673</v>
      </c>
      <c r="Q65" s="480">
        <f t="shared" si="34"/>
        <v>989.1</v>
      </c>
      <c r="R65" s="481">
        <f t="shared" si="35"/>
        <v>30574</v>
      </c>
      <c r="S65" s="482">
        <f t="shared" si="36"/>
        <v>1019.1333333333333</v>
      </c>
      <c r="T65" s="506">
        <v>3561</v>
      </c>
      <c r="U65" s="507">
        <v>3522</v>
      </c>
      <c r="V65" s="479">
        <f t="shared" si="37"/>
        <v>29673</v>
      </c>
      <c r="W65" s="478">
        <f t="shared" si="38"/>
        <v>30574</v>
      </c>
      <c r="X65" s="506"/>
      <c r="Y65" s="488"/>
      <c r="Z65" s="506"/>
      <c r="AA65" s="488"/>
      <c r="AB65" s="506"/>
      <c r="AC65" s="488"/>
      <c r="AD65" s="506"/>
      <c r="AE65" s="507"/>
      <c r="AF65" s="479">
        <f t="shared" si="39"/>
        <v>0</v>
      </c>
      <c r="AG65" s="480">
        <f t="shared" si="40"/>
        <v>0</v>
      </c>
      <c r="AH65" s="481">
        <f t="shared" si="41"/>
        <v>0</v>
      </c>
      <c r="AI65" s="481">
        <f t="shared" si="42"/>
        <v>0</v>
      </c>
      <c r="AJ65" s="487"/>
      <c r="AK65" s="507"/>
      <c r="AL65" s="479">
        <f t="shared" si="43"/>
        <v>0</v>
      </c>
      <c r="AM65" s="482">
        <f t="shared" si="44"/>
        <v>0</v>
      </c>
      <c r="AN65" s="487"/>
      <c r="AO65" s="488"/>
      <c r="AP65" s="487"/>
      <c r="AQ65" s="488"/>
      <c r="AR65" s="487"/>
      <c r="AS65" s="488"/>
      <c r="AT65" s="487"/>
      <c r="AU65" s="488"/>
      <c r="AV65" s="479">
        <f t="shared" si="45"/>
        <v>0</v>
      </c>
      <c r="AW65" s="483">
        <f t="shared" si="46"/>
        <v>0</v>
      </c>
      <c r="AX65" s="481">
        <f t="shared" si="47"/>
        <v>0</v>
      </c>
      <c r="AY65" s="484">
        <f t="shared" si="48"/>
        <v>0</v>
      </c>
      <c r="AZ65" s="485">
        <f t="shared" si="49"/>
        <v>989.1</v>
      </c>
      <c r="BA65" s="481">
        <f t="shared" si="50"/>
        <v>1019.1333333333333</v>
      </c>
    </row>
    <row r="66" spans="1:53" ht="14.25" thickTop="1" thickBot="1">
      <c r="A66" s="536" t="s">
        <v>277</v>
      </c>
      <c r="B66" s="537" t="s">
        <v>313</v>
      </c>
      <c r="C66" s="538"/>
      <c r="D66" s="536">
        <v>106883</v>
      </c>
      <c r="E66" s="536">
        <v>10</v>
      </c>
      <c r="F66" s="486" t="s">
        <v>41</v>
      </c>
      <c r="G66" s="529" t="s">
        <v>41</v>
      </c>
      <c r="H66" s="506"/>
      <c r="I66" s="488">
        <v>0</v>
      </c>
      <c r="J66" s="506">
        <v>11239</v>
      </c>
      <c r="K66" s="488">
        <v>12157</v>
      </c>
      <c r="L66" s="506">
        <v>3415</v>
      </c>
      <c r="M66" s="488">
        <v>3139</v>
      </c>
      <c r="N66" s="506">
        <v>13468</v>
      </c>
      <c r="O66" s="488">
        <v>12271</v>
      </c>
      <c r="P66" s="479">
        <f t="shared" si="33"/>
        <v>28122</v>
      </c>
      <c r="Q66" s="480">
        <f t="shared" si="34"/>
        <v>937.4</v>
      </c>
      <c r="R66" s="481">
        <f t="shared" si="35"/>
        <v>27567</v>
      </c>
      <c r="S66" s="482">
        <f t="shared" si="36"/>
        <v>918.9</v>
      </c>
      <c r="T66" s="506">
        <v>2030</v>
      </c>
      <c r="U66" s="824">
        <v>2737</v>
      </c>
      <c r="V66" s="479">
        <f t="shared" si="37"/>
        <v>28122</v>
      </c>
      <c r="W66" s="478">
        <f t="shared" si="38"/>
        <v>27567</v>
      </c>
      <c r="X66" s="506"/>
      <c r="Y66" s="488"/>
      <c r="Z66" s="506"/>
      <c r="AA66" s="488"/>
      <c r="AB66" s="506"/>
      <c r="AC66" s="488"/>
      <c r="AD66" s="506"/>
      <c r="AE66" s="507"/>
      <c r="AF66" s="479">
        <f t="shared" si="39"/>
        <v>0</v>
      </c>
      <c r="AG66" s="480">
        <f t="shared" si="40"/>
        <v>0</v>
      </c>
      <c r="AH66" s="481">
        <f t="shared" si="41"/>
        <v>0</v>
      </c>
      <c r="AI66" s="481">
        <f t="shared" si="42"/>
        <v>0</v>
      </c>
      <c r="AJ66" s="487"/>
      <c r="AK66" s="507"/>
      <c r="AL66" s="479">
        <f t="shared" si="43"/>
        <v>0</v>
      </c>
      <c r="AM66" s="482">
        <f t="shared" si="44"/>
        <v>0</v>
      </c>
      <c r="AN66" s="487"/>
      <c r="AO66" s="488"/>
      <c r="AP66" s="487"/>
      <c r="AQ66" s="488"/>
      <c r="AR66" s="487"/>
      <c r="AS66" s="488"/>
      <c r="AT66" s="487"/>
      <c r="AU66" s="488"/>
      <c r="AV66" s="479">
        <f t="shared" si="45"/>
        <v>0</v>
      </c>
      <c r="AW66" s="483">
        <f t="shared" si="46"/>
        <v>0</v>
      </c>
      <c r="AX66" s="481">
        <f t="shared" si="47"/>
        <v>0</v>
      </c>
      <c r="AY66" s="484">
        <f t="shared" si="48"/>
        <v>0</v>
      </c>
      <c r="AZ66" s="485">
        <f t="shared" si="49"/>
        <v>937.4</v>
      </c>
      <c r="BA66" s="481">
        <f t="shared" si="50"/>
        <v>918.9</v>
      </c>
    </row>
    <row r="67" spans="1:53" ht="14.25" thickTop="1" thickBot="1">
      <c r="A67" s="536" t="s">
        <v>277</v>
      </c>
      <c r="B67" s="537" t="s">
        <v>314</v>
      </c>
      <c r="C67" s="538"/>
      <c r="D67" s="536">
        <v>107318</v>
      </c>
      <c r="E67" s="536">
        <v>10</v>
      </c>
      <c r="F67" s="486" t="s">
        <v>41</v>
      </c>
      <c r="G67" s="529" t="s">
        <v>41</v>
      </c>
      <c r="H67" s="506"/>
      <c r="I67" s="488">
        <v>0</v>
      </c>
      <c r="J67" s="506">
        <v>17322</v>
      </c>
      <c r="K67" s="488">
        <v>15788</v>
      </c>
      <c r="L67" s="506">
        <v>2726</v>
      </c>
      <c r="M67" s="488">
        <v>3007</v>
      </c>
      <c r="N67" s="506">
        <v>17703</v>
      </c>
      <c r="O67" s="488">
        <v>16909</v>
      </c>
      <c r="P67" s="479">
        <f t="shared" si="33"/>
        <v>37751</v>
      </c>
      <c r="Q67" s="480">
        <f t="shared" si="34"/>
        <v>1258.3666666666666</v>
      </c>
      <c r="R67" s="481">
        <f t="shared" si="35"/>
        <v>35704</v>
      </c>
      <c r="S67" s="482">
        <f t="shared" si="36"/>
        <v>1190.1333333333334</v>
      </c>
      <c r="T67" s="506">
        <v>4902</v>
      </c>
      <c r="U67" s="824">
        <v>4871</v>
      </c>
      <c r="V67" s="479">
        <f t="shared" si="37"/>
        <v>37751</v>
      </c>
      <c r="W67" s="478">
        <f t="shared" si="38"/>
        <v>35704</v>
      </c>
      <c r="X67" s="506"/>
      <c r="Y67" s="488"/>
      <c r="Z67" s="506"/>
      <c r="AA67" s="488"/>
      <c r="AB67" s="506"/>
      <c r="AC67" s="488"/>
      <c r="AD67" s="506"/>
      <c r="AE67" s="507"/>
      <c r="AF67" s="479">
        <f t="shared" si="39"/>
        <v>0</v>
      </c>
      <c r="AG67" s="480">
        <f t="shared" si="40"/>
        <v>0</v>
      </c>
      <c r="AH67" s="481">
        <f t="shared" si="41"/>
        <v>0</v>
      </c>
      <c r="AI67" s="481">
        <f t="shared" si="42"/>
        <v>0</v>
      </c>
      <c r="AJ67" s="487"/>
      <c r="AK67" s="507"/>
      <c r="AL67" s="479">
        <f t="shared" si="43"/>
        <v>0</v>
      </c>
      <c r="AM67" s="482">
        <f t="shared" si="44"/>
        <v>0</v>
      </c>
      <c r="AN67" s="487"/>
      <c r="AO67" s="488"/>
      <c r="AP67" s="487"/>
      <c r="AQ67" s="488"/>
      <c r="AR67" s="487"/>
      <c r="AS67" s="488"/>
      <c r="AT67" s="487"/>
      <c r="AU67" s="488"/>
      <c r="AV67" s="479">
        <f t="shared" si="45"/>
        <v>0</v>
      </c>
      <c r="AW67" s="483">
        <f t="shared" si="46"/>
        <v>0</v>
      </c>
      <c r="AX67" s="481">
        <f t="shared" si="47"/>
        <v>0</v>
      </c>
      <c r="AY67" s="484">
        <f t="shared" si="48"/>
        <v>0</v>
      </c>
      <c r="AZ67" s="485">
        <f t="shared" si="49"/>
        <v>1258.3666666666666</v>
      </c>
      <c r="BA67" s="481">
        <f t="shared" si="50"/>
        <v>1190.1333333333334</v>
      </c>
    </row>
    <row r="68" spans="1:53" ht="14.25" thickTop="1" thickBot="1">
      <c r="A68" s="536" t="s">
        <v>277</v>
      </c>
      <c r="B68" s="537" t="s">
        <v>315</v>
      </c>
      <c r="C68" s="538"/>
      <c r="D68" s="536">
        <v>107460</v>
      </c>
      <c r="E68" s="536">
        <v>10</v>
      </c>
      <c r="F68" s="486" t="s">
        <v>41</v>
      </c>
      <c r="G68" s="529" t="s">
        <v>41</v>
      </c>
      <c r="H68" s="506"/>
      <c r="I68" s="488">
        <v>0</v>
      </c>
      <c r="J68" s="506">
        <v>24309</v>
      </c>
      <c r="K68" s="488">
        <v>23361</v>
      </c>
      <c r="L68" s="506">
        <v>2910</v>
      </c>
      <c r="M68" s="488">
        <v>2730</v>
      </c>
      <c r="N68" s="506">
        <v>24390</v>
      </c>
      <c r="O68" s="488">
        <v>23718</v>
      </c>
      <c r="P68" s="479">
        <f t="shared" si="33"/>
        <v>51609</v>
      </c>
      <c r="Q68" s="480">
        <f t="shared" si="34"/>
        <v>1720.3</v>
      </c>
      <c r="R68" s="481">
        <f t="shared" si="35"/>
        <v>49809</v>
      </c>
      <c r="S68" s="482">
        <f t="shared" si="36"/>
        <v>1660.3</v>
      </c>
      <c r="T68" s="506">
        <v>791</v>
      </c>
      <c r="U68" s="507">
        <v>2303</v>
      </c>
      <c r="V68" s="479">
        <f t="shared" si="37"/>
        <v>51609</v>
      </c>
      <c r="W68" s="478">
        <f t="shared" si="38"/>
        <v>49809</v>
      </c>
      <c r="X68" s="506"/>
      <c r="Y68" s="488"/>
      <c r="Z68" s="506"/>
      <c r="AA68" s="488"/>
      <c r="AB68" s="506"/>
      <c r="AC68" s="488"/>
      <c r="AD68" s="506"/>
      <c r="AE68" s="507"/>
      <c r="AF68" s="479">
        <f t="shared" si="39"/>
        <v>0</v>
      </c>
      <c r="AG68" s="480">
        <f t="shared" si="40"/>
        <v>0</v>
      </c>
      <c r="AH68" s="481">
        <f t="shared" si="41"/>
        <v>0</v>
      </c>
      <c r="AI68" s="481">
        <f t="shared" si="42"/>
        <v>0</v>
      </c>
      <c r="AJ68" s="487"/>
      <c r="AK68" s="507"/>
      <c r="AL68" s="479">
        <f t="shared" si="43"/>
        <v>0</v>
      </c>
      <c r="AM68" s="482">
        <f t="shared" si="44"/>
        <v>0</v>
      </c>
      <c r="AN68" s="487"/>
      <c r="AO68" s="488"/>
      <c r="AP68" s="487"/>
      <c r="AQ68" s="488"/>
      <c r="AR68" s="487"/>
      <c r="AS68" s="488"/>
      <c r="AT68" s="487"/>
      <c r="AU68" s="488"/>
      <c r="AV68" s="479">
        <f t="shared" si="45"/>
        <v>0</v>
      </c>
      <c r="AW68" s="483">
        <f t="shared" si="46"/>
        <v>0</v>
      </c>
      <c r="AX68" s="481">
        <f t="shared" si="47"/>
        <v>0</v>
      </c>
      <c r="AY68" s="484">
        <f t="shared" si="48"/>
        <v>0</v>
      </c>
      <c r="AZ68" s="485">
        <f t="shared" si="49"/>
        <v>1720.3</v>
      </c>
      <c r="BA68" s="481">
        <f t="shared" si="50"/>
        <v>1660.3</v>
      </c>
    </row>
    <row r="69" spans="1:53" ht="14.25" thickTop="1" thickBot="1">
      <c r="A69" s="536" t="s">
        <v>277</v>
      </c>
      <c r="B69" s="537" t="s">
        <v>316</v>
      </c>
      <c r="C69" s="538"/>
      <c r="D69" s="536">
        <v>107549</v>
      </c>
      <c r="E69" s="536">
        <v>10</v>
      </c>
      <c r="F69" s="486" t="s">
        <v>41</v>
      </c>
      <c r="G69" s="529" t="s">
        <v>41</v>
      </c>
      <c r="H69" s="506"/>
      <c r="I69" s="488">
        <v>0</v>
      </c>
      <c r="J69" s="506">
        <v>16870</v>
      </c>
      <c r="K69" s="488">
        <v>15871</v>
      </c>
      <c r="L69" s="506">
        <v>3635</v>
      </c>
      <c r="M69" s="824">
        <v>4096</v>
      </c>
      <c r="N69" s="741">
        <v>16710</v>
      </c>
      <c r="O69" s="488">
        <v>15600</v>
      </c>
      <c r="P69" s="479">
        <f t="shared" si="33"/>
        <v>37215</v>
      </c>
      <c r="Q69" s="480">
        <f t="shared" si="34"/>
        <v>1240.5</v>
      </c>
      <c r="R69" s="481">
        <f t="shared" si="35"/>
        <v>35567</v>
      </c>
      <c r="S69" s="482">
        <f t="shared" si="36"/>
        <v>1185.5666666666666</v>
      </c>
      <c r="T69" s="506">
        <v>1519</v>
      </c>
      <c r="U69" s="824">
        <v>2222</v>
      </c>
      <c r="V69" s="479">
        <f t="shared" si="37"/>
        <v>37215</v>
      </c>
      <c r="W69" s="478">
        <f t="shared" si="38"/>
        <v>35567</v>
      </c>
      <c r="X69" s="506"/>
      <c r="Y69" s="488"/>
      <c r="Z69" s="506"/>
      <c r="AA69" s="488"/>
      <c r="AB69" s="506"/>
      <c r="AC69" s="488"/>
      <c r="AD69" s="506"/>
      <c r="AE69" s="507"/>
      <c r="AF69" s="479">
        <f t="shared" si="39"/>
        <v>0</v>
      </c>
      <c r="AG69" s="480">
        <f t="shared" si="40"/>
        <v>0</v>
      </c>
      <c r="AH69" s="481">
        <f t="shared" si="41"/>
        <v>0</v>
      </c>
      <c r="AI69" s="481">
        <f t="shared" si="42"/>
        <v>0</v>
      </c>
      <c r="AJ69" s="487"/>
      <c r="AK69" s="507"/>
      <c r="AL69" s="479">
        <f t="shared" si="43"/>
        <v>0</v>
      </c>
      <c r="AM69" s="482">
        <f t="shared" si="44"/>
        <v>0</v>
      </c>
      <c r="AN69" s="487"/>
      <c r="AO69" s="488"/>
      <c r="AP69" s="487"/>
      <c r="AQ69" s="488"/>
      <c r="AR69" s="487"/>
      <c r="AS69" s="488"/>
      <c r="AT69" s="487"/>
      <c r="AU69" s="488"/>
      <c r="AV69" s="479">
        <f t="shared" si="45"/>
        <v>0</v>
      </c>
      <c r="AW69" s="483">
        <f t="shared" si="46"/>
        <v>0</v>
      </c>
      <c r="AX69" s="481">
        <f t="shared" si="47"/>
        <v>0</v>
      </c>
      <c r="AY69" s="484">
        <f t="shared" si="48"/>
        <v>0</v>
      </c>
      <c r="AZ69" s="485">
        <f t="shared" si="49"/>
        <v>1240.5</v>
      </c>
      <c r="BA69" s="481">
        <f t="shared" si="50"/>
        <v>1185.5666666666666</v>
      </c>
    </row>
    <row r="70" spans="1:53" ht="14.25" thickTop="1" thickBot="1">
      <c r="A70" s="536" t="s">
        <v>277</v>
      </c>
      <c r="B70" s="537" t="s">
        <v>317</v>
      </c>
      <c r="C70" s="538"/>
      <c r="D70" s="536">
        <v>107619</v>
      </c>
      <c r="E70" s="536">
        <v>10</v>
      </c>
      <c r="F70" s="486" t="s">
        <v>41</v>
      </c>
      <c r="G70" s="529" t="s">
        <v>41</v>
      </c>
      <c r="H70" s="506"/>
      <c r="I70" s="488">
        <v>0</v>
      </c>
      <c r="J70" s="506">
        <v>15618</v>
      </c>
      <c r="K70" s="488">
        <v>14740</v>
      </c>
      <c r="L70" s="506">
        <v>2799</v>
      </c>
      <c r="M70" s="824">
        <v>2940</v>
      </c>
      <c r="N70" s="741">
        <v>16978</v>
      </c>
      <c r="O70" s="824">
        <v>17284</v>
      </c>
      <c r="P70" s="479">
        <f t="shared" si="33"/>
        <v>35395</v>
      </c>
      <c r="Q70" s="480">
        <f t="shared" si="34"/>
        <v>1179.8333333333333</v>
      </c>
      <c r="R70" s="481">
        <f t="shared" si="35"/>
        <v>34964</v>
      </c>
      <c r="S70" s="482">
        <f t="shared" si="36"/>
        <v>1165.4666666666667</v>
      </c>
      <c r="T70" s="506">
        <v>7104</v>
      </c>
      <c r="U70" s="824">
        <v>7458</v>
      </c>
      <c r="V70" s="479">
        <f t="shared" si="37"/>
        <v>35395</v>
      </c>
      <c r="W70" s="478">
        <f t="shared" si="38"/>
        <v>34964</v>
      </c>
      <c r="X70" s="506"/>
      <c r="Y70" s="488"/>
      <c r="Z70" s="506"/>
      <c r="AA70" s="488"/>
      <c r="AB70" s="506"/>
      <c r="AC70" s="488"/>
      <c r="AD70" s="506"/>
      <c r="AE70" s="507"/>
      <c r="AF70" s="479">
        <f t="shared" si="39"/>
        <v>0</v>
      </c>
      <c r="AG70" s="480">
        <f t="shared" si="40"/>
        <v>0</v>
      </c>
      <c r="AH70" s="481">
        <f t="shared" si="41"/>
        <v>0</v>
      </c>
      <c r="AI70" s="481">
        <f t="shared" si="42"/>
        <v>0</v>
      </c>
      <c r="AJ70" s="487"/>
      <c r="AK70" s="507"/>
      <c r="AL70" s="479">
        <f t="shared" si="43"/>
        <v>0</v>
      </c>
      <c r="AM70" s="482">
        <f t="shared" si="44"/>
        <v>0</v>
      </c>
      <c r="AN70" s="487"/>
      <c r="AO70" s="488"/>
      <c r="AP70" s="487"/>
      <c r="AQ70" s="488"/>
      <c r="AR70" s="487"/>
      <c r="AS70" s="488"/>
      <c r="AT70" s="487"/>
      <c r="AU70" s="488"/>
      <c r="AV70" s="479">
        <f t="shared" si="45"/>
        <v>0</v>
      </c>
      <c r="AW70" s="483">
        <f t="shared" si="46"/>
        <v>0</v>
      </c>
      <c r="AX70" s="481">
        <f t="shared" si="47"/>
        <v>0</v>
      </c>
      <c r="AY70" s="484">
        <f t="shared" si="48"/>
        <v>0</v>
      </c>
      <c r="AZ70" s="485">
        <f t="shared" si="49"/>
        <v>1179.8333333333333</v>
      </c>
      <c r="BA70" s="481">
        <f t="shared" si="50"/>
        <v>1165.4666666666667</v>
      </c>
    </row>
    <row r="71" spans="1:53" ht="14.25" thickTop="1" thickBot="1">
      <c r="A71" s="536" t="s">
        <v>277</v>
      </c>
      <c r="B71" s="537" t="s">
        <v>318</v>
      </c>
      <c r="C71" s="538"/>
      <c r="D71" s="536">
        <v>107743</v>
      </c>
      <c r="E71" s="536">
        <v>10</v>
      </c>
      <c r="F71" s="486" t="s">
        <v>41</v>
      </c>
      <c r="G71" s="529" t="s">
        <v>41</v>
      </c>
      <c r="H71" s="506"/>
      <c r="I71" s="488">
        <v>0</v>
      </c>
      <c r="J71" s="506">
        <v>7202</v>
      </c>
      <c r="K71" s="488">
        <v>8600</v>
      </c>
      <c r="L71" s="506">
        <v>1540</v>
      </c>
      <c r="M71" s="488">
        <v>1416</v>
      </c>
      <c r="N71" s="506">
        <v>8950</v>
      </c>
      <c r="O71" s="488">
        <v>8571</v>
      </c>
      <c r="P71" s="479">
        <f t="shared" si="33"/>
        <v>17692</v>
      </c>
      <c r="Q71" s="480">
        <f t="shared" si="34"/>
        <v>589.73333333333335</v>
      </c>
      <c r="R71" s="481">
        <f t="shared" si="35"/>
        <v>18587</v>
      </c>
      <c r="S71" s="482">
        <f t="shared" si="36"/>
        <v>619.56666666666672</v>
      </c>
      <c r="T71" s="506">
        <v>1379</v>
      </c>
      <c r="U71" s="824">
        <v>2775</v>
      </c>
      <c r="V71" s="479">
        <f t="shared" si="37"/>
        <v>17692</v>
      </c>
      <c r="W71" s="478">
        <f t="shared" si="38"/>
        <v>18587</v>
      </c>
      <c r="X71" s="506"/>
      <c r="Y71" s="488"/>
      <c r="Z71" s="506"/>
      <c r="AA71" s="488"/>
      <c r="AB71" s="506"/>
      <c r="AC71" s="488"/>
      <c r="AD71" s="506"/>
      <c r="AE71" s="507"/>
      <c r="AF71" s="479">
        <f t="shared" si="39"/>
        <v>0</v>
      </c>
      <c r="AG71" s="480">
        <f t="shared" si="40"/>
        <v>0</v>
      </c>
      <c r="AH71" s="481">
        <f t="shared" si="41"/>
        <v>0</v>
      </c>
      <c r="AI71" s="481">
        <f t="shared" si="42"/>
        <v>0</v>
      </c>
      <c r="AJ71" s="487"/>
      <c r="AK71" s="507"/>
      <c r="AL71" s="479">
        <f t="shared" si="43"/>
        <v>0</v>
      </c>
      <c r="AM71" s="482">
        <f t="shared" si="44"/>
        <v>0</v>
      </c>
      <c r="AN71" s="487"/>
      <c r="AO71" s="488"/>
      <c r="AP71" s="487"/>
      <c r="AQ71" s="488"/>
      <c r="AR71" s="487"/>
      <c r="AS71" s="488"/>
      <c r="AT71" s="487"/>
      <c r="AU71" s="488"/>
      <c r="AV71" s="479">
        <f t="shared" si="45"/>
        <v>0</v>
      </c>
      <c r="AW71" s="483">
        <f t="shared" si="46"/>
        <v>0</v>
      </c>
      <c r="AX71" s="481">
        <f t="shared" si="47"/>
        <v>0</v>
      </c>
      <c r="AY71" s="484">
        <f t="shared" si="48"/>
        <v>0</v>
      </c>
      <c r="AZ71" s="485">
        <f t="shared" si="49"/>
        <v>589.73333333333335</v>
      </c>
      <c r="BA71" s="481">
        <f t="shared" si="50"/>
        <v>619.56666666666672</v>
      </c>
    </row>
    <row r="72" spans="1:53" ht="13.5" thickTop="1">
      <c r="A72" s="536" t="s">
        <v>277</v>
      </c>
      <c r="B72" s="537" t="s">
        <v>319</v>
      </c>
      <c r="C72" s="538"/>
      <c r="D72" s="536">
        <v>107974</v>
      </c>
      <c r="E72" s="536">
        <v>10</v>
      </c>
      <c r="F72" s="486" t="s">
        <v>41</v>
      </c>
      <c r="G72" s="529" t="s">
        <v>41</v>
      </c>
      <c r="H72" s="506"/>
      <c r="I72" s="488">
        <v>0</v>
      </c>
      <c r="J72" s="506">
        <v>17434</v>
      </c>
      <c r="K72" s="488">
        <v>16071</v>
      </c>
      <c r="L72" s="506">
        <v>6320</v>
      </c>
      <c r="M72" s="488">
        <v>5539</v>
      </c>
      <c r="N72" s="506">
        <v>15924</v>
      </c>
      <c r="O72" s="488">
        <v>14961</v>
      </c>
      <c r="P72" s="479">
        <f t="shared" ref="P72:P135" si="51">SUM(H72,J72,L72,N72)</f>
        <v>39678</v>
      </c>
      <c r="Q72" s="480">
        <f t="shared" ref="Q72:Q135" si="52">+P72/30</f>
        <v>1322.6</v>
      </c>
      <c r="R72" s="481">
        <f t="shared" ref="R72:R135" si="53">SUM(I72,K72,M72,O72)</f>
        <v>36571</v>
      </c>
      <c r="S72" s="482">
        <f t="shared" ref="S72:S135" si="54">+R72/30</f>
        <v>1219.0333333333333</v>
      </c>
      <c r="T72" s="506">
        <v>2752</v>
      </c>
      <c r="U72" s="507">
        <v>2475</v>
      </c>
      <c r="V72" s="479">
        <f t="shared" ref="V72:V135" si="55">IF(ISBLANK(T72),0,P72)</f>
        <v>39678</v>
      </c>
      <c r="W72" s="478">
        <f t="shared" ref="W72:W135" si="56">IF(ISBLANK(U72),0,R72)</f>
        <v>36571</v>
      </c>
      <c r="X72" s="506"/>
      <c r="Y72" s="488"/>
      <c r="Z72" s="506"/>
      <c r="AA72" s="488"/>
      <c r="AB72" s="506"/>
      <c r="AC72" s="488"/>
      <c r="AD72" s="506"/>
      <c r="AE72" s="507"/>
      <c r="AF72" s="479">
        <f t="shared" ref="AF72:AF135" si="57">SUM(X72,Z72,AB72,AD72)</f>
        <v>0</v>
      </c>
      <c r="AG72" s="480">
        <f t="shared" ref="AG72:AG135" si="58">+AF72/900</f>
        <v>0</v>
      </c>
      <c r="AH72" s="481">
        <f t="shared" ref="AH72:AH135" si="59">SUM(Y72,AA72,AC72,AE72)</f>
        <v>0</v>
      </c>
      <c r="AI72" s="481">
        <f t="shared" ref="AI72:AI135" si="60">+AH72/900</f>
        <v>0</v>
      </c>
      <c r="AJ72" s="487"/>
      <c r="AK72" s="507"/>
      <c r="AL72" s="479">
        <f t="shared" ref="AL72:AL135" si="61">IF(ISBLANK(AJ72),0,AF72)</f>
        <v>0</v>
      </c>
      <c r="AM72" s="482">
        <f t="shared" ref="AM72:AM135" si="62">IF(ISBLANK(AK72),0,AH72)</f>
        <v>0</v>
      </c>
      <c r="AN72" s="487"/>
      <c r="AO72" s="488"/>
      <c r="AP72" s="487"/>
      <c r="AQ72" s="488"/>
      <c r="AR72" s="487"/>
      <c r="AS72" s="488"/>
      <c r="AT72" s="487"/>
      <c r="AU72" s="488"/>
      <c r="AV72" s="479">
        <f t="shared" ref="AV72:AV135" si="63">SUM(AN72,AP72,AR72,AT72)</f>
        <v>0</v>
      </c>
      <c r="AW72" s="483">
        <f t="shared" ref="AW72:AW135" si="64">+AV72/24</f>
        <v>0</v>
      </c>
      <c r="AX72" s="481">
        <f t="shared" ref="AX72:AX135" si="65">SUM(AO72,AQ72,AS72,AU72)</f>
        <v>0</v>
      </c>
      <c r="AY72" s="484">
        <f t="shared" ref="AY72:AY135" si="66">+AX72/24</f>
        <v>0</v>
      </c>
      <c r="AZ72" s="485">
        <f t="shared" ref="AZ72:AZ135" si="67">SUM(Q72,AG72,AW72)</f>
        <v>1322.6</v>
      </c>
      <c r="BA72" s="481">
        <f t="shared" ref="BA72:BA135" si="68">SUM(S72,AI72,AY72)</f>
        <v>1219.0333333333333</v>
      </c>
    </row>
    <row r="73" spans="1:53" ht="13.5" thickBot="1">
      <c r="A73" s="536" t="s">
        <v>277</v>
      </c>
      <c r="B73" s="537" t="s">
        <v>320</v>
      </c>
      <c r="C73" s="538"/>
      <c r="D73" s="536">
        <v>107637</v>
      </c>
      <c r="E73" s="536">
        <v>10</v>
      </c>
      <c r="F73" s="486" t="s">
        <v>41</v>
      </c>
      <c r="G73" s="529" t="s">
        <v>41</v>
      </c>
      <c r="H73" s="506"/>
      <c r="I73" s="488">
        <v>0</v>
      </c>
      <c r="J73" s="506">
        <v>19112</v>
      </c>
      <c r="K73" s="488">
        <v>15835</v>
      </c>
      <c r="L73" s="506">
        <v>4901</v>
      </c>
      <c r="M73" s="488">
        <v>3779</v>
      </c>
      <c r="N73" s="506">
        <v>17863</v>
      </c>
      <c r="O73" s="488">
        <v>16168</v>
      </c>
      <c r="P73" s="479">
        <f t="shared" si="51"/>
        <v>41876</v>
      </c>
      <c r="Q73" s="480">
        <f t="shared" si="52"/>
        <v>1395.8666666666666</v>
      </c>
      <c r="R73" s="481">
        <f t="shared" si="53"/>
        <v>35782</v>
      </c>
      <c r="S73" s="482">
        <f t="shared" si="54"/>
        <v>1192.7333333333333</v>
      </c>
      <c r="T73" s="506">
        <v>2325</v>
      </c>
      <c r="U73" s="507">
        <v>1130</v>
      </c>
      <c r="V73" s="479">
        <f t="shared" si="55"/>
        <v>41876</v>
      </c>
      <c r="W73" s="478">
        <f t="shared" si="56"/>
        <v>35782</v>
      </c>
      <c r="X73" s="506"/>
      <c r="Y73" s="488"/>
      <c r="Z73" s="506"/>
      <c r="AA73" s="488"/>
      <c r="AB73" s="506"/>
      <c r="AC73" s="488"/>
      <c r="AD73" s="506"/>
      <c r="AE73" s="507"/>
      <c r="AF73" s="479">
        <f t="shared" si="57"/>
        <v>0</v>
      </c>
      <c r="AG73" s="480">
        <f t="shared" si="58"/>
        <v>0</v>
      </c>
      <c r="AH73" s="481">
        <f t="shared" si="59"/>
        <v>0</v>
      </c>
      <c r="AI73" s="481">
        <f t="shared" si="60"/>
        <v>0</v>
      </c>
      <c r="AJ73" s="487"/>
      <c r="AK73" s="507"/>
      <c r="AL73" s="479">
        <f t="shared" si="61"/>
        <v>0</v>
      </c>
      <c r="AM73" s="482">
        <f t="shared" si="62"/>
        <v>0</v>
      </c>
      <c r="AN73" s="487"/>
      <c r="AO73" s="488"/>
      <c r="AP73" s="487"/>
      <c r="AQ73" s="488"/>
      <c r="AR73" s="487"/>
      <c r="AS73" s="488"/>
      <c r="AT73" s="487"/>
      <c r="AU73" s="488"/>
      <c r="AV73" s="479">
        <f t="shared" si="63"/>
        <v>0</v>
      </c>
      <c r="AW73" s="483">
        <f t="shared" si="64"/>
        <v>0</v>
      </c>
      <c r="AX73" s="481">
        <f t="shared" si="65"/>
        <v>0</v>
      </c>
      <c r="AY73" s="484">
        <f t="shared" si="66"/>
        <v>0</v>
      </c>
      <c r="AZ73" s="485">
        <f t="shared" si="67"/>
        <v>1395.8666666666666</v>
      </c>
      <c r="BA73" s="481">
        <f t="shared" si="68"/>
        <v>1192.7333333333333</v>
      </c>
    </row>
    <row r="74" spans="1:53" ht="14.25" thickTop="1" thickBot="1">
      <c r="A74" s="536" t="s">
        <v>277</v>
      </c>
      <c r="B74" s="537" t="s">
        <v>321</v>
      </c>
      <c r="C74" s="538"/>
      <c r="D74" s="536">
        <v>107992</v>
      </c>
      <c r="E74" s="536">
        <v>10</v>
      </c>
      <c r="F74" s="486" t="s">
        <v>41</v>
      </c>
      <c r="G74" s="529" t="s">
        <v>41</v>
      </c>
      <c r="H74" s="506"/>
      <c r="I74" s="488">
        <v>0</v>
      </c>
      <c r="J74" s="506">
        <v>13869</v>
      </c>
      <c r="K74" s="488">
        <v>19004</v>
      </c>
      <c r="L74" s="506">
        <v>4264</v>
      </c>
      <c r="M74" s="488">
        <v>3575</v>
      </c>
      <c r="N74" s="506">
        <v>14467</v>
      </c>
      <c r="O74" s="488">
        <v>17394</v>
      </c>
      <c r="P74" s="479">
        <f t="shared" si="51"/>
        <v>32600</v>
      </c>
      <c r="Q74" s="480">
        <f t="shared" si="52"/>
        <v>1086.6666666666667</v>
      </c>
      <c r="R74" s="481">
        <f t="shared" si="53"/>
        <v>39973</v>
      </c>
      <c r="S74" s="482">
        <f t="shared" si="54"/>
        <v>1332.4333333333334</v>
      </c>
      <c r="T74" s="506">
        <v>2852</v>
      </c>
      <c r="U74" s="824">
        <v>9210</v>
      </c>
      <c r="V74" s="479">
        <f t="shared" si="55"/>
        <v>32600</v>
      </c>
      <c r="W74" s="478">
        <f t="shared" si="56"/>
        <v>39973</v>
      </c>
      <c r="X74" s="506"/>
      <c r="Y74" s="488"/>
      <c r="Z74" s="506"/>
      <c r="AA74" s="488"/>
      <c r="AB74" s="506"/>
      <c r="AC74" s="488"/>
      <c r="AD74" s="506"/>
      <c r="AE74" s="507"/>
      <c r="AF74" s="479">
        <f t="shared" si="57"/>
        <v>0</v>
      </c>
      <c r="AG74" s="480">
        <f t="shared" si="58"/>
        <v>0</v>
      </c>
      <c r="AH74" s="481">
        <f t="shared" si="59"/>
        <v>0</v>
      </c>
      <c r="AI74" s="481">
        <f t="shared" si="60"/>
        <v>0</v>
      </c>
      <c r="AJ74" s="487"/>
      <c r="AK74" s="507"/>
      <c r="AL74" s="479">
        <f t="shared" si="61"/>
        <v>0</v>
      </c>
      <c r="AM74" s="482">
        <f t="shared" si="62"/>
        <v>0</v>
      </c>
      <c r="AN74" s="487"/>
      <c r="AO74" s="488"/>
      <c r="AP74" s="487"/>
      <c r="AQ74" s="488"/>
      <c r="AR74" s="487"/>
      <c r="AS74" s="488"/>
      <c r="AT74" s="487"/>
      <c r="AU74" s="488"/>
      <c r="AV74" s="479">
        <f t="shared" si="63"/>
        <v>0</v>
      </c>
      <c r="AW74" s="483">
        <f t="shared" si="64"/>
        <v>0</v>
      </c>
      <c r="AX74" s="481">
        <f t="shared" si="65"/>
        <v>0</v>
      </c>
      <c r="AY74" s="484">
        <f t="shared" si="66"/>
        <v>0</v>
      </c>
      <c r="AZ74" s="485">
        <f t="shared" si="67"/>
        <v>1086.6666666666667</v>
      </c>
      <c r="BA74" s="481">
        <f t="shared" si="68"/>
        <v>1332.4333333333334</v>
      </c>
    </row>
    <row r="75" spans="1:53" ht="13.5" thickTop="1">
      <c r="A75" s="536" t="s">
        <v>277</v>
      </c>
      <c r="B75" s="537" t="s">
        <v>322</v>
      </c>
      <c r="C75" s="538"/>
      <c r="D75" s="536">
        <v>106999</v>
      </c>
      <c r="E75" s="536">
        <v>10</v>
      </c>
      <c r="F75" s="486" t="s">
        <v>41</v>
      </c>
      <c r="G75" s="529" t="s">
        <v>41</v>
      </c>
      <c r="H75" s="506"/>
      <c r="I75" s="488">
        <v>0</v>
      </c>
      <c r="J75" s="506">
        <v>14935</v>
      </c>
      <c r="K75" s="547">
        <v>13504</v>
      </c>
      <c r="L75" s="506">
        <v>3158</v>
      </c>
      <c r="M75" s="488">
        <v>2508</v>
      </c>
      <c r="N75" s="506">
        <v>15324</v>
      </c>
      <c r="O75" s="544">
        <v>14282</v>
      </c>
      <c r="P75" s="479">
        <f t="shared" si="51"/>
        <v>33417</v>
      </c>
      <c r="Q75" s="480">
        <f t="shared" si="52"/>
        <v>1113.9000000000001</v>
      </c>
      <c r="R75" s="481">
        <f t="shared" si="53"/>
        <v>30294</v>
      </c>
      <c r="S75" s="482">
        <f t="shared" si="54"/>
        <v>1009.8</v>
      </c>
      <c r="T75" s="506">
        <v>1252</v>
      </c>
      <c r="U75" s="507">
        <v>1442</v>
      </c>
      <c r="V75" s="479">
        <f t="shared" si="55"/>
        <v>33417</v>
      </c>
      <c r="W75" s="478">
        <f t="shared" si="56"/>
        <v>30294</v>
      </c>
      <c r="X75" s="506"/>
      <c r="Y75" s="488"/>
      <c r="Z75" s="506"/>
      <c r="AA75" s="488"/>
      <c r="AB75" s="506"/>
      <c r="AC75" s="488"/>
      <c r="AD75" s="506"/>
      <c r="AE75" s="507"/>
      <c r="AF75" s="479">
        <f t="shared" si="57"/>
        <v>0</v>
      </c>
      <c r="AG75" s="480">
        <f t="shared" si="58"/>
        <v>0</v>
      </c>
      <c r="AH75" s="481">
        <f t="shared" si="59"/>
        <v>0</v>
      </c>
      <c r="AI75" s="481">
        <f t="shared" si="60"/>
        <v>0</v>
      </c>
      <c r="AJ75" s="487"/>
      <c r="AK75" s="507"/>
      <c r="AL75" s="479">
        <f t="shared" si="61"/>
        <v>0</v>
      </c>
      <c r="AM75" s="482">
        <f t="shared" si="62"/>
        <v>0</v>
      </c>
      <c r="AN75" s="487"/>
      <c r="AO75" s="488"/>
      <c r="AP75" s="487"/>
      <c r="AQ75" s="488"/>
      <c r="AR75" s="487"/>
      <c r="AS75" s="488"/>
      <c r="AT75" s="487"/>
      <c r="AU75" s="488"/>
      <c r="AV75" s="479">
        <f t="shared" si="63"/>
        <v>0</v>
      </c>
      <c r="AW75" s="483">
        <f t="shared" si="64"/>
        <v>0</v>
      </c>
      <c r="AX75" s="481">
        <f t="shared" si="65"/>
        <v>0</v>
      </c>
      <c r="AY75" s="484">
        <f t="shared" si="66"/>
        <v>0</v>
      </c>
      <c r="AZ75" s="485">
        <f t="shared" si="67"/>
        <v>1113.9000000000001</v>
      </c>
      <c r="BA75" s="481">
        <f t="shared" si="68"/>
        <v>1009.8</v>
      </c>
    </row>
    <row r="76" spans="1:53" ht="13.5" thickBot="1">
      <c r="A76" s="536" t="s">
        <v>277</v>
      </c>
      <c r="B76" s="537" t="s">
        <v>323</v>
      </c>
      <c r="C76" s="538"/>
      <c r="D76" s="536">
        <v>107725</v>
      </c>
      <c r="E76" s="536">
        <v>10</v>
      </c>
      <c r="F76" s="486" t="s">
        <v>41</v>
      </c>
      <c r="G76" s="529" t="s">
        <v>41</v>
      </c>
      <c r="H76" s="506"/>
      <c r="I76" s="488">
        <v>0</v>
      </c>
      <c r="J76" s="506">
        <v>12230</v>
      </c>
      <c r="K76" s="488">
        <v>14816</v>
      </c>
      <c r="L76" s="506">
        <v>2191</v>
      </c>
      <c r="M76" s="488">
        <v>2369</v>
      </c>
      <c r="N76" s="506">
        <v>14693</v>
      </c>
      <c r="O76" s="544">
        <v>14197</v>
      </c>
      <c r="P76" s="479">
        <f t="shared" si="51"/>
        <v>29114</v>
      </c>
      <c r="Q76" s="480">
        <f t="shared" si="52"/>
        <v>970.4666666666667</v>
      </c>
      <c r="R76" s="481">
        <f t="shared" si="53"/>
        <v>31382</v>
      </c>
      <c r="S76" s="482">
        <f t="shared" si="54"/>
        <v>1046.0666666666666</v>
      </c>
      <c r="T76" s="506">
        <v>1805</v>
      </c>
      <c r="U76" s="507">
        <v>2466</v>
      </c>
      <c r="V76" s="479">
        <f t="shared" si="55"/>
        <v>29114</v>
      </c>
      <c r="W76" s="478">
        <f t="shared" si="56"/>
        <v>31382</v>
      </c>
      <c r="X76" s="506"/>
      <c r="Y76" s="488"/>
      <c r="Z76" s="506"/>
      <c r="AA76" s="488"/>
      <c r="AB76" s="506"/>
      <c r="AC76" s="488"/>
      <c r="AD76" s="506"/>
      <c r="AE76" s="507"/>
      <c r="AF76" s="479">
        <f t="shared" si="57"/>
        <v>0</v>
      </c>
      <c r="AG76" s="480">
        <f t="shared" si="58"/>
        <v>0</v>
      </c>
      <c r="AH76" s="481">
        <f t="shared" si="59"/>
        <v>0</v>
      </c>
      <c r="AI76" s="481">
        <f t="shared" si="60"/>
        <v>0</v>
      </c>
      <c r="AJ76" s="487"/>
      <c r="AK76" s="507"/>
      <c r="AL76" s="479">
        <f t="shared" si="61"/>
        <v>0</v>
      </c>
      <c r="AM76" s="482">
        <f t="shared" si="62"/>
        <v>0</v>
      </c>
      <c r="AN76" s="487"/>
      <c r="AO76" s="488"/>
      <c r="AP76" s="487"/>
      <c r="AQ76" s="488"/>
      <c r="AR76" s="487"/>
      <c r="AS76" s="488"/>
      <c r="AT76" s="487"/>
      <c r="AU76" s="488"/>
      <c r="AV76" s="479">
        <f t="shared" si="63"/>
        <v>0</v>
      </c>
      <c r="AW76" s="483">
        <f t="shared" si="64"/>
        <v>0</v>
      </c>
      <c r="AX76" s="481">
        <f t="shared" si="65"/>
        <v>0</v>
      </c>
      <c r="AY76" s="484">
        <f t="shared" si="66"/>
        <v>0</v>
      </c>
      <c r="AZ76" s="485">
        <f t="shared" si="67"/>
        <v>970.4666666666667</v>
      </c>
      <c r="BA76" s="481">
        <f t="shared" si="68"/>
        <v>1046.0666666666666</v>
      </c>
    </row>
    <row r="77" spans="1:53" ht="14.25" thickTop="1" thickBot="1">
      <c r="A77" s="536" t="s">
        <v>277</v>
      </c>
      <c r="B77" s="537" t="s">
        <v>324</v>
      </c>
      <c r="C77" s="538"/>
      <c r="D77" s="536">
        <v>107585</v>
      </c>
      <c r="E77" s="536">
        <v>10</v>
      </c>
      <c r="F77" s="486" t="s">
        <v>41</v>
      </c>
      <c r="G77" s="529" t="s">
        <v>41</v>
      </c>
      <c r="H77" s="506"/>
      <c r="I77" s="488">
        <v>0</v>
      </c>
      <c r="J77" s="506">
        <v>23858</v>
      </c>
      <c r="K77" s="488">
        <v>22650</v>
      </c>
      <c r="L77" s="506">
        <v>3265</v>
      </c>
      <c r="M77" s="488">
        <v>4077</v>
      </c>
      <c r="N77" s="506">
        <v>24088</v>
      </c>
      <c r="O77" s="488">
        <v>24387</v>
      </c>
      <c r="P77" s="479">
        <f t="shared" si="51"/>
        <v>51211</v>
      </c>
      <c r="Q77" s="480">
        <f t="shared" si="52"/>
        <v>1707.0333333333333</v>
      </c>
      <c r="R77" s="481">
        <f t="shared" si="53"/>
        <v>51114</v>
      </c>
      <c r="S77" s="482">
        <f t="shared" si="54"/>
        <v>1703.8</v>
      </c>
      <c r="T77" s="506">
        <v>444</v>
      </c>
      <c r="U77" s="824">
        <v>444</v>
      </c>
      <c r="V77" s="479">
        <f t="shared" si="55"/>
        <v>51211</v>
      </c>
      <c r="W77" s="478">
        <f t="shared" si="56"/>
        <v>51114</v>
      </c>
      <c r="X77" s="506"/>
      <c r="Y77" s="488"/>
      <c r="Z77" s="506"/>
      <c r="AA77" s="488"/>
      <c r="AB77" s="506"/>
      <c r="AC77" s="488"/>
      <c r="AD77" s="506"/>
      <c r="AE77" s="507"/>
      <c r="AF77" s="479">
        <f t="shared" si="57"/>
        <v>0</v>
      </c>
      <c r="AG77" s="480">
        <f t="shared" si="58"/>
        <v>0</v>
      </c>
      <c r="AH77" s="481">
        <f t="shared" si="59"/>
        <v>0</v>
      </c>
      <c r="AI77" s="481">
        <f t="shared" si="60"/>
        <v>0</v>
      </c>
      <c r="AJ77" s="487"/>
      <c r="AK77" s="507"/>
      <c r="AL77" s="479">
        <f t="shared" si="61"/>
        <v>0</v>
      </c>
      <c r="AM77" s="482">
        <f t="shared" si="62"/>
        <v>0</v>
      </c>
      <c r="AN77" s="487"/>
      <c r="AO77" s="488"/>
      <c r="AP77" s="487"/>
      <c r="AQ77" s="488"/>
      <c r="AR77" s="487"/>
      <c r="AS77" s="488"/>
      <c r="AT77" s="487"/>
      <c r="AU77" s="488"/>
      <c r="AV77" s="479">
        <f t="shared" si="63"/>
        <v>0</v>
      </c>
      <c r="AW77" s="483">
        <f t="shared" si="64"/>
        <v>0</v>
      </c>
      <c r="AX77" s="481">
        <f t="shared" si="65"/>
        <v>0</v>
      </c>
      <c r="AY77" s="484">
        <f t="shared" si="66"/>
        <v>0</v>
      </c>
      <c r="AZ77" s="485">
        <f t="shared" si="67"/>
        <v>1707.0333333333333</v>
      </c>
      <c r="BA77" s="481">
        <f t="shared" si="68"/>
        <v>1703.8</v>
      </c>
    </row>
    <row r="78" spans="1:53" ht="13.5" thickTop="1">
      <c r="A78" s="601" t="s">
        <v>285</v>
      </c>
      <c r="B78" s="685" t="s">
        <v>706</v>
      </c>
      <c r="C78" s="686"/>
      <c r="D78" s="601">
        <v>130943</v>
      </c>
      <c r="E78" s="601">
        <v>1</v>
      </c>
      <c r="F78" s="486" t="s">
        <v>41</v>
      </c>
      <c r="G78" s="529"/>
      <c r="H78" s="506">
        <v>30784</v>
      </c>
      <c r="I78" s="488">
        <v>29337</v>
      </c>
      <c r="J78" s="506">
        <v>234969</v>
      </c>
      <c r="K78" s="488">
        <v>240217</v>
      </c>
      <c r="L78" s="506">
        <v>15364</v>
      </c>
      <c r="M78" s="488">
        <v>10517</v>
      </c>
      <c r="N78" s="506">
        <v>257692</v>
      </c>
      <c r="O78" s="488">
        <v>259767</v>
      </c>
      <c r="P78" s="479">
        <f t="shared" si="51"/>
        <v>538809</v>
      </c>
      <c r="Q78" s="480">
        <f t="shared" si="52"/>
        <v>17960.3</v>
      </c>
      <c r="R78" s="481">
        <f t="shared" si="53"/>
        <v>539838</v>
      </c>
      <c r="S78" s="482">
        <f t="shared" si="54"/>
        <v>17994.599999999999</v>
      </c>
      <c r="T78" s="506"/>
      <c r="U78" s="507"/>
      <c r="V78" s="479">
        <f t="shared" si="55"/>
        <v>0</v>
      </c>
      <c r="W78" s="478">
        <f t="shared" si="56"/>
        <v>0</v>
      </c>
      <c r="X78" s="506"/>
      <c r="Y78" s="488"/>
      <c r="Z78" s="506"/>
      <c r="AA78" s="488"/>
      <c r="AB78" s="506"/>
      <c r="AC78" s="488"/>
      <c r="AD78" s="506"/>
      <c r="AE78" s="507"/>
      <c r="AF78" s="479">
        <f t="shared" si="57"/>
        <v>0</v>
      </c>
      <c r="AG78" s="480">
        <f t="shared" si="58"/>
        <v>0</v>
      </c>
      <c r="AH78" s="481">
        <f t="shared" si="59"/>
        <v>0</v>
      </c>
      <c r="AI78" s="481">
        <f t="shared" si="60"/>
        <v>0</v>
      </c>
      <c r="AJ78" s="487"/>
      <c r="AK78" s="507"/>
      <c r="AL78" s="479">
        <f t="shared" si="61"/>
        <v>0</v>
      </c>
      <c r="AM78" s="482">
        <f t="shared" si="62"/>
        <v>0</v>
      </c>
      <c r="AN78" s="487">
        <v>1401</v>
      </c>
      <c r="AO78" s="488">
        <v>1475</v>
      </c>
      <c r="AP78" s="487">
        <v>21140</v>
      </c>
      <c r="AQ78" s="488">
        <v>21494</v>
      </c>
      <c r="AR78" s="487">
        <v>4351</v>
      </c>
      <c r="AS78" s="488">
        <v>3230</v>
      </c>
      <c r="AT78" s="487">
        <v>24064</v>
      </c>
      <c r="AU78" s="488">
        <v>23321</v>
      </c>
      <c r="AV78" s="479">
        <f t="shared" si="63"/>
        <v>50956</v>
      </c>
      <c r="AW78" s="483">
        <f t="shared" si="64"/>
        <v>2123.1666666666665</v>
      </c>
      <c r="AX78" s="481">
        <f t="shared" si="65"/>
        <v>49520</v>
      </c>
      <c r="AY78" s="484">
        <f t="shared" si="66"/>
        <v>2063.3333333333335</v>
      </c>
      <c r="AZ78" s="485">
        <f t="shared" si="67"/>
        <v>20083.466666666667</v>
      </c>
      <c r="BA78" s="481">
        <f t="shared" si="68"/>
        <v>20057.933333333331</v>
      </c>
    </row>
    <row r="79" spans="1:53">
      <c r="A79" s="601" t="s">
        <v>285</v>
      </c>
      <c r="B79" s="687" t="s">
        <v>707</v>
      </c>
      <c r="C79" s="688"/>
      <c r="D79" s="601">
        <v>130934</v>
      </c>
      <c r="E79" s="689">
        <v>3</v>
      </c>
      <c r="F79" s="486" t="s">
        <v>41</v>
      </c>
      <c r="G79" s="529"/>
      <c r="H79" s="506"/>
      <c r="I79" s="488"/>
      <c r="J79" s="506">
        <v>49398</v>
      </c>
      <c r="K79" s="488">
        <v>52335</v>
      </c>
      <c r="L79" s="506">
        <v>4005</v>
      </c>
      <c r="M79" s="488">
        <v>5312</v>
      </c>
      <c r="N79" s="506">
        <v>56630</v>
      </c>
      <c r="O79" s="488">
        <v>57465</v>
      </c>
      <c r="P79" s="479">
        <f t="shared" si="51"/>
        <v>110033</v>
      </c>
      <c r="Q79" s="480">
        <f t="shared" si="52"/>
        <v>3667.7666666666669</v>
      </c>
      <c r="R79" s="481">
        <f t="shared" si="53"/>
        <v>115112</v>
      </c>
      <c r="S79" s="482">
        <f t="shared" si="54"/>
        <v>3837.0666666666666</v>
      </c>
      <c r="T79" s="506"/>
      <c r="U79" s="507"/>
      <c r="V79" s="479">
        <f t="shared" si="55"/>
        <v>0</v>
      </c>
      <c r="W79" s="478">
        <f t="shared" si="56"/>
        <v>0</v>
      </c>
      <c r="X79" s="506"/>
      <c r="Y79" s="488"/>
      <c r="Z79" s="506"/>
      <c r="AA79" s="488"/>
      <c r="AB79" s="506"/>
      <c r="AC79" s="488"/>
      <c r="AD79" s="506"/>
      <c r="AE79" s="507"/>
      <c r="AF79" s="479">
        <f t="shared" si="57"/>
        <v>0</v>
      </c>
      <c r="AG79" s="480">
        <f t="shared" si="58"/>
        <v>0</v>
      </c>
      <c r="AH79" s="481">
        <f t="shared" si="59"/>
        <v>0</v>
      </c>
      <c r="AI79" s="481">
        <f t="shared" si="60"/>
        <v>0</v>
      </c>
      <c r="AJ79" s="487"/>
      <c r="AK79" s="507"/>
      <c r="AL79" s="479">
        <f t="shared" si="61"/>
        <v>0</v>
      </c>
      <c r="AM79" s="482">
        <f t="shared" si="62"/>
        <v>0</v>
      </c>
      <c r="AN79" s="487"/>
      <c r="AO79" s="488"/>
      <c r="AP79" s="487">
        <v>1786</v>
      </c>
      <c r="AQ79" s="488">
        <v>2802</v>
      </c>
      <c r="AR79" s="487">
        <v>556</v>
      </c>
      <c r="AS79" s="488">
        <v>565</v>
      </c>
      <c r="AT79" s="487">
        <v>2195</v>
      </c>
      <c r="AU79" s="488">
        <v>3317</v>
      </c>
      <c r="AV79" s="479">
        <f t="shared" si="63"/>
        <v>4537</v>
      </c>
      <c r="AW79" s="483">
        <f t="shared" si="64"/>
        <v>189.04166666666666</v>
      </c>
      <c r="AX79" s="481">
        <f t="shared" si="65"/>
        <v>6684</v>
      </c>
      <c r="AY79" s="484">
        <f t="shared" si="66"/>
        <v>278.5</v>
      </c>
      <c r="AZ79" s="485">
        <f t="shared" si="67"/>
        <v>3856.8083333333334</v>
      </c>
      <c r="BA79" s="481">
        <f t="shared" si="68"/>
        <v>4115.5666666666666</v>
      </c>
    </row>
    <row r="80" spans="1:53">
      <c r="A80" s="601" t="s">
        <v>285</v>
      </c>
      <c r="B80" s="590" t="s">
        <v>708</v>
      </c>
      <c r="C80" s="691" t="s">
        <v>608</v>
      </c>
      <c r="D80" s="601">
        <v>130916</v>
      </c>
      <c r="E80" s="593">
        <v>8</v>
      </c>
      <c r="F80" s="486" t="s">
        <v>41</v>
      </c>
      <c r="G80" s="529"/>
      <c r="H80" s="506"/>
      <c r="I80" s="488"/>
      <c r="J80" s="506">
        <v>66323</v>
      </c>
      <c r="K80" s="488">
        <v>63991</v>
      </c>
      <c r="L80" s="506">
        <v>16560</v>
      </c>
      <c r="M80" s="488">
        <v>16685</v>
      </c>
      <c r="N80" s="506">
        <v>70523</v>
      </c>
      <c r="O80" s="488">
        <v>68444</v>
      </c>
      <c r="P80" s="479">
        <f t="shared" si="51"/>
        <v>153406</v>
      </c>
      <c r="Q80" s="480">
        <f t="shared" si="52"/>
        <v>5113.5333333333338</v>
      </c>
      <c r="R80" s="481">
        <f t="shared" si="53"/>
        <v>149120</v>
      </c>
      <c r="S80" s="482">
        <f t="shared" si="54"/>
        <v>4970.666666666667</v>
      </c>
      <c r="T80" s="506"/>
      <c r="U80" s="507"/>
      <c r="V80" s="479">
        <f t="shared" si="55"/>
        <v>0</v>
      </c>
      <c r="W80" s="478">
        <f t="shared" si="56"/>
        <v>0</v>
      </c>
      <c r="X80" s="506"/>
      <c r="Y80" s="488"/>
      <c r="Z80" s="506"/>
      <c r="AA80" s="488"/>
      <c r="AB80" s="506"/>
      <c r="AC80" s="488"/>
      <c r="AD80" s="506"/>
      <c r="AE80" s="507"/>
      <c r="AF80" s="479">
        <f t="shared" si="57"/>
        <v>0</v>
      </c>
      <c r="AG80" s="480">
        <f t="shared" si="58"/>
        <v>0</v>
      </c>
      <c r="AH80" s="481">
        <f t="shared" si="59"/>
        <v>0</v>
      </c>
      <c r="AI80" s="481">
        <f t="shared" si="60"/>
        <v>0</v>
      </c>
      <c r="AJ80" s="487"/>
      <c r="AK80" s="507"/>
      <c r="AL80" s="479">
        <f t="shared" si="61"/>
        <v>0</v>
      </c>
      <c r="AM80" s="482">
        <f t="shared" si="62"/>
        <v>0</v>
      </c>
      <c r="AN80" s="487"/>
      <c r="AO80" s="488"/>
      <c r="AP80" s="487"/>
      <c r="AQ80" s="488"/>
      <c r="AR80" s="487"/>
      <c r="AS80" s="488"/>
      <c r="AT80" s="487"/>
      <c r="AU80" s="488"/>
      <c r="AV80" s="479">
        <f t="shared" si="63"/>
        <v>0</v>
      </c>
      <c r="AW80" s="483">
        <f t="shared" si="64"/>
        <v>0</v>
      </c>
      <c r="AX80" s="481">
        <f t="shared" si="65"/>
        <v>0</v>
      </c>
      <c r="AY80" s="484">
        <f t="shared" si="66"/>
        <v>0</v>
      </c>
      <c r="AZ80" s="485">
        <f t="shared" si="67"/>
        <v>5113.5333333333338</v>
      </c>
      <c r="BA80" s="481">
        <f t="shared" si="68"/>
        <v>4970.666666666667</v>
      </c>
    </row>
    <row r="81" spans="1:53">
      <c r="A81" s="601" t="s">
        <v>285</v>
      </c>
      <c r="B81" s="590" t="s">
        <v>709</v>
      </c>
      <c r="C81" s="690"/>
      <c r="D81" s="601">
        <v>130891</v>
      </c>
      <c r="E81" s="601">
        <v>9</v>
      </c>
      <c r="F81" s="486" t="s">
        <v>41</v>
      </c>
      <c r="G81" s="529"/>
      <c r="H81" s="506"/>
      <c r="I81" s="488"/>
      <c r="J81" s="506">
        <v>44367</v>
      </c>
      <c r="K81" s="488">
        <v>41587</v>
      </c>
      <c r="L81" s="506">
        <v>8406</v>
      </c>
      <c r="M81" s="488">
        <v>8266</v>
      </c>
      <c r="N81" s="506">
        <v>46165</v>
      </c>
      <c r="O81" s="488">
        <v>45000</v>
      </c>
      <c r="P81" s="479">
        <f t="shared" si="51"/>
        <v>98938</v>
      </c>
      <c r="Q81" s="480">
        <f t="shared" si="52"/>
        <v>3297.9333333333334</v>
      </c>
      <c r="R81" s="481">
        <f t="shared" si="53"/>
        <v>94853</v>
      </c>
      <c r="S81" s="482">
        <f t="shared" si="54"/>
        <v>3161.7666666666669</v>
      </c>
      <c r="T81" s="506"/>
      <c r="U81" s="507"/>
      <c r="V81" s="479">
        <f t="shared" si="55"/>
        <v>0</v>
      </c>
      <c r="W81" s="478">
        <f t="shared" si="56"/>
        <v>0</v>
      </c>
      <c r="X81" s="506"/>
      <c r="Y81" s="488"/>
      <c r="Z81" s="506"/>
      <c r="AA81" s="488"/>
      <c r="AB81" s="506"/>
      <c r="AC81" s="488"/>
      <c r="AD81" s="506"/>
      <c r="AE81" s="507"/>
      <c r="AF81" s="479">
        <f t="shared" si="57"/>
        <v>0</v>
      </c>
      <c r="AG81" s="480">
        <f t="shared" si="58"/>
        <v>0</v>
      </c>
      <c r="AH81" s="481">
        <f t="shared" si="59"/>
        <v>0</v>
      </c>
      <c r="AI81" s="481">
        <f t="shared" si="60"/>
        <v>0</v>
      </c>
      <c r="AJ81" s="487"/>
      <c r="AK81" s="507"/>
      <c r="AL81" s="479">
        <f t="shared" si="61"/>
        <v>0</v>
      </c>
      <c r="AM81" s="482">
        <f t="shared" si="62"/>
        <v>0</v>
      </c>
      <c r="AN81" s="487"/>
      <c r="AO81" s="488"/>
      <c r="AP81" s="487"/>
      <c r="AQ81" s="488"/>
      <c r="AR81" s="487"/>
      <c r="AS81" s="488"/>
      <c r="AT81" s="487"/>
      <c r="AU81" s="488"/>
      <c r="AV81" s="479">
        <f t="shared" si="63"/>
        <v>0</v>
      </c>
      <c r="AW81" s="483">
        <f t="shared" si="64"/>
        <v>0</v>
      </c>
      <c r="AX81" s="481">
        <f t="shared" si="65"/>
        <v>0</v>
      </c>
      <c r="AY81" s="484">
        <f t="shared" si="66"/>
        <v>0</v>
      </c>
      <c r="AZ81" s="485">
        <f t="shared" si="67"/>
        <v>3297.9333333333334</v>
      </c>
      <c r="BA81" s="481">
        <f t="shared" si="68"/>
        <v>3161.7666666666669</v>
      </c>
    </row>
    <row r="82" spans="1:53">
      <c r="A82" s="601" t="s">
        <v>285</v>
      </c>
      <c r="B82" s="685" t="s">
        <v>710</v>
      </c>
      <c r="C82" s="686"/>
      <c r="D82" s="601">
        <v>130907</v>
      </c>
      <c r="E82" s="601">
        <v>9</v>
      </c>
      <c r="F82" s="486" t="s">
        <v>41</v>
      </c>
      <c r="G82" s="529"/>
      <c r="H82" s="506"/>
      <c r="I82" s="488"/>
      <c r="J82" s="506">
        <v>31712</v>
      </c>
      <c r="K82" s="488">
        <v>29217</v>
      </c>
      <c r="L82" s="506">
        <v>7569</v>
      </c>
      <c r="M82" s="488">
        <v>7305</v>
      </c>
      <c r="N82" s="506">
        <v>31624</v>
      </c>
      <c r="O82" s="488">
        <v>31362</v>
      </c>
      <c r="P82" s="479">
        <f t="shared" si="51"/>
        <v>70905</v>
      </c>
      <c r="Q82" s="480">
        <f t="shared" si="52"/>
        <v>2363.5</v>
      </c>
      <c r="R82" s="481">
        <f t="shared" si="53"/>
        <v>67884</v>
      </c>
      <c r="S82" s="482">
        <f t="shared" si="54"/>
        <v>2262.8000000000002</v>
      </c>
      <c r="T82" s="506"/>
      <c r="U82" s="507"/>
      <c r="V82" s="479">
        <f t="shared" si="55"/>
        <v>0</v>
      </c>
      <c r="W82" s="478">
        <f t="shared" si="56"/>
        <v>0</v>
      </c>
      <c r="X82" s="506"/>
      <c r="Y82" s="488"/>
      <c r="Z82" s="506"/>
      <c r="AA82" s="488"/>
      <c r="AB82" s="506"/>
      <c r="AC82" s="488"/>
      <c r="AD82" s="506"/>
      <c r="AE82" s="507"/>
      <c r="AF82" s="479">
        <f t="shared" si="57"/>
        <v>0</v>
      </c>
      <c r="AG82" s="480">
        <f t="shared" si="58"/>
        <v>0</v>
      </c>
      <c r="AH82" s="481">
        <f t="shared" si="59"/>
        <v>0</v>
      </c>
      <c r="AI82" s="481">
        <f t="shared" si="60"/>
        <v>0</v>
      </c>
      <c r="AJ82" s="487"/>
      <c r="AK82" s="507"/>
      <c r="AL82" s="479">
        <f t="shared" si="61"/>
        <v>0</v>
      </c>
      <c r="AM82" s="482">
        <f t="shared" si="62"/>
        <v>0</v>
      </c>
      <c r="AN82" s="487"/>
      <c r="AO82" s="488"/>
      <c r="AP82" s="487"/>
      <c r="AQ82" s="488"/>
      <c r="AR82" s="487"/>
      <c r="AS82" s="488"/>
      <c r="AT82" s="487"/>
      <c r="AU82" s="488"/>
      <c r="AV82" s="479">
        <f t="shared" si="63"/>
        <v>0</v>
      </c>
      <c r="AW82" s="483">
        <f t="shared" si="64"/>
        <v>0</v>
      </c>
      <c r="AX82" s="481">
        <f t="shared" si="65"/>
        <v>0</v>
      </c>
      <c r="AY82" s="484">
        <f t="shared" si="66"/>
        <v>0</v>
      </c>
      <c r="AZ82" s="485">
        <f t="shared" si="67"/>
        <v>2363.5</v>
      </c>
      <c r="BA82" s="481">
        <f t="shared" si="68"/>
        <v>2262.8000000000002</v>
      </c>
    </row>
    <row r="83" spans="1:53">
      <c r="A83" s="548" t="s">
        <v>284</v>
      </c>
      <c r="B83" s="551" t="s">
        <v>328</v>
      </c>
      <c r="C83" s="550"/>
      <c r="D83" s="606">
        <v>133951</v>
      </c>
      <c r="E83" s="606">
        <v>1</v>
      </c>
      <c r="F83" s="486" t="s">
        <v>41</v>
      </c>
      <c r="G83" s="552" t="s">
        <v>41</v>
      </c>
      <c r="H83" s="506"/>
      <c r="I83" s="488"/>
      <c r="J83" s="506">
        <v>400944</v>
      </c>
      <c r="K83" s="488">
        <v>410873</v>
      </c>
      <c r="L83" s="506">
        <v>179559</v>
      </c>
      <c r="M83" s="488">
        <v>175269</v>
      </c>
      <c r="N83" s="506">
        <v>433470</v>
      </c>
      <c r="O83" s="488">
        <v>462200</v>
      </c>
      <c r="P83" s="479">
        <f t="shared" si="51"/>
        <v>1013973</v>
      </c>
      <c r="Q83" s="480">
        <f t="shared" si="52"/>
        <v>33799.1</v>
      </c>
      <c r="R83" s="481">
        <f t="shared" si="53"/>
        <v>1048342</v>
      </c>
      <c r="S83" s="482">
        <f t="shared" si="54"/>
        <v>34944.73333333333</v>
      </c>
      <c r="T83" s="506">
        <v>33744</v>
      </c>
      <c r="U83" s="507">
        <v>40505</v>
      </c>
      <c r="V83" s="479">
        <f t="shared" si="55"/>
        <v>1013973</v>
      </c>
      <c r="W83" s="478">
        <f t="shared" si="56"/>
        <v>1048342</v>
      </c>
      <c r="X83" s="506"/>
      <c r="Y83" s="488"/>
      <c r="Z83" s="506"/>
      <c r="AA83" s="488"/>
      <c r="AB83" s="506"/>
      <c r="AC83" s="488"/>
      <c r="AD83" s="506"/>
      <c r="AE83" s="507"/>
      <c r="AF83" s="479">
        <f t="shared" si="57"/>
        <v>0</v>
      </c>
      <c r="AG83" s="480">
        <f t="shared" si="58"/>
        <v>0</v>
      </c>
      <c r="AH83" s="481">
        <f t="shared" si="59"/>
        <v>0</v>
      </c>
      <c r="AI83" s="481">
        <f t="shared" si="60"/>
        <v>0</v>
      </c>
      <c r="AJ83" s="487"/>
      <c r="AK83" s="507"/>
      <c r="AL83" s="479">
        <f t="shared" si="61"/>
        <v>0</v>
      </c>
      <c r="AM83" s="482">
        <f t="shared" si="62"/>
        <v>0</v>
      </c>
      <c r="AN83" s="487"/>
      <c r="AO83" s="488"/>
      <c r="AP83" s="487">
        <v>74163</v>
      </c>
      <c r="AQ83" s="488">
        <v>73696</v>
      </c>
      <c r="AR83" s="487">
        <v>39909</v>
      </c>
      <c r="AS83" s="488">
        <v>39777</v>
      </c>
      <c r="AT83" s="487">
        <v>77091</v>
      </c>
      <c r="AU83" s="488">
        <v>77092</v>
      </c>
      <c r="AV83" s="479">
        <f t="shared" si="63"/>
        <v>191163</v>
      </c>
      <c r="AW83" s="483">
        <f t="shared" si="64"/>
        <v>7965.125</v>
      </c>
      <c r="AX83" s="481">
        <f t="shared" si="65"/>
        <v>190565</v>
      </c>
      <c r="AY83" s="484">
        <f t="shared" si="66"/>
        <v>7940.208333333333</v>
      </c>
      <c r="AZ83" s="485">
        <f t="shared" si="67"/>
        <v>41764.224999999999</v>
      </c>
      <c r="BA83" s="481">
        <f t="shared" si="68"/>
        <v>42884.941666666666</v>
      </c>
    </row>
    <row r="84" spans="1:53">
      <c r="A84" s="548" t="s">
        <v>284</v>
      </c>
      <c r="B84" s="549" t="s">
        <v>329</v>
      </c>
      <c r="C84" s="550"/>
      <c r="D84" s="606">
        <v>134097</v>
      </c>
      <c r="E84" s="606">
        <v>1</v>
      </c>
      <c r="F84" s="486" t="s">
        <v>41</v>
      </c>
      <c r="G84" s="552" t="s">
        <v>41</v>
      </c>
      <c r="H84" s="506"/>
      <c r="I84" s="488"/>
      <c r="J84" s="506">
        <v>405780</v>
      </c>
      <c r="K84" s="488">
        <v>405946</v>
      </c>
      <c r="L84" s="506">
        <v>127490</v>
      </c>
      <c r="M84" s="488">
        <v>124319</v>
      </c>
      <c r="N84" s="506">
        <v>471701</v>
      </c>
      <c r="O84" s="488">
        <v>416411</v>
      </c>
      <c r="P84" s="479">
        <f t="shared" si="51"/>
        <v>1004971</v>
      </c>
      <c r="Q84" s="480">
        <f t="shared" si="52"/>
        <v>33499.033333333333</v>
      </c>
      <c r="R84" s="481">
        <f t="shared" si="53"/>
        <v>946676</v>
      </c>
      <c r="S84" s="482">
        <f t="shared" si="54"/>
        <v>31555.866666666665</v>
      </c>
      <c r="T84" s="506">
        <v>1116</v>
      </c>
      <c r="U84" s="507">
        <v>334</v>
      </c>
      <c r="V84" s="479">
        <f t="shared" si="55"/>
        <v>1004971</v>
      </c>
      <c r="W84" s="478">
        <f t="shared" si="56"/>
        <v>946676</v>
      </c>
      <c r="X84" s="506"/>
      <c r="Y84" s="488"/>
      <c r="Z84" s="506"/>
      <c r="AA84" s="488"/>
      <c r="AB84" s="506"/>
      <c r="AC84" s="488"/>
      <c r="AD84" s="506"/>
      <c r="AE84" s="507"/>
      <c r="AF84" s="479">
        <f t="shared" si="57"/>
        <v>0</v>
      </c>
      <c r="AG84" s="480">
        <f t="shared" si="58"/>
        <v>0</v>
      </c>
      <c r="AH84" s="481">
        <f t="shared" si="59"/>
        <v>0</v>
      </c>
      <c r="AI84" s="481">
        <f t="shared" si="60"/>
        <v>0</v>
      </c>
      <c r="AJ84" s="487"/>
      <c r="AK84" s="507"/>
      <c r="AL84" s="479">
        <f t="shared" si="61"/>
        <v>0</v>
      </c>
      <c r="AM84" s="482">
        <f t="shared" si="62"/>
        <v>0</v>
      </c>
      <c r="AN84" s="487"/>
      <c r="AO84" s="488"/>
      <c r="AP84" s="487">
        <v>71970</v>
      </c>
      <c r="AQ84" s="488">
        <v>69702</v>
      </c>
      <c r="AR84" s="487">
        <v>39507</v>
      </c>
      <c r="AS84" s="488">
        <v>37717</v>
      </c>
      <c r="AT84" s="487">
        <v>72063</v>
      </c>
      <c r="AU84" s="488">
        <v>71954</v>
      </c>
      <c r="AV84" s="479">
        <f t="shared" si="63"/>
        <v>183540</v>
      </c>
      <c r="AW84" s="483">
        <f t="shared" si="64"/>
        <v>7647.5</v>
      </c>
      <c r="AX84" s="481">
        <f t="shared" si="65"/>
        <v>179373</v>
      </c>
      <c r="AY84" s="484">
        <f t="shared" si="66"/>
        <v>7473.875</v>
      </c>
      <c r="AZ84" s="485">
        <f t="shared" si="67"/>
        <v>41146.533333333333</v>
      </c>
      <c r="BA84" s="481">
        <f t="shared" si="68"/>
        <v>39029.741666666669</v>
      </c>
    </row>
    <row r="85" spans="1:53">
      <c r="A85" s="548" t="s">
        <v>284</v>
      </c>
      <c r="B85" s="549" t="s">
        <v>331</v>
      </c>
      <c r="C85" s="550"/>
      <c r="D85" s="606">
        <v>132903</v>
      </c>
      <c r="E85" s="606">
        <v>1</v>
      </c>
      <c r="F85" s="486" t="s">
        <v>41</v>
      </c>
      <c r="G85" s="552" t="s">
        <v>41</v>
      </c>
      <c r="H85" s="506"/>
      <c r="I85" s="488"/>
      <c r="J85" s="506">
        <v>570430</v>
      </c>
      <c r="K85" s="488">
        <v>568348</v>
      </c>
      <c r="L85" s="506">
        <v>206207</v>
      </c>
      <c r="M85" s="488">
        <v>198127</v>
      </c>
      <c r="N85" s="506">
        <v>591832</v>
      </c>
      <c r="O85" s="488">
        <v>588537</v>
      </c>
      <c r="P85" s="479">
        <f t="shared" si="51"/>
        <v>1368469</v>
      </c>
      <c r="Q85" s="480">
        <f t="shared" si="52"/>
        <v>45615.633333333331</v>
      </c>
      <c r="R85" s="481">
        <f t="shared" si="53"/>
        <v>1355012</v>
      </c>
      <c r="S85" s="482">
        <f t="shared" si="54"/>
        <v>45167.066666666666</v>
      </c>
      <c r="T85" s="506">
        <v>771</v>
      </c>
      <c r="U85" s="507">
        <v>744</v>
      </c>
      <c r="V85" s="479">
        <f t="shared" si="55"/>
        <v>1368469</v>
      </c>
      <c r="W85" s="478">
        <f t="shared" si="56"/>
        <v>1355012</v>
      </c>
      <c r="X85" s="506"/>
      <c r="Y85" s="488"/>
      <c r="Z85" s="506"/>
      <c r="AA85" s="488"/>
      <c r="AB85" s="506"/>
      <c r="AC85" s="488"/>
      <c r="AD85" s="506"/>
      <c r="AE85" s="507"/>
      <c r="AF85" s="479">
        <f t="shared" si="57"/>
        <v>0</v>
      </c>
      <c r="AG85" s="480">
        <f t="shared" si="58"/>
        <v>0</v>
      </c>
      <c r="AH85" s="481">
        <f t="shared" si="59"/>
        <v>0</v>
      </c>
      <c r="AI85" s="481">
        <f t="shared" si="60"/>
        <v>0</v>
      </c>
      <c r="AJ85" s="487"/>
      <c r="AK85" s="507"/>
      <c r="AL85" s="479">
        <f t="shared" si="61"/>
        <v>0</v>
      </c>
      <c r="AM85" s="482">
        <f t="shared" si="62"/>
        <v>0</v>
      </c>
      <c r="AN85" s="487"/>
      <c r="AO85" s="488"/>
      <c r="AP85" s="487">
        <v>54049</v>
      </c>
      <c r="AQ85" s="488">
        <v>53724</v>
      </c>
      <c r="AR85" s="487">
        <v>29598</v>
      </c>
      <c r="AS85" s="488">
        <v>30037</v>
      </c>
      <c r="AT85" s="487">
        <v>58091</v>
      </c>
      <c r="AU85" s="488">
        <v>55709</v>
      </c>
      <c r="AV85" s="479">
        <f t="shared" si="63"/>
        <v>141738</v>
      </c>
      <c r="AW85" s="483">
        <f t="shared" si="64"/>
        <v>5905.75</v>
      </c>
      <c r="AX85" s="481">
        <f t="shared" si="65"/>
        <v>139470</v>
      </c>
      <c r="AY85" s="484">
        <f t="shared" si="66"/>
        <v>5811.25</v>
      </c>
      <c r="AZ85" s="485">
        <f t="shared" si="67"/>
        <v>51521.383333333331</v>
      </c>
      <c r="BA85" s="481">
        <f t="shared" si="68"/>
        <v>50978.316666666666</v>
      </c>
    </row>
    <row r="86" spans="1:53">
      <c r="A86" s="548" t="s">
        <v>284</v>
      </c>
      <c r="B86" s="549" t="s">
        <v>332</v>
      </c>
      <c r="C86" s="550"/>
      <c r="D86" s="606">
        <v>134130</v>
      </c>
      <c r="E86" s="606">
        <v>1</v>
      </c>
      <c r="F86" s="486" t="s">
        <v>41</v>
      </c>
      <c r="G86" s="552" t="s">
        <v>41</v>
      </c>
      <c r="H86" s="506"/>
      <c r="I86" s="488"/>
      <c r="J86" s="506">
        <v>420313</v>
      </c>
      <c r="K86" s="488">
        <v>418060</v>
      </c>
      <c r="L86" s="506">
        <v>116093</v>
      </c>
      <c r="M86" s="488">
        <v>119076</v>
      </c>
      <c r="N86" s="506">
        <v>435297</v>
      </c>
      <c r="O86" s="488">
        <v>436230</v>
      </c>
      <c r="P86" s="479">
        <f t="shared" si="51"/>
        <v>971703</v>
      </c>
      <c r="Q86" s="480">
        <f t="shared" si="52"/>
        <v>32390.1</v>
      </c>
      <c r="R86" s="481">
        <f t="shared" si="53"/>
        <v>973366</v>
      </c>
      <c r="S86" s="482">
        <f t="shared" si="54"/>
        <v>32445.533333333333</v>
      </c>
      <c r="T86" s="506">
        <v>1487</v>
      </c>
      <c r="U86" s="507">
        <v>1393</v>
      </c>
      <c r="V86" s="479">
        <f t="shared" si="55"/>
        <v>971703</v>
      </c>
      <c r="W86" s="478">
        <f t="shared" si="56"/>
        <v>973366</v>
      </c>
      <c r="X86" s="506"/>
      <c r="Y86" s="488"/>
      <c r="Z86" s="506"/>
      <c r="AA86" s="488"/>
      <c r="AB86" s="506"/>
      <c r="AC86" s="488"/>
      <c r="AD86" s="506"/>
      <c r="AE86" s="507"/>
      <c r="AF86" s="479">
        <f t="shared" si="57"/>
        <v>0</v>
      </c>
      <c r="AG86" s="480">
        <f t="shared" si="58"/>
        <v>0</v>
      </c>
      <c r="AH86" s="481">
        <f t="shared" si="59"/>
        <v>0</v>
      </c>
      <c r="AI86" s="481">
        <f t="shared" si="60"/>
        <v>0</v>
      </c>
      <c r="AJ86" s="487"/>
      <c r="AK86" s="507"/>
      <c r="AL86" s="479">
        <f t="shared" si="61"/>
        <v>0</v>
      </c>
      <c r="AM86" s="482">
        <f t="shared" si="62"/>
        <v>0</v>
      </c>
      <c r="AN86" s="487"/>
      <c r="AO86" s="488"/>
      <c r="AP86" s="487">
        <v>140200</v>
      </c>
      <c r="AQ86" s="488">
        <v>139696</v>
      </c>
      <c r="AR86" s="487">
        <v>59745</v>
      </c>
      <c r="AS86" s="488">
        <v>59235</v>
      </c>
      <c r="AT86" s="487">
        <v>148986</v>
      </c>
      <c r="AU86" s="488">
        <v>145132</v>
      </c>
      <c r="AV86" s="479">
        <f t="shared" si="63"/>
        <v>348931</v>
      </c>
      <c r="AW86" s="483">
        <f t="shared" si="64"/>
        <v>14538.791666666666</v>
      </c>
      <c r="AX86" s="481">
        <f t="shared" si="65"/>
        <v>344063</v>
      </c>
      <c r="AY86" s="484">
        <f t="shared" si="66"/>
        <v>14335.958333333334</v>
      </c>
      <c r="AZ86" s="485">
        <f t="shared" si="67"/>
        <v>46928.891666666663</v>
      </c>
      <c r="BA86" s="481">
        <f t="shared" si="68"/>
        <v>46781.491666666669</v>
      </c>
    </row>
    <row r="87" spans="1:53">
      <c r="A87" s="548" t="s">
        <v>284</v>
      </c>
      <c r="B87" s="549" t="s">
        <v>334</v>
      </c>
      <c r="C87" s="550"/>
      <c r="D87" s="606">
        <v>137351</v>
      </c>
      <c r="E87" s="606">
        <v>1</v>
      </c>
      <c r="F87" s="486" t="s">
        <v>41</v>
      </c>
      <c r="G87" s="552" t="s">
        <v>41</v>
      </c>
      <c r="H87" s="506"/>
      <c r="I87" s="488"/>
      <c r="J87" s="506">
        <v>421127</v>
      </c>
      <c r="K87" s="488">
        <v>392079</v>
      </c>
      <c r="L87" s="506">
        <v>153540</v>
      </c>
      <c r="M87" s="488">
        <v>151000</v>
      </c>
      <c r="N87" s="506">
        <v>450005</v>
      </c>
      <c r="O87" s="488">
        <v>445577</v>
      </c>
      <c r="P87" s="479">
        <f t="shared" si="51"/>
        <v>1024672</v>
      </c>
      <c r="Q87" s="480">
        <f t="shared" si="52"/>
        <v>34155.73333333333</v>
      </c>
      <c r="R87" s="481">
        <f t="shared" si="53"/>
        <v>988656</v>
      </c>
      <c r="S87" s="482">
        <f t="shared" si="54"/>
        <v>32955.199999999997</v>
      </c>
      <c r="T87" s="506">
        <v>733</v>
      </c>
      <c r="U87" s="507">
        <v>555</v>
      </c>
      <c r="V87" s="479">
        <f t="shared" si="55"/>
        <v>1024672</v>
      </c>
      <c r="W87" s="478">
        <f t="shared" si="56"/>
        <v>988656</v>
      </c>
      <c r="X87" s="506"/>
      <c r="Y87" s="488"/>
      <c r="Z87" s="506"/>
      <c r="AA87" s="488"/>
      <c r="AB87" s="506"/>
      <c r="AC87" s="488"/>
      <c r="AD87" s="506"/>
      <c r="AE87" s="507"/>
      <c r="AF87" s="479">
        <f t="shared" si="57"/>
        <v>0</v>
      </c>
      <c r="AG87" s="480">
        <f t="shared" si="58"/>
        <v>0</v>
      </c>
      <c r="AH87" s="481">
        <f t="shared" si="59"/>
        <v>0</v>
      </c>
      <c r="AI87" s="481">
        <f t="shared" si="60"/>
        <v>0</v>
      </c>
      <c r="AJ87" s="487"/>
      <c r="AK87" s="507"/>
      <c r="AL87" s="479">
        <f t="shared" si="61"/>
        <v>0</v>
      </c>
      <c r="AM87" s="482">
        <f t="shared" si="62"/>
        <v>0</v>
      </c>
      <c r="AN87" s="487"/>
      <c r="AO87" s="488"/>
      <c r="AP87" s="487">
        <v>73440</v>
      </c>
      <c r="AQ87" s="488">
        <v>74831</v>
      </c>
      <c r="AR87" s="487">
        <v>37636</v>
      </c>
      <c r="AS87" s="488">
        <v>37937</v>
      </c>
      <c r="AT87" s="487">
        <v>78767</v>
      </c>
      <c r="AU87" s="488">
        <v>81813</v>
      </c>
      <c r="AV87" s="479">
        <f t="shared" si="63"/>
        <v>189843</v>
      </c>
      <c r="AW87" s="483">
        <f t="shared" si="64"/>
        <v>7910.125</v>
      </c>
      <c r="AX87" s="481">
        <f t="shared" si="65"/>
        <v>194581</v>
      </c>
      <c r="AY87" s="484">
        <f t="shared" si="66"/>
        <v>8107.541666666667</v>
      </c>
      <c r="AZ87" s="485">
        <f t="shared" si="67"/>
        <v>42065.85833333333</v>
      </c>
      <c r="BA87" s="481">
        <f t="shared" si="68"/>
        <v>41062.741666666661</v>
      </c>
    </row>
    <row r="88" spans="1:53">
      <c r="A88" s="548" t="s">
        <v>284</v>
      </c>
      <c r="B88" s="549" t="s">
        <v>326</v>
      </c>
      <c r="C88" s="550" t="s">
        <v>611</v>
      </c>
      <c r="D88" s="606">
        <v>133669</v>
      </c>
      <c r="E88" s="606">
        <v>2</v>
      </c>
      <c r="F88" s="486" t="s">
        <v>41</v>
      </c>
      <c r="G88" s="552" t="s">
        <v>41</v>
      </c>
      <c r="H88" s="506"/>
      <c r="I88" s="488"/>
      <c r="J88" s="506">
        <v>249063</v>
      </c>
      <c r="K88" s="488">
        <v>254252</v>
      </c>
      <c r="L88" s="506">
        <v>91973</v>
      </c>
      <c r="M88" s="488">
        <v>93010</v>
      </c>
      <c r="N88" s="506">
        <v>275769</v>
      </c>
      <c r="O88" s="488">
        <v>280207</v>
      </c>
      <c r="P88" s="479">
        <f t="shared" si="51"/>
        <v>616805</v>
      </c>
      <c r="Q88" s="480">
        <f t="shared" si="52"/>
        <v>20560.166666666668</v>
      </c>
      <c r="R88" s="481">
        <f t="shared" si="53"/>
        <v>627469</v>
      </c>
      <c r="S88" s="482">
        <f t="shared" si="54"/>
        <v>20915.633333333335</v>
      </c>
      <c r="T88" s="506">
        <v>8071</v>
      </c>
      <c r="U88" s="507">
        <v>10848</v>
      </c>
      <c r="V88" s="479">
        <f t="shared" si="55"/>
        <v>616805</v>
      </c>
      <c r="W88" s="478">
        <f t="shared" si="56"/>
        <v>627469</v>
      </c>
      <c r="X88" s="506"/>
      <c r="Y88" s="488"/>
      <c r="Z88" s="506"/>
      <c r="AA88" s="488"/>
      <c r="AB88" s="506"/>
      <c r="AC88" s="488"/>
      <c r="AD88" s="506"/>
      <c r="AE88" s="507"/>
      <c r="AF88" s="479">
        <f t="shared" si="57"/>
        <v>0</v>
      </c>
      <c r="AG88" s="480">
        <f t="shared" si="58"/>
        <v>0</v>
      </c>
      <c r="AH88" s="481">
        <f t="shared" si="59"/>
        <v>0</v>
      </c>
      <c r="AI88" s="481">
        <f t="shared" si="60"/>
        <v>0</v>
      </c>
      <c r="AJ88" s="487"/>
      <c r="AK88" s="507"/>
      <c r="AL88" s="479">
        <f t="shared" si="61"/>
        <v>0</v>
      </c>
      <c r="AM88" s="482">
        <f t="shared" si="62"/>
        <v>0</v>
      </c>
      <c r="AN88" s="487"/>
      <c r="AO88" s="488"/>
      <c r="AP88" s="487">
        <v>30525</v>
      </c>
      <c r="AQ88" s="488">
        <v>30334</v>
      </c>
      <c r="AR88" s="487">
        <v>17242</v>
      </c>
      <c r="AS88" s="488">
        <v>15900</v>
      </c>
      <c r="AT88" s="487">
        <v>31731</v>
      </c>
      <c r="AU88" s="488">
        <v>31033</v>
      </c>
      <c r="AV88" s="479">
        <f t="shared" si="63"/>
        <v>79498</v>
      </c>
      <c r="AW88" s="483">
        <f t="shared" si="64"/>
        <v>3312.4166666666665</v>
      </c>
      <c r="AX88" s="481">
        <f t="shared" si="65"/>
        <v>77267</v>
      </c>
      <c r="AY88" s="484">
        <f t="shared" si="66"/>
        <v>3219.4583333333335</v>
      </c>
      <c r="AZ88" s="485">
        <f t="shared" si="67"/>
        <v>23872.583333333336</v>
      </c>
      <c r="BA88" s="481">
        <f t="shared" si="68"/>
        <v>24135.091666666667</v>
      </c>
    </row>
    <row r="89" spans="1:53">
      <c r="A89" s="548" t="s">
        <v>284</v>
      </c>
      <c r="B89" s="549" t="s">
        <v>325</v>
      </c>
      <c r="C89" s="550"/>
      <c r="D89" s="606">
        <v>133650</v>
      </c>
      <c r="E89" s="606">
        <v>3</v>
      </c>
      <c r="F89" s="486" t="s">
        <v>41</v>
      </c>
      <c r="G89" s="552" t="s">
        <v>41</v>
      </c>
      <c r="H89" s="506"/>
      <c r="I89" s="488"/>
      <c r="J89" s="506">
        <v>138674</v>
      </c>
      <c r="K89" s="488">
        <v>124399</v>
      </c>
      <c r="L89" s="506">
        <v>27241</v>
      </c>
      <c r="M89" s="488">
        <v>27557</v>
      </c>
      <c r="N89" s="506">
        <v>136531</v>
      </c>
      <c r="O89" s="488">
        <v>122459</v>
      </c>
      <c r="P89" s="479">
        <f t="shared" si="51"/>
        <v>302446</v>
      </c>
      <c r="Q89" s="480">
        <f t="shared" si="52"/>
        <v>10081.533333333333</v>
      </c>
      <c r="R89" s="481">
        <f t="shared" si="53"/>
        <v>274415</v>
      </c>
      <c r="S89" s="482">
        <f t="shared" si="54"/>
        <v>9147.1666666666661</v>
      </c>
      <c r="T89" s="506">
        <v>189</v>
      </c>
      <c r="U89" s="507">
        <v>118</v>
      </c>
      <c r="V89" s="479">
        <f t="shared" si="55"/>
        <v>302446</v>
      </c>
      <c r="W89" s="478">
        <f t="shared" si="56"/>
        <v>274415</v>
      </c>
      <c r="X89" s="506"/>
      <c r="Y89" s="488"/>
      <c r="Z89" s="506"/>
      <c r="AA89" s="488"/>
      <c r="AB89" s="506"/>
      <c r="AC89" s="488"/>
      <c r="AD89" s="506"/>
      <c r="AE89" s="507"/>
      <c r="AF89" s="479">
        <f t="shared" si="57"/>
        <v>0</v>
      </c>
      <c r="AG89" s="480">
        <f t="shared" si="58"/>
        <v>0</v>
      </c>
      <c r="AH89" s="481">
        <f t="shared" si="59"/>
        <v>0</v>
      </c>
      <c r="AI89" s="481">
        <f t="shared" si="60"/>
        <v>0</v>
      </c>
      <c r="AJ89" s="487"/>
      <c r="AK89" s="507"/>
      <c r="AL89" s="479">
        <f t="shared" si="61"/>
        <v>0</v>
      </c>
      <c r="AM89" s="482">
        <f t="shared" si="62"/>
        <v>0</v>
      </c>
      <c r="AN89" s="487"/>
      <c r="AO89" s="488"/>
      <c r="AP89" s="487">
        <v>21590</v>
      </c>
      <c r="AQ89" s="488">
        <v>20528</v>
      </c>
      <c r="AR89" s="487">
        <v>7420</v>
      </c>
      <c r="AS89" s="488">
        <v>7426</v>
      </c>
      <c r="AT89" s="487">
        <v>21789</v>
      </c>
      <c r="AU89" s="488">
        <v>19183</v>
      </c>
      <c r="AV89" s="479">
        <f t="shared" si="63"/>
        <v>50799</v>
      </c>
      <c r="AW89" s="483">
        <f t="shared" si="64"/>
        <v>2116.625</v>
      </c>
      <c r="AX89" s="481">
        <f t="shared" si="65"/>
        <v>47137</v>
      </c>
      <c r="AY89" s="484">
        <f t="shared" si="66"/>
        <v>1964.0416666666667</v>
      </c>
      <c r="AZ89" s="485">
        <f t="shared" si="67"/>
        <v>12198.158333333333</v>
      </c>
      <c r="BA89" s="481">
        <f t="shared" si="68"/>
        <v>11111.208333333332</v>
      </c>
    </row>
    <row r="90" spans="1:53">
      <c r="A90" s="548" t="s">
        <v>284</v>
      </c>
      <c r="B90" s="549" t="s">
        <v>333</v>
      </c>
      <c r="C90" s="550"/>
      <c r="D90" s="606">
        <v>136172</v>
      </c>
      <c r="E90" s="606">
        <v>3</v>
      </c>
      <c r="F90" s="486" t="s">
        <v>41</v>
      </c>
      <c r="G90" s="552" t="s">
        <v>41</v>
      </c>
      <c r="H90" s="506"/>
      <c r="I90" s="488"/>
      <c r="J90" s="506">
        <v>156989</v>
      </c>
      <c r="K90" s="488">
        <v>159797</v>
      </c>
      <c r="L90" s="506">
        <v>53389</v>
      </c>
      <c r="M90" s="488">
        <v>54227</v>
      </c>
      <c r="N90" s="506">
        <v>168167</v>
      </c>
      <c r="O90" s="488">
        <v>165529</v>
      </c>
      <c r="P90" s="479">
        <f t="shared" si="51"/>
        <v>378545</v>
      </c>
      <c r="Q90" s="480">
        <f t="shared" si="52"/>
        <v>12618.166666666666</v>
      </c>
      <c r="R90" s="481">
        <f t="shared" si="53"/>
        <v>379553</v>
      </c>
      <c r="S90" s="482">
        <f t="shared" si="54"/>
        <v>12651.766666666666</v>
      </c>
      <c r="T90" s="506">
        <v>744</v>
      </c>
      <c r="U90" s="507">
        <v>662</v>
      </c>
      <c r="V90" s="479">
        <f t="shared" si="55"/>
        <v>378545</v>
      </c>
      <c r="W90" s="478">
        <f t="shared" si="56"/>
        <v>379553</v>
      </c>
      <c r="X90" s="506"/>
      <c r="Y90" s="488"/>
      <c r="Z90" s="506"/>
      <c r="AA90" s="488"/>
      <c r="AB90" s="506"/>
      <c r="AC90" s="488"/>
      <c r="AD90" s="506"/>
      <c r="AE90" s="507"/>
      <c r="AF90" s="479">
        <f t="shared" si="57"/>
        <v>0</v>
      </c>
      <c r="AG90" s="480">
        <f t="shared" si="58"/>
        <v>0</v>
      </c>
      <c r="AH90" s="481">
        <f t="shared" si="59"/>
        <v>0</v>
      </c>
      <c r="AI90" s="481">
        <f t="shared" si="60"/>
        <v>0</v>
      </c>
      <c r="AJ90" s="487"/>
      <c r="AK90" s="507"/>
      <c r="AL90" s="479">
        <f t="shared" si="61"/>
        <v>0</v>
      </c>
      <c r="AM90" s="482">
        <f t="shared" si="62"/>
        <v>0</v>
      </c>
      <c r="AN90" s="487"/>
      <c r="AO90" s="488"/>
      <c r="AP90" s="487">
        <v>11923</v>
      </c>
      <c r="AQ90" s="488">
        <v>11416</v>
      </c>
      <c r="AR90" s="487">
        <v>6524</v>
      </c>
      <c r="AS90" s="488">
        <v>6274</v>
      </c>
      <c r="AT90" s="487">
        <v>12699</v>
      </c>
      <c r="AU90" s="488">
        <v>12798</v>
      </c>
      <c r="AV90" s="479">
        <f t="shared" si="63"/>
        <v>31146</v>
      </c>
      <c r="AW90" s="483">
        <f t="shared" si="64"/>
        <v>1297.75</v>
      </c>
      <c r="AX90" s="481">
        <f t="shared" si="65"/>
        <v>30488</v>
      </c>
      <c r="AY90" s="484">
        <f t="shared" si="66"/>
        <v>1270.3333333333333</v>
      </c>
      <c r="AZ90" s="485">
        <f t="shared" si="67"/>
        <v>13915.916666666666</v>
      </c>
      <c r="BA90" s="481">
        <f t="shared" si="68"/>
        <v>13922.1</v>
      </c>
    </row>
    <row r="91" spans="1:53">
      <c r="A91" s="548" t="s">
        <v>284</v>
      </c>
      <c r="B91" s="549" t="s">
        <v>335</v>
      </c>
      <c r="C91" s="550"/>
      <c r="D91" s="606">
        <v>138354</v>
      </c>
      <c r="E91" s="606">
        <v>3</v>
      </c>
      <c r="F91" s="486" t="s">
        <v>41</v>
      </c>
      <c r="G91" s="552" t="s">
        <v>41</v>
      </c>
      <c r="H91" s="506"/>
      <c r="I91" s="488"/>
      <c r="J91" s="506">
        <v>106062</v>
      </c>
      <c r="K91" s="488">
        <v>110612</v>
      </c>
      <c r="L91" s="506">
        <v>34663</v>
      </c>
      <c r="M91" s="488">
        <v>32825</v>
      </c>
      <c r="N91" s="506">
        <v>119021</v>
      </c>
      <c r="O91" s="488">
        <v>116879</v>
      </c>
      <c r="P91" s="479">
        <f t="shared" si="51"/>
        <v>259746</v>
      </c>
      <c r="Q91" s="480">
        <f t="shared" si="52"/>
        <v>8658.2000000000007</v>
      </c>
      <c r="R91" s="481">
        <f t="shared" si="53"/>
        <v>260316</v>
      </c>
      <c r="S91" s="482">
        <f t="shared" si="54"/>
        <v>8677.2000000000007</v>
      </c>
      <c r="T91" s="506">
        <v>614</v>
      </c>
      <c r="U91" s="507">
        <v>765</v>
      </c>
      <c r="V91" s="479">
        <f t="shared" si="55"/>
        <v>259746</v>
      </c>
      <c r="W91" s="478">
        <f t="shared" si="56"/>
        <v>260316</v>
      </c>
      <c r="X91" s="506"/>
      <c r="Y91" s="488"/>
      <c r="Z91" s="506"/>
      <c r="AA91" s="488"/>
      <c r="AB91" s="506"/>
      <c r="AC91" s="488"/>
      <c r="AD91" s="506"/>
      <c r="AE91" s="507"/>
      <c r="AF91" s="479">
        <f t="shared" si="57"/>
        <v>0</v>
      </c>
      <c r="AG91" s="480">
        <f t="shared" si="58"/>
        <v>0</v>
      </c>
      <c r="AH91" s="481">
        <f t="shared" si="59"/>
        <v>0</v>
      </c>
      <c r="AI91" s="481">
        <f t="shared" si="60"/>
        <v>0</v>
      </c>
      <c r="AJ91" s="487"/>
      <c r="AK91" s="507"/>
      <c r="AL91" s="479">
        <f t="shared" si="61"/>
        <v>0</v>
      </c>
      <c r="AM91" s="482">
        <f t="shared" si="62"/>
        <v>0</v>
      </c>
      <c r="AN91" s="487"/>
      <c r="AO91" s="488"/>
      <c r="AP91" s="487">
        <v>11984</v>
      </c>
      <c r="AQ91" s="488">
        <v>12904</v>
      </c>
      <c r="AR91" s="487">
        <v>8453.5</v>
      </c>
      <c r="AS91" s="488">
        <v>9290</v>
      </c>
      <c r="AT91" s="487">
        <v>12972</v>
      </c>
      <c r="AU91" s="488">
        <v>13726</v>
      </c>
      <c r="AV91" s="479">
        <f t="shared" si="63"/>
        <v>33409.5</v>
      </c>
      <c r="AW91" s="483">
        <f t="shared" si="64"/>
        <v>1392.0625</v>
      </c>
      <c r="AX91" s="481">
        <f t="shared" si="65"/>
        <v>35920</v>
      </c>
      <c r="AY91" s="484">
        <f t="shared" si="66"/>
        <v>1496.6666666666667</v>
      </c>
      <c r="AZ91" s="485">
        <f t="shared" si="67"/>
        <v>10050.262500000001</v>
      </c>
      <c r="BA91" s="481">
        <f t="shared" si="68"/>
        <v>10173.866666666667</v>
      </c>
    </row>
    <row r="92" spans="1:53">
      <c r="A92" s="548" t="s">
        <v>284</v>
      </c>
      <c r="B92" s="549" t="s">
        <v>327</v>
      </c>
      <c r="C92" s="550"/>
      <c r="D92" s="606">
        <v>433660</v>
      </c>
      <c r="E92" s="606">
        <v>4</v>
      </c>
      <c r="F92" s="486" t="s">
        <v>41</v>
      </c>
      <c r="G92" s="552" t="s">
        <v>41</v>
      </c>
      <c r="H92" s="506"/>
      <c r="I92" s="488"/>
      <c r="J92" s="506">
        <v>128362</v>
      </c>
      <c r="K92" s="488">
        <v>135462</v>
      </c>
      <c r="L92" s="506">
        <v>29430</v>
      </c>
      <c r="M92" s="488">
        <v>30274</v>
      </c>
      <c r="N92" s="506">
        <v>146619</v>
      </c>
      <c r="O92" s="488">
        <v>154596</v>
      </c>
      <c r="P92" s="479">
        <f t="shared" si="51"/>
        <v>304411</v>
      </c>
      <c r="Q92" s="480">
        <f t="shared" si="52"/>
        <v>10147.033333333333</v>
      </c>
      <c r="R92" s="481">
        <f t="shared" si="53"/>
        <v>320332</v>
      </c>
      <c r="S92" s="482">
        <f t="shared" si="54"/>
        <v>10677.733333333334</v>
      </c>
      <c r="T92" s="506">
        <v>3235</v>
      </c>
      <c r="U92" s="507">
        <v>2184</v>
      </c>
      <c r="V92" s="479">
        <f t="shared" si="55"/>
        <v>304411</v>
      </c>
      <c r="W92" s="478">
        <f t="shared" si="56"/>
        <v>320332</v>
      </c>
      <c r="X92" s="506"/>
      <c r="Y92" s="488"/>
      <c r="Z92" s="506"/>
      <c r="AA92" s="488"/>
      <c r="AB92" s="506"/>
      <c r="AC92" s="488"/>
      <c r="AD92" s="506"/>
      <c r="AE92" s="507"/>
      <c r="AF92" s="479">
        <f t="shared" si="57"/>
        <v>0</v>
      </c>
      <c r="AG92" s="480">
        <f t="shared" si="58"/>
        <v>0</v>
      </c>
      <c r="AH92" s="481">
        <f t="shared" si="59"/>
        <v>0</v>
      </c>
      <c r="AI92" s="481">
        <f t="shared" si="60"/>
        <v>0</v>
      </c>
      <c r="AJ92" s="487"/>
      <c r="AK92" s="507"/>
      <c r="AL92" s="479">
        <f t="shared" si="61"/>
        <v>0</v>
      </c>
      <c r="AM92" s="482">
        <f t="shared" si="62"/>
        <v>0</v>
      </c>
      <c r="AN92" s="487"/>
      <c r="AO92" s="488"/>
      <c r="AP92" s="487">
        <v>9165</v>
      </c>
      <c r="AQ92" s="488">
        <v>8394</v>
      </c>
      <c r="AR92" s="487">
        <v>4744</v>
      </c>
      <c r="AS92" s="488">
        <v>4169</v>
      </c>
      <c r="AT92" s="487">
        <v>8612</v>
      </c>
      <c r="AU92" s="488">
        <v>8226</v>
      </c>
      <c r="AV92" s="479">
        <f t="shared" si="63"/>
        <v>22521</v>
      </c>
      <c r="AW92" s="483">
        <f t="shared" si="64"/>
        <v>938.375</v>
      </c>
      <c r="AX92" s="481">
        <f t="shared" si="65"/>
        <v>20789</v>
      </c>
      <c r="AY92" s="484">
        <f t="shared" si="66"/>
        <v>866.20833333333337</v>
      </c>
      <c r="AZ92" s="485">
        <f t="shared" si="67"/>
        <v>11085.408333333333</v>
      </c>
      <c r="BA92" s="481">
        <f t="shared" si="68"/>
        <v>11543.941666666668</v>
      </c>
    </row>
    <row r="93" spans="1:53">
      <c r="A93" s="548" t="s">
        <v>284</v>
      </c>
      <c r="B93" s="549" t="s">
        <v>330</v>
      </c>
      <c r="C93" s="550"/>
      <c r="D93" s="606">
        <v>262129</v>
      </c>
      <c r="E93" s="606">
        <v>6</v>
      </c>
      <c r="F93" s="486" t="s">
        <v>41</v>
      </c>
      <c r="G93" s="552" t="s">
        <v>41</v>
      </c>
      <c r="H93" s="506"/>
      <c r="I93" s="488"/>
      <c r="J93" s="506">
        <v>12752</v>
      </c>
      <c r="K93" s="488">
        <v>12628</v>
      </c>
      <c r="L93" s="506">
        <v>0</v>
      </c>
      <c r="M93" s="488">
        <v>0</v>
      </c>
      <c r="N93" s="506">
        <v>15768</v>
      </c>
      <c r="O93" s="488">
        <v>15128</v>
      </c>
      <c r="P93" s="479">
        <f t="shared" si="51"/>
        <v>28520</v>
      </c>
      <c r="Q93" s="480">
        <f t="shared" si="52"/>
        <v>950.66666666666663</v>
      </c>
      <c r="R93" s="481">
        <f t="shared" si="53"/>
        <v>27756</v>
      </c>
      <c r="S93" s="482">
        <f t="shared" si="54"/>
        <v>925.2</v>
      </c>
      <c r="T93" s="506">
        <v>20</v>
      </c>
      <c r="U93" s="507">
        <v>16</v>
      </c>
      <c r="V93" s="479">
        <f t="shared" si="55"/>
        <v>28520</v>
      </c>
      <c r="W93" s="478">
        <f t="shared" si="56"/>
        <v>27756</v>
      </c>
      <c r="X93" s="506"/>
      <c r="Y93" s="488"/>
      <c r="Z93" s="506"/>
      <c r="AA93" s="488"/>
      <c r="AB93" s="506"/>
      <c r="AC93" s="488"/>
      <c r="AD93" s="506"/>
      <c r="AE93" s="507"/>
      <c r="AF93" s="479">
        <f t="shared" si="57"/>
        <v>0</v>
      </c>
      <c r="AG93" s="480">
        <f t="shared" si="58"/>
        <v>0</v>
      </c>
      <c r="AH93" s="481">
        <f t="shared" si="59"/>
        <v>0</v>
      </c>
      <c r="AI93" s="481">
        <f t="shared" si="60"/>
        <v>0</v>
      </c>
      <c r="AJ93" s="487"/>
      <c r="AK93" s="507"/>
      <c r="AL93" s="479">
        <f t="shared" si="61"/>
        <v>0</v>
      </c>
      <c r="AM93" s="482">
        <f t="shared" si="62"/>
        <v>0</v>
      </c>
      <c r="AN93" s="487"/>
      <c r="AO93" s="488"/>
      <c r="AP93" s="487"/>
      <c r="AQ93" s="488">
        <v>0</v>
      </c>
      <c r="AR93" s="487"/>
      <c r="AS93" s="488">
        <v>0</v>
      </c>
      <c r="AT93" s="487"/>
      <c r="AU93" s="488">
        <v>0</v>
      </c>
      <c r="AV93" s="479">
        <f t="shared" si="63"/>
        <v>0</v>
      </c>
      <c r="AW93" s="483">
        <f t="shared" si="64"/>
        <v>0</v>
      </c>
      <c r="AX93" s="481">
        <f t="shared" si="65"/>
        <v>0</v>
      </c>
      <c r="AY93" s="484">
        <f t="shared" si="66"/>
        <v>0</v>
      </c>
      <c r="AZ93" s="485">
        <f t="shared" si="67"/>
        <v>950.66666666666663</v>
      </c>
      <c r="BA93" s="481">
        <f t="shared" si="68"/>
        <v>925.2</v>
      </c>
    </row>
    <row r="94" spans="1:53">
      <c r="A94" s="757" t="s">
        <v>284</v>
      </c>
      <c r="B94" s="749" t="s">
        <v>844</v>
      </c>
      <c r="C94" s="750"/>
      <c r="D94" s="751">
        <v>133021</v>
      </c>
      <c r="E94" s="751">
        <v>7</v>
      </c>
      <c r="F94" s="486" t="s">
        <v>41</v>
      </c>
      <c r="G94" s="529"/>
      <c r="H94" s="506"/>
      <c r="I94" s="488"/>
      <c r="J94" s="506">
        <v>19100</v>
      </c>
      <c r="K94" s="488">
        <v>18262</v>
      </c>
      <c r="L94" s="506">
        <v>5901</v>
      </c>
      <c r="M94" s="488">
        <v>5372</v>
      </c>
      <c r="N94" s="506">
        <v>20255</v>
      </c>
      <c r="O94" s="488">
        <v>18964</v>
      </c>
      <c r="P94" s="479">
        <f t="shared" si="51"/>
        <v>45256</v>
      </c>
      <c r="Q94" s="480">
        <f t="shared" si="52"/>
        <v>1508.5333333333333</v>
      </c>
      <c r="R94" s="481">
        <f t="shared" si="53"/>
        <v>42598</v>
      </c>
      <c r="S94" s="482">
        <f t="shared" si="54"/>
        <v>1419.9333333333334</v>
      </c>
      <c r="T94" s="506">
        <v>5469</v>
      </c>
      <c r="U94" s="507">
        <v>6133</v>
      </c>
      <c r="V94" s="479">
        <f t="shared" si="55"/>
        <v>45256</v>
      </c>
      <c r="W94" s="478">
        <f t="shared" si="56"/>
        <v>42598</v>
      </c>
      <c r="X94" s="506"/>
      <c r="Y94" s="488"/>
      <c r="Z94" s="506">
        <v>42203</v>
      </c>
      <c r="AA94" s="488">
        <v>47740</v>
      </c>
      <c r="AB94" s="506">
        <v>13777</v>
      </c>
      <c r="AC94" s="488">
        <v>18831</v>
      </c>
      <c r="AD94" s="506">
        <v>49304</v>
      </c>
      <c r="AE94" s="507">
        <v>51322</v>
      </c>
      <c r="AF94" s="479">
        <f t="shared" si="57"/>
        <v>105284</v>
      </c>
      <c r="AG94" s="480">
        <f t="shared" si="58"/>
        <v>116.98222222222222</v>
      </c>
      <c r="AH94" s="481">
        <f t="shared" si="59"/>
        <v>117893</v>
      </c>
      <c r="AI94" s="481">
        <f t="shared" si="60"/>
        <v>130.99222222222221</v>
      </c>
      <c r="AJ94" s="487">
        <v>1785</v>
      </c>
      <c r="AK94" s="507">
        <v>1725</v>
      </c>
      <c r="AL94" s="479">
        <f t="shared" si="61"/>
        <v>105284</v>
      </c>
      <c r="AM94" s="482">
        <f t="shared" si="62"/>
        <v>117893</v>
      </c>
      <c r="AN94" s="487"/>
      <c r="AO94" s="488"/>
      <c r="AP94" s="487"/>
      <c r="AQ94" s="488"/>
      <c r="AR94" s="487"/>
      <c r="AS94" s="488"/>
      <c r="AT94" s="487"/>
      <c r="AU94" s="488"/>
      <c r="AV94" s="479">
        <f t="shared" si="63"/>
        <v>0</v>
      </c>
      <c r="AW94" s="483">
        <f t="shared" si="64"/>
        <v>0</v>
      </c>
      <c r="AX94" s="481">
        <f t="shared" si="65"/>
        <v>0</v>
      </c>
      <c r="AY94" s="484">
        <f t="shared" si="66"/>
        <v>0</v>
      </c>
      <c r="AZ94" s="485">
        <f t="shared" si="67"/>
        <v>1625.5155555555555</v>
      </c>
      <c r="BA94" s="481">
        <f t="shared" si="68"/>
        <v>1550.9255555555555</v>
      </c>
    </row>
    <row r="95" spans="1:53">
      <c r="A95" s="757" t="s">
        <v>284</v>
      </c>
      <c r="B95" s="752" t="s">
        <v>845</v>
      </c>
      <c r="C95" s="753"/>
      <c r="D95" s="751">
        <v>133386</v>
      </c>
      <c r="E95" s="751">
        <v>7</v>
      </c>
      <c r="F95" s="486" t="s">
        <v>41</v>
      </c>
      <c r="G95" s="529"/>
      <c r="H95" s="506"/>
      <c r="I95" s="488"/>
      <c r="J95" s="506">
        <v>144792</v>
      </c>
      <c r="K95" s="488">
        <v>130377</v>
      </c>
      <c r="L95" s="506">
        <v>44520</v>
      </c>
      <c r="M95" s="488">
        <v>41221</v>
      </c>
      <c r="N95" s="506">
        <v>140532</v>
      </c>
      <c r="O95" s="488">
        <v>135963</v>
      </c>
      <c r="P95" s="479">
        <f t="shared" si="51"/>
        <v>329844</v>
      </c>
      <c r="Q95" s="480">
        <f t="shared" si="52"/>
        <v>10994.8</v>
      </c>
      <c r="R95" s="481">
        <f t="shared" si="53"/>
        <v>307561</v>
      </c>
      <c r="S95" s="482">
        <f t="shared" si="54"/>
        <v>10252.033333333333</v>
      </c>
      <c r="T95" s="506">
        <v>27072</v>
      </c>
      <c r="U95" s="507">
        <v>25562</v>
      </c>
      <c r="V95" s="479">
        <f t="shared" si="55"/>
        <v>329844</v>
      </c>
      <c r="W95" s="478">
        <f t="shared" si="56"/>
        <v>307561</v>
      </c>
      <c r="X95" s="506"/>
      <c r="Y95" s="488"/>
      <c r="Z95" s="506">
        <v>847829</v>
      </c>
      <c r="AA95" s="488">
        <v>833957</v>
      </c>
      <c r="AB95" s="506">
        <v>450015</v>
      </c>
      <c r="AC95" s="488">
        <v>441255</v>
      </c>
      <c r="AD95" s="506">
        <v>816179</v>
      </c>
      <c r="AE95" s="507">
        <v>803927</v>
      </c>
      <c r="AF95" s="479">
        <f t="shared" si="57"/>
        <v>2114023</v>
      </c>
      <c r="AG95" s="480">
        <f t="shared" si="58"/>
        <v>2348.9144444444446</v>
      </c>
      <c r="AH95" s="481">
        <f t="shared" si="59"/>
        <v>2079139</v>
      </c>
      <c r="AI95" s="481">
        <f t="shared" si="60"/>
        <v>2310.1544444444444</v>
      </c>
      <c r="AJ95" s="487">
        <v>4940</v>
      </c>
      <c r="AK95" s="507">
        <v>6180</v>
      </c>
      <c r="AL95" s="479">
        <f t="shared" si="61"/>
        <v>2114023</v>
      </c>
      <c r="AM95" s="482">
        <f t="shared" si="62"/>
        <v>2079139</v>
      </c>
      <c r="AN95" s="487"/>
      <c r="AO95" s="488"/>
      <c r="AP95" s="487"/>
      <c r="AQ95" s="488"/>
      <c r="AR95" s="487"/>
      <c r="AS95" s="488"/>
      <c r="AT95" s="487"/>
      <c r="AU95" s="488"/>
      <c r="AV95" s="479">
        <f t="shared" si="63"/>
        <v>0</v>
      </c>
      <c r="AW95" s="483">
        <f t="shared" si="64"/>
        <v>0</v>
      </c>
      <c r="AX95" s="481">
        <f t="shared" si="65"/>
        <v>0</v>
      </c>
      <c r="AY95" s="484">
        <f t="shared" si="66"/>
        <v>0</v>
      </c>
      <c r="AZ95" s="485">
        <f t="shared" si="67"/>
        <v>13343.714444444444</v>
      </c>
      <c r="BA95" s="481">
        <f t="shared" si="68"/>
        <v>12562.187777777777</v>
      </c>
    </row>
    <row r="96" spans="1:53">
      <c r="A96" s="757" t="s">
        <v>284</v>
      </c>
      <c r="B96" s="752" t="s">
        <v>870</v>
      </c>
      <c r="C96" s="753"/>
      <c r="D96" s="754">
        <v>133508</v>
      </c>
      <c r="E96" s="754">
        <v>7</v>
      </c>
      <c r="F96" s="486" t="s">
        <v>41</v>
      </c>
      <c r="G96" s="529"/>
      <c r="H96" s="506"/>
      <c r="I96" s="488"/>
      <c r="J96" s="506">
        <v>141156</v>
      </c>
      <c r="K96" s="488">
        <v>127177</v>
      </c>
      <c r="L96" s="506">
        <v>52499</v>
      </c>
      <c r="M96" s="488">
        <v>48933</v>
      </c>
      <c r="N96" s="506">
        <v>136807</v>
      </c>
      <c r="O96" s="488">
        <v>133601</v>
      </c>
      <c r="P96" s="479">
        <f t="shared" si="51"/>
        <v>330462</v>
      </c>
      <c r="Q96" s="480">
        <f t="shared" si="52"/>
        <v>11015.4</v>
      </c>
      <c r="R96" s="481">
        <f t="shared" si="53"/>
        <v>309711</v>
      </c>
      <c r="S96" s="482">
        <f t="shared" si="54"/>
        <v>10323.700000000001</v>
      </c>
      <c r="T96" s="506">
        <v>26406</v>
      </c>
      <c r="U96" s="507">
        <v>26897</v>
      </c>
      <c r="V96" s="479">
        <f t="shared" si="55"/>
        <v>330462</v>
      </c>
      <c r="W96" s="478">
        <f t="shared" si="56"/>
        <v>309711</v>
      </c>
      <c r="X96" s="506"/>
      <c r="Y96" s="488"/>
      <c r="Z96" s="506">
        <v>3990</v>
      </c>
      <c r="AA96" s="488">
        <v>4860</v>
      </c>
      <c r="AB96" s="506">
        <v>3900</v>
      </c>
      <c r="AC96" s="488">
        <v>8910</v>
      </c>
      <c r="AD96" s="506">
        <v>0</v>
      </c>
      <c r="AE96" s="507">
        <v>3120</v>
      </c>
      <c r="AF96" s="479">
        <f t="shared" si="57"/>
        <v>7890</v>
      </c>
      <c r="AG96" s="480">
        <f t="shared" si="58"/>
        <v>8.7666666666666675</v>
      </c>
      <c r="AH96" s="481">
        <f t="shared" si="59"/>
        <v>16890</v>
      </c>
      <c r="AI96" s="481">
        <f t="shared" si="60"/>
        <v>18.766666666666666</v>
      </c>
      <c r="AJ96" s="487">
        <v>0</v>
      </c>
      <c r="AK96" s="507">
        <v>0</v>
      </c>
      <c r="AL96" s="479">
        <f t="shared" si="61"/>
        <v>7890</v>
      </c>
      <c r="AM96" s="482">
        <f t="shared" si="62"/>
        <v>16890</v>
      </c>
      <c r="AN96" s="487"/>
      <c r="AO96" s="488"/>
      <c r="AP96" s="487"/>
      <c r="AQ96" s="488"/>
      <c r="AR96" s="487"/>
      <c r="AS96" s="488"/>
      <c r="AT96" s="487"/>
      <c r="AU96" s="488"/>
      <c r="AV96" s="479">
        <f t="shared" si="63"/>
        <v>0</v>
      </c>
      <c r="AW96" s="483">
        <f t="shared" si="64"/>
        <v>0</v>
      </c>
      <c r="AX96" s="481">
        <f t="shared" si="65"/>
        <v>0</v>
      </c>
      <c r="AY96" s="484">
        <f t="shared" si="66"/>
        <v>0</v>
      </c>
      <c r="AZ96" s="485">
        <f t="shared" si="67"/>
        <v>11024.166666666666</v>
      </c>
      <c r="BA96" s="481">
        <f t="shared" si="68"/>
        <v>10342.466666666667</v>
      </c>
    </row>
    <row r="97" spans="1:53">
      <c r="A97" s="757" t="s">
        <v>284</v>
      </c>
      <c r="B97" s="752" t="s">
        <v>846</v>
      </c>
      <c r="C97" s="755"/>
      <c r="D97" s="751">
        <v>133702</v>
      </c>
      <c r="E97" s="751">
        <v>7</v>
      </c>
      <c r="F97" s="486" t="s">
        <v>41</v>
      </c>
      <c r="G97" s="529"/>
      <c r="H97" s="506"/>
      <c r="I97" s="488"/>
      <c r="J97" s="506">
        <v>259025</v>
      </c>
      <c r="K97" s="488">
        <v>235384</v>
      </c>
      <c r="L97" s="506">
        <v>129952</v>
      </c>
      <c r="M97" s="488">
        <v>118520</v>
      </c>
      <c r="N97" s="506">
        <v>248614</v>
      </c>
      <c r="O97" s="488">
        <v>237970</v>
      </c>
      <c r="P97" s="479">
        <f t="shared" si="51"/>
        <v>637591</v>
      </c>
      <c r="Q97" s="480">
        <f t="shared" si="52"/>
        <v>21253.033333333333</v>
      </c>
      <c r="R97" s="481">
        <f t="shared" si="53"/>
        <v>591874</v>
      </c>
      <c r="S97" s="482">
        <f t="shared" si="54"/>
        <v>19729.133333333335</v>
      </c>
      <c r="T97" s="506">
        <v>32881</v>
      </c>
      <c r="U97" s="507">
        <v>35150</v>
      </c>
      <c r="V97" s="479">
        <f t="shared" si="55"/>
        <v>637591</v>
      </c>
      <c r="W97" s="478">
        <f t="shared" si="56"/>
        <v>591874</v>
      </c>
      <c r="X97" s="506"/>
      <c r="Y97" s="488"/>
      <c r="Z97" s="506">
        <v>873495</v>
      </c>
      <c r="AA97" s="488">
        <v>772538</v>
      </c>
      <c r="AB97" s="506">
        <v>535059</v>
      </c>
      <c r="AC97" s="488">
        <v>563856</v>
      </c>
      <c r="AD97" s="506">
        <v>799377</v>
      </c>
      <c r="AE97" s="507">
        <v>783095</v>
      </c>
      <c r="AF97" s="479">
        <f t="shared" si="57"/>
        <v>2207931</v>
      </c>
      <c r="AG97" s="480">
        <f t="shared" si="58"/>
        <v>2453.2566666666667</v>
      </c>
      <c r="AH97" s="481">
        <f t="shared" si="59"/>
        <v>2119489</v>
      </c>
      <c r="AI97" s="481">
        <f t="shared" si="60"/>
        <v>2354.9877777777779</v>
      </c>
      <c r="AJ97" s="487">
        <v>34827</v>
      </c>
      <c r="AK97" s="507">
        <v>19562</v>
      </c>
      <c r="AL97" s="479">
        <f t="shared" si="61"/>
        <v>2207931</v>
      </c>
      <c r="AM97" s="482">
        <f t="shared" si="62"/>
        <v>2119489</v>
      </c>
      <c r="AN97" s="487"/>
      <c r="AO97" s="488"/>
      <c r="AP97" s="487"/>
      <c r="AQ97" s="488"/>
      <c r="AR97" s="487"/>
      <c r="AS97" s="488"/>
      <c r="AT97" s="487"/>
      <c r="AU97" s="488"/>
      <c r="AV97" s="479">
        <f t="shared" si="63"/>
        <v>0</v>
      </c>
      <c r="AW97" s="483">
        <f t="shared" si="64"/>
        <v>0</v>
      </c>
      <c r="AX97" s="481">
        <f t="shared" si="65"/>
        <v>0</v>
      </c>
      <c r="AY97" s="484">
        <f t="shared" si="66"/>
        <v>0</v>
      </c>
      <c r="AZ97" s="485">
        <f t="shared" si="67"/>
        <v>23706.29</v>
      </c>
      <c r="BA97" s="481">
        <f t="shared" si="68"/>
        <v>22084.121111111112</v>
      </c>
    </row>
    <row r="98" spans="1:53">
      <c r="A98" s="757" t="s">
        <v>284</v>
      </c>
      <c r="B98" s="752" t="s">
        <v>847</v>
      </c>
      <c r="C98" s="755"/>
      <c r="D98" s="751">
        <v>134608</v>
      </c>
      <c r="E98" s="751">
        <v>7</v>
      </c>
      <c r="F98" s="486" t="s">
        <v>41</v>
      </c>
      <c r="G98" s="529"/>
      <c r="H98" s="506"/>
      <c r="I98" s="488"/>
      <c r="J98" s="506">
        <v>133118</v>
      </c>
      <c r="K98" s="488">
        <v>133323</v>
      </c>
      <c r="L98" s="506">
        <v>63072</v>
      </c>
      <c r="M98" s="488">
        <v>60436</v>
      </c>
      <c r="N98" s="506">
        <v>143137</v>
      </c>
      <c r="O98" s="488">
        <v>140090</v>
      </c>
      <c r="P98" s="479">
        <f t="shared" si="51"/>
        <v>339327</v>
      </c>
      <c r="Q98" s="480">
        <f t="shared" si="52"/>
        <v>11310.9</v>
      </c>
      <c r="R98" s="481">
        <f t="shared" si="53"/>
        <v>333849</v>
      </c>
      <c r="S98" s="482">
        <f t="shared" si="54"/>
        <v>11128.3</v>
      </c>
      <c r="T98" s="506">
        <v>36630</v>
      </c>
      <c r="U98" s="507">
        <v>42139</v>
      </c>
      <c r="V98" s="479">
        <f t="shared" si="55"/>
        <v>339327</v>
      </c>
      <c r="W98" s="478">
        <f t="shared" si="56"/>
        <v>333849</v>
      </c>
      <c r="X98" s="506"/>
      <c r="Y98" s="488"/>
      <c r="Z98" s="506">
        <v>722970</v>
      </c>
      <c r="AA98" s="488">
        <v>688962</v>
      </c>
      <c r="AB98" s="506">
        <v>490692</v>
      </c>
      <c r="AC98" s="488">
        <v>497933</v>
      </c>
      <c r="AD98" s="506">
        <v>724338</v>
      </c>
      <c r="AE98" s="507">
        <v>715790</v>
      </c>
      <c r="AF98" s="479">
        <f t="shared" si="57"/>
        <v>1938000</v>
      </c>
      <c r="AG98" s="480">
        <f t="shared" si="58"/>
        <v>2153.3333333333335</v>
      </c>
      <c r="AH98" s="481">
        <f t="shared" si="59"/>
        <v>1902685</v>
      </c>
      <c r="AI98" s="481">
        <f t="shared" si="60"/>
        <v>2114.0944444444444</v>
      </c>
      <c r="AJ98" s="487">
        <v>41440</v>
      </c>
      <c r="AK98" s="507">
        <v>29864</v>
      </c>
      <c r="AL98" s="479">
        <f t="shared" si="61"/>
        <v>1938000</v>
      </c>
      <c r="AM98" s="482">
        <f t="shared" si="62"/>
        <v>1902685</v>
      </c>
      <c r="AN98" s="487"/>
      <c r="AO98" s="488"/>
      <c r="AP98" s="487"/>
      <c r="AQ98" s="488"/>
      <c r="AR98" s="487"/>
      <c r="AS98" s="488"/>
      <c r="AT98" s="487"/>
      <c r="AU98" s="488"/>
      <c r="AV98" s="479">
        <f t="shared" si="63"/>
        <v>0</v>
      </c>
      <c r="AW98" s="483">
        <f t="shared" si="64"/>
        <v>0</v>
      </c>
      <c r="AX98" s="481">
        <f t="shared" si="65"/>
        <v>0</v>
      </c>
      <c r="AY98" s="484">
        <f t="shared" si="66"/>
        <v>0</v>
      </c>
      <c r="AZ98" s="485">
        <f t="shared" si="67"/>
        <v>13464.233333333334</v>
      </c>
      <c r="BA98" s="481">
        <f t="shared" si="68"/>
        <v>13242.394444444444</v>
      </c>
    </row>
    <row r="99" spans="1:53">
      <c r="A99" s="757" t="s">
        <v>284</v>
      </c>
      <c r="B99" s="749" t="s">
        <v>848</v>
      </c>
      <c r="C99" s="750"/>
      <c r="D99" s="751">
        <v>135717</v>
      </c>
      <c r="E99" s="751">
        <v>7</v>
      </c>
      <c r="F99" s="486" t="s">
        <v>41</v>
      </c>
      <c r="G99" s="529"/>
      <c r="H99" s="506"/>
      <c r="I99" s="488"/>
      <c r="J99" s="506">
        <v>650249</v>
      </c>
      <c r="K99" s="488">
        <v>625446</v>
      </c>
      <c r="L99" s="506">
        <v>295176</v>
      </c>
      <c r="M99" s="488">
        <v>274274</v>
      </c>
      <c r="N99" s="506">
        <v>650690</v>
      </c>
      <c r="O99" s="488">
        <v>644836</v>
      </c>
      <c r="P99" s="479">
        <f t="shared" si="51"/>
        <v>1596115</v>
      </c>
      <c r="Q99" s="480">
        <f t="shared" si="52"/>
        <v>53203.833333333336</v>
      </c>
      <c r="R99" s="481">
        <f t="shared" si="53"/>
        <v>1544556</v>
      </c>
      <c r="S99" s="482">
        <f t="shared" si="54"/>
        <v>51485.2</v>
      </c>
      <c r="T99" s="506">
        <v>35022</v>
      </c>
      <c r="U99" s="507">
        <v>42766</v>
      </c>
      <c r="V99" s="479">
        <f t="shared" si="55"/>
        <v>1596115</v>
      </c>
      <c r="W99" s="478">
        <f t="shared" si="56"/>
        <v>1544556</v>
      </c>
      <c r="X99" s="506"/>
      <c r="Y99" s="488"/>
      <c r="Z99" s="506">
        <v>1233420</v>
      </c>
      <c r="AA99" s="488">
        <v>1154965</v>
      </c>
      <c r="AB99" s="506">
        <v>921686</v>
      </c>
      <c r="AC99" s="488">
        <v>969985</v>
      </c>
      <c r="AD99" s="506">
        <v>1108304</v>
      </c>
      <c r="AE99" s="507">
        <v>1121270</v>
      </c>
      <c r="AF99" s="479">
        <f t="shared" si="57"/>
        <v>3263410</v>
      </c>
      <c r="AG99" s="480">
        <f t="shared" si="58"/>
        <v>3626.0111111111109</v>
      </c>
      <c r="AH99" s="481">
        <f t="shared" si="59"/>
        <v>3246220</v>
      </c>
      <c r="AI99" s="481">
        <f t="shared" si="60"/>
        <v>3606.911111111111</v>
      </c>
      <c r="AJ99" s="487">
        <v>0</v>
      </c>
      <c r="AK99" s="507">
        <v>0</v>
      </c>
      <c r="AL99" s="479">
        <f t="shared" si="61"/>
        <v>3263410</v>
      </c>
      <c r="AM99" s="482">
        <f t="shared" si="62"/>
        <v>3246220</v>
      </c>
      <c r="AN99" s="487"/>
      <c r="AO99" s="488"/>
      <c r="AP99" s="487"/>
      <c r="AQ99" s="488"/>
      <c r="AR99" s="487"/>
      <c r="AS99" s="488"/>
      <c r="AT99" s="487"/>
      <c r="AU99" s="488"/>
      <c r="AV99" s="479">
        <f t="shared" si="63"/>
        <v>0</v>
      </c>
      <c r="AW99" s="483">
        <f t="shared" si="64"/>
        <v>0</v>
      </c>
      <c r="AX99" s="481">
        <f t="shared" si="65"/>
        <v>0</v>
      </c>
      <c r="AY99" s="484">
        <f t="shared" si="66"/>
        <v>0</v>
      </c>
      <c r="AZ99" s="485">
        <f t="shared" si="67"/>
        <v>56829.844444444447</v>
      </c>
      <c r="BA99" s="481">
        <f t="shared" si="68"/>
        <v>55092.111111111109</v>
      </c>
    </row>
    <row r="100" spans="1:53">
      <c r="A100" s="758" t="s">
        <v>284</v>
      </c>
      <c r="B100" s="749" t="s">
        <v>849</v>
      </c>
      <c r="C100" s="750"/>
      <c r="D100" s="733">
        <v>136233</v>
      </c>
      <c r="E100" s="751">
        <v>7</v>
      </c>
      <c r="F100" s="486" t="s">
        <v>41</v>
      </c>
      <c r="G100" s="529"/>
      <c r="H100" s="506"/>
      <c r="I100" s="488"/>
      <c r="J100" s="506">
        <v>63434</v>
      </c>
      <c r="K100" s="488">
        <v>58154</v>
      </c>
      <c r="L100" s="506">
        <v>26154</v>
      </c>
      <c r="M100" s="488">
        <v>25986</v>
      </c>
      <c r="N100" s="506">
        <v>62508</v>
      </c>
      <c r="O100" s="488">
        <v>60531</v>
      </c>
      <c r="P100" s="479">
        <f t="shared" si="51"/>
        <v>152096</v>
      </c>
      <c r="Q100" s="480">
        <f t="shared" si="52"/>
        <v>5069.8666666666668</v>
      </c>
      <c r="R100" s="481">
        <f t="shared" si="53"/>
        <v>144671</v>
      </c>
      <c r="S100" s="482">
        <f t="shared" si="54"/>
        <v>4822.3666666666668</v>
      </c>
      <c r="T100" s="506">
        <v>8870</v>
      </c>
      <c r="U100" s="507">
        <v>10063</v>
      </c>
      <c r="V100" s="479">
        <f t="shared" si="55"/>
        <v>152096</v>
      </c>
      <c r="W100" s="478">
        <f t="shared" si="56"/>
        <v>144671</v>
      </c>
      <c r="X100" s="506"/>
      <c r="Y100" s="488"/>
      <c r="Z100" s="506">
        <v>109611</v>
      </c>
      <c r="AA100" s="488">
        <v>109096</v>
      </c>
      <c r="AB100" s="506">
        <v>60497</v>
      </c>
      <c r="AC100" s="488">
        <v>46544</v>
      </c>
      <c r="AD100" s="506">
        <v>107642</v>
      </c>
      <c r="AE100" s="507">
        <v>109413</v>
      </c>
      <c r="AF100" s="479">
        <f t="shared" si="57"/>
        <v>277750</v>
      </c>
      <c r="AG100" s="480">
        <f t="shared" si="58"/>
        <v>308.61111111111109</v>
      </c>
      <c r="AH100" s="481">
        <f t="shared" si="59"/>
        <v>265053</v>
      </c>
      <c r="AI100" s="481">
        <f t="shared" si="60"/>
        <v>294.50333333333333</v>
      </c>
      <c r="AJ100" s="487">
        <v>0</v>
      </c>
      <c r="AK100" s="507">
        <v>0</v>
      </c>
      <c r="AL100" s="479">
        <f t="shared" si="61"/>
        <v>277750</v>
      </c>
      <c r="AM100" s="482">
        <f t="shared" si="62"/>
        <v>265053</v>
      </c>
      <c r="AN100" s="487"/>
      <c r="AO100" s="488"/>
      <c r="AP100" s="487"/>
      <c r="AQ100" s="488"/>
      <c r="AR100" s="487"/>
      <c r="AS100" s="488"/>
      <c r="AT100" s="487"/>
      <c r="AU100" s="488"/>
      <c r="AV100" s="479">
        <f t="shared" si="63"/>
        <v>0</v>
      </c>
      <c r="AW100" s="483">
        <f t="shared" si="64"/>
        <v>0</v>
      </c>
      <c r="AX100" s="481">
        <f t="shared" si="65"/>
        <v>0</v>
      </c>
      <c r="AY100" s="484">
        <f t="shared" si="66"/>
        <v>0</v>
      </c>
      <c r="AZ100" s="485">
        <f t="shared" si="67"/>
        <v>5378.4777777777781</v>
      </c>
      <c r="BA100" s="481">
        <f t="shared" si="68"/>
        <v>5116.87</v>
      </c>
    </row>
    <row r="101" spans="1:53">
      <c r="A101" s="757" t="s">
        <v>284</v>
      </c>
      <c r="B101" s="749" t="s">
        <v>850</v>
      </c>
      <c r="C101" s="750"/>
      <c r="D101" s="751">
        <v>137078</v>
      </c>
      <c r="E101" s="751">
        <v>7</v>
      </c>
      <c r="F101" s="486" t="s">
        <v>41</v>
      </c>
      <c r="G101" s="529"/>
      <c r="H101" s="506"/>
      <c r="I101" s="488"/>
      <c r="J101" s="506">
        <v>271911</v>
      </c>
      <c r="K101" s="488">
        <v>263316</v>
      </c>
      <c r="L101" s="506">
        <v>96285</v>
      </c>
      <c r="M101" s="488">
        <v>91582</v>
      </c>
      <c r="N101" s="506">
        <v>276141</v>
      </c>
      <c r="O101" s="488">
        <v>269754</v>
      </c>
      <c r="P101" s="479">
        <f t="shared" si="51"/>
        <v>644337</v>
      </c>
      <c r="Q101" s="480">
        <f t="shared" si="52"/>
        <v>21477.9</v>
      </c>
      <c r="R101" s="481">
        <f t="shared" si="53"/>
        <v>624652</v>
      </c>
      <c r="S101" s="482">
        <f t="shared" si="54"/>
        <v>20821.733333333334</v>
      </c>
      <c r="T101" s="506">
        <v>37452</v>
      </c>
      <c r="U101" s="507">
        <v>38741</v>
      </c>
      <c r="V101" s="479">
        <f t="shared" si="55"/>
        <v>644337</v>
      </c>
      <c r="W101" s="478">
        <f t="shared" si="56"/>
        <v>624652</v>
      </c>
      <c r="X101" s="506"/>
      <c r="Y101" s="488"/>
      <c r="Z101" s="506">
        <v>47140</v>
      </c>
      <c r="AA101" s="488">
        <v>68660</v>
      </c>
      <c r="AB101" s="506">
        <v>26277</v>
      </c>
      <c r="AC101" s="488">
        <v>40077</v>
      </c>
      <c r="AD101" s="506">
        <v>62940</v>
      </c>
      <c r="AE101" s="507">
        <v>62571</v>
      </c>
      <c r="AF101" s="479">
        <f t="shared" si="57"/>
        <v>136357</v>
      </c>
      <c r="AG101" s="480">
        <f t="shared" si="58"/>
        <v>151.50777777777779</v>
      </c>
      <c r="AH101" s="481">
        <f t="shared" si="59"/>
        <v>171308</v>
      </c>
      <c r="AI101" s="481">
        <f t="shared" si="60"/>
        <v>190.34222222222223</v>
      </c>
      <c r="AJ101" s="487">
        <v>0</v>
      </c>
      <c r="AK101" s="507">
        <v>0</v>
      </c>
      <c r="AL101" s="479">
        <f t="shared" si="61"/>
        <v>136357</v>
      </c>
      <c r="AM101" s="482">
        <f t="shared" si="62"/>
        <v>171308</v>
      </c>
      <c r="AN101" s="487"/>
      <c r="AO101" s="488"/>
      <c r="AP101" s="487"/>
      <c r="AQ101" s="488"/>
      <c r="AR101" s="487"/>
      <c r="AS101" s="488"/>
      <c r="AT101" s="487"/>
      <c r="AU101" s="488"/>
      <c r="AV101" s="479">
        <f t="shared" si="63"/>
        <v>0</v>
      </c>
      <c r="AW101" s="483">
        <f t="shared" si="64"/>
        <v>0</v>
      </c>
      <c r="AX101" s="481">
        <f t="shared" si="65"/>
        <v>0</v>
      </c>
      <c r="AY101" s="484">
        <f t="shared" si="66"/>
        <v>0</v>
      </c>
      <c r="AZ101" s="485">
        <f t="shared" si="67"/>
        <v>21629.407777777778</v>
      </c>
      <c r="BA101" s="481">
        <f t="shared" si="68"/>
        <v>21012.075555555555</v>
      </c>
    </row>
    <row r="102" spans="1:53">
      <c r="A102" s="757" t="s">
        <v>284</v>
      </c>
      <c r="B102" s="752" t="s">
        <v>851</v>
      </c>
      <c r="C102" s="759" t="s">
        <v>871</v>
      </c>
      <c r="D102" s="751">
        <v>132709</v>
      </c>
      <c r="E102" s="760">
        <v>7</v>
      </c>
      <c r="F102" s="486" t="s">
        <v>41</v>
      </c>
      <c r="G102" s="529"/>
      <c r="H102" s="506"/>
      <c r="I102" s="488"/>
      <c r="J102" s="506">
        <v>363645</v>
      </c>
      <c r="K102" s="488">
        <v>351551</v>
      </c>
      <c r="L102" s="506">
        <v>171912</v>
      </c>
      <c r="M102" s="488">
        <v>173278</v>
      </c>
      <c r="N102" s="506">
        <v>365871</v>
      </c>
      <c r="O102" s="488">
        <v>375608</v>
      </c>
      <c r="P102" s="479">
        <f t="shared" si="51"/>
        <v>901428</v>
      </c>
      <c r="Q102" s="480">
        <f t="shared" si="52"/>
        <v>30047.599999999999</v>
      </c>
      <c r="R102" s="481">
        <f t="shared" si="53"/>
        <v>900437</v>
      </c>
      <c r="S102" s="482">
        <f t="shared" si="54"/>
        <v>30014.566666666666</v>
      </c>
      <c r="T102" s="506">
        <v>45262</v>
      </c>
      <c r="U102" s="507">
        <v>43436</v>
      </c>
      <c r="V102" s="479">
        <f t="shared" si="55"/>
        <v>901428</v>
      </c>
      <c r="W102" s="478">
        <f t="shared" si="56"/>
        <v>900437</v>
      </c>
      <c r="X102" s="506"/>
      <c r="Y102" s="488"/>
      <c r="Z102" s="506">
        <v>163204</v>
      </c>
      <c r="AA102" s="488">
        <v>134741</v>
      </c>
      <c r="AB102" s="506">
        <v>97091</v>
      </c>
      <c r="AC102" s="488">
        <v>124609</v>
      </c>
      <c r="AD102" s="506">
        <v>149838</v>
      </c>
      <c r="AE102" s="507">
        <v>132426</v>
      </c>
      <c r="AF102" s="479">
        <f t="shared" si="57"/>
        <v>410133</v>
      </c>
      <c r="AG102" s="480">
        <f t="shared" si="58"/>
        <v>455.70333333333332</v>
      </c>
      <c r="AH102" s="481">
        <f t="shared" si="59"/>
        <v>391776</v>
      </c>
      <c r="AI102" s="481">
        <f t="shared" si="60"/>
        <v>435.30666666666667</v>
      </c>
      <c r="AJ102" s="487">
        <v>225</v>
      </c>
      <c r="AK102" s="507">
        <v>0</v>
      </c>
      <c r="AL102" s="479">
        <f t="shared" si="61"/>
        <v>410133</v>
      </c>
      <c r="AM102" s="482">
        <f t="shared" si="62"/>
        <v>391776</v>
      </c>
      <c r="AN102" s="487"/>
      <c r="AO102" s="488"/>
      <c r="AP102" s="487"/>
      <c r="AQ102" s="488"/>
      <c r="AR102" s="487"/>
      <c r="AS102" s="488"/>
      <c r="AT102" s="487"/>
      <c r="AU102" s="488"/>
      <c r="AV102" s="479">
        <f t="shared" si="63"/>
        <v>0</v>
      </c>
      <c r="AW102" s="483">
        <f t="shared" si="64"/>
        <v>0</v>
      </c>
      <c r="AX102" s="481">
        <f t="shared" si="65"/>
        <v>0</v>
      </c>
      <c r="AY102" s="484">
        <f t="shared" si="66"/>
        <v>0</v>
      </c>
      <c r="AZ102" s="485">
        <f t="shared" si="67"/>
        <v>30503.303333333333</v>
      </c>
      <c r="BA102" s="481">
        <f t="shared" si="68"/>
        <v>30449.873333333333</v>
      </c>
    </row>
    <row r="103" spans="1:53">
      <c r="A103" s="757" t="s">
        <v>284</v>
      </c>
      <c r="B103" s="752" t="s">
        <v>852</v>
      </c>
      <c r="C103" s="753" t="s">
        <v>872</v>
      </c>
      <c r="D103" s="754">
        <v>132851</v>
      </c>
      <c r="E103" s="754">
        <v>8</v>
      </c>
      <c r="F103" s="486" t="s">
        <v>41</v>
      </c>
      <c r="G103" s="529"/>
      <c r="H103" s="506"/>
      <c r="I103" s="488"/>
      <c r="J103" s="506">
        <v>74341</v>
      </c>
      <c r="K103" s="488">
        <v>69146</v>
      </c>
      <c r="L103" s="506">
        <v>26395</v>
      </c>
      <c r="M103" s="488">
        <v>26165</v>
      </c>
      <c r="N103" s="506">
        <v>74213</v>
      </c>
      <c r="O103" s="488">
        <v>74525</v>
      </c>
      <c r="P103" s="479">
        <f t="shared" si="51"/>
        <v>174949</v>
      </c>
      <c r="Q103" s="480">
        <f t="shared" si="52"/>
        <v>5831.6333333333332</v>
      </c>
      <c r="R103" s="481">
        <f t="shared" si="53"/>
        <v>169836</v>
      </c>
      <c r="S103" s="482">
        <f t="shared" si="54"/>
        <v>5661.2</v>
      </c>
      <c r="T103" s="506">
        <v>13023</v>
      </c>
      <c r="U103" s="507">
        <v>14786</v>
      </c>
      <c r="V103" s="479">
        <f t="shared" si="55"/>
        <v>174949</v>
      </c>
      <c r="W103" s="478">
        <f t="shared" si="56"/>
        <v>169836</v>
      </c>
      <c r="X103" s="506"/>
      <c r="Y103" s="488"/>
      <c r="Z103" s="506">
        <v>146424</v>
      </c>
      <c r="AA103" s="488">
        <v>85949</v>
      </c>
      <c r="AB103" s="506">
        <v>84648</v>
      </c>
      <c r="AC103" s="488">
        <v>51751</v>
      </c>
      <c r="AD103" s="506">
        <v>117024</v>
      </c>
      <c r="AE103" s="507">
        <v>73767</v>
      </c>
      <c r="AF103" s="479">
        <f t="shared" si="57"/>
        <v>348096</v>
      </c>
      <c r="AG103" s="480">
        <f t="shared" si="58"/>
        <v>386.77333333333331</v>
      </c>
      <c r="AH103" s="481">
        <f t="shared" si="59"/>
        <v>211467</v>
      </c>
      <c r="AI103" s="481">
        <f t="shared" si="60"/>
        <v>234.96333333333334</v>
      </c>
      <c r="AJ103" s="487">
        <v>1050</v>
      </c>
      <c r="AK103" s="507">
        <v>0</v>
      </c>
      <c r="AL103" s="479">
        <f t="shared" si="61"/>
        <v>348096</v>
      </c>
      <c r="AM103" s="482">
        <f t="shared" si="62"/>
        <v>211467</v>
      </c>
      <c r="AN103" s="487"/>
      <c r="AO103" s="488"/>
      <c r="AP103" s="487"/>
      <c r="AQ103" s="488"/>
      <c r="AR103" s="487"/>
      <c r="AS103" s="488"/>
      <c r="AT103" s="487"/>
      <c r="AU103" s="488"/>
      <c r="AV103" s="479">
        <f t="shared" si="63"/>
        <v>0</v>
      </c>
      <c r="AW103" s="483">
        <f t="shared" si="64"/>
        <v>0</v>
      </c>
      <c r="AX103" s="481">
        <f t="shared" si="65"/>
        <v>0</v>
      </c>
      <c r="AY103" s="484">
        <f t="shared" si="66"/>
        <v>0</v>
      </c>
      <c r="AZ103" s="485">
        <f t="shared" si="67"/>
        <v>6218.4066666666668</v>
      </c>
      <c r="BA103" s="481">
        <f t="shared" si="68"/>
        <v>5896.163333333333</v>
      </c>
    </row>
    <row r="104" spans="1:53">
      <c r="A104" s="757" t="s">
        <v>284</v>
      </c>
      <c r="B104" s="752" t="s">
        <v>853</v>
      </c>
      <c r="C104" s="750"/>
      <c r="D104" s="751">
        <v>132693</v>
      </c>
      <c r="E104" s="751">
        <v>8</v>
      </c>
      <c r="F104" s="486" t="s">
        <v>41</v>
      </c>
      <c r="G104" s="529"/>
      <c r="H104" s="506"/>
      <c r="I104" s="488"/>
      <c r="J104" s="506">
        <v>150391</v>
      </c>
      <c r="K104" s="488">
        <v>137295</v>
      </c>
      <c r="L104" s="506">
        <v>48875</v>
      </c>
      <c r="M104" s="488">
        <v>48162</v>
      </c>
      <c r="N104" s="506">
        <v>147500</v>
      </c>
      <c r="O104" s="488">
        <v>143791</v>
      </c>
      <c r="P104" s="479">
        <f t="shared" si="51"/>
        <v>346766</v>
      </c>
      <c r="Q104" s="480">
        <f t="shared" si="52"/>
        <v>11558.866666666667</v>
      </c>
      <c r="R104" s="481">
        <f t="shared" si="53"/>
        <v>329248</v>
      </c>
      <c r="S104" s="482">
        <f t="shared" si="54"/>
        <v>10974.933333333332</v>
      </c>
      <c r="T104" s="506">
        <v>54984</v>
      </c>
      <c r="U104" s="507">
        <v>56493</v>
      </c>
      <c r="V104" s="479">
        <f t="shared" si="55"/>
        <v>346766</v>
      </c>
      <c r="W104" s="478">
        <f t="shared" si="56"/>
        <v>329248</v>
      </c>
      <c r="X104" s="506"/>
      <c r="Y104" s="488"/>
      <c r="Z104" s="506">
        <v>452940</v>
      </c>
      <c r="AA104" s="488">
        <v>361615</v>
      </c>
      <c r="AB104" s="506">
        <v>129757</v>
      </c>
      <c r="AC104" s="488">
        <v>132400</v>
      </c>
      <c r="AD104" s="506">
        <v>362364</v>
      </c>
      <c r="AE104" s="507">
        <v>313775</v>
      </c>
      <c r="AF104" s="479">
        <f t="shared" si="57"/>
        <v>945061</v>
      </c>
      <c r="AG104" s="480">
        <f t="shared" si="58"/>
        <v>1050.0677777777778</v>
      </c>
      <c r="AH104" s="481">
        <f t="shared" si="59"/>
        <v>807790</v>
      </c>
      <c r="AI104" s="481">
        <f t="shared" si="60"/>
        <v>897.54444444444448</v>
      </c>
      <c r="AJ104" s="487">
        <v>92565</v>
      </c>
      <c r="AK104" s="507">
        <v>77791</v>
      </c>
      <c r="AL104" s="479">
        <f t="shared" si="61"/>
        <v>945061</v>
      </c>
      <c r="AM104" s="482">
        <f t="shared" si="62"/>
        <v>807790</v>
      </c>
      <c r="AN104" s="487"/>
      <c r="AO104" s="488"/>
      <c r="AP104" s="487"/>
      <c r="AQ104" s="488"/>
      <c r="AR104" s="487"/>
      <c r="AS104" s="488"/>
      <c r="AT104" s="487"/>
      <c r="AU104" s="488"/>
      <c r="AV104" s="479">
        <f t="shared" si="63"/>
        <v>0</v>
      </c>
      <c r="AW104" s="483">
        <f t="shared" si="64"/>
        <v>0</v>
      </c>
      <c r="AX104" s="481">
        <f t="shared" si="65"/>
        <v>0</v>
      </c>
      <c r="AY104" s="484">
        <f t="shared" si="66"/>
        <v>0</v>
      </c>
      <c r="AZ104" s="485">
        <f t="shared" si="67"/>
        <v>12608.934444444445</v>
      </c>
      <c r="BA104" s="481">
        <f t="shared" si="68"/>
        <v>11872.477777777776</v>
      </c>
    </row>
    <row r="105" spans="1:53">
      <c r="A105" s="757" t="s">
        <v>284</v>
      </c>
      <c r="B105" s="752" t="s">
        <v>854</v>
      </c>
      <c r="C105" s="753"/>
      <c r="D105" s="751">
        <v>134495</v>
      </c>
      <c r="E105" s="751">
        <v>8</v>
      </c>
      <c r="F105" s="486" t="s">
        <v>41</v>
      </c>
      <c r="G105" s="529"/>
      <c r="H105" s="506"/>
      <c r="I105" s="488"/>
      <c r="J105" s="506">
        <v>250281</v>
      </c>
      <c r="K105" s="488">
        <v>236460</v>
      </c>
      <c r="L105" s="506">
        <v>87131</v>
      </c>
      <c r="M105" s="488">
        <v>80516</v>
      </c>
      <c r="N105" s="506">
        <v>249249</v>
      </c>
      <c r="O105" s="488">
        <v>240787</v>
      </c>
      <c r="P105" s="479">
        <f t="shared" si="51"/>
        <v>586661</v>
      </c>
      <c r="Q105" s="480">
        <f t="shared" si="52"/>
        <v>19555.366666666665</v>
      </c>
      <c r="R105" s="481">
        <f t="shared" si="53"/>
        <v>557763</v>
      </c>
      <c r="S105" s="482">
        <f t="shared" si="54"/>
        <v>18592.099999999999</v>
      </c>
      <c r="T105" s="506">
        <v>15384</v>
      </c>
      <c r="U105" s="507">
        <v>18722</v>
      </c>
      <c r="V105" s="479">
        <f t="shared" si="55"/>
        <v>586661</v>
      </c>
      <c r="W105" s="478">
        <f t="shared" si="56"/>
        <v>557763</v>
      </c>
      <c r="X105" s="506"/>
      <c r="Y105" s="488"/>
      <c r="Z105" s="506">
        <v>558295</v>
      </c>
      <c r="AA105" s="488">
        <v>615454</v>
      </c>
      <c r="AB105" s="506">
        <v>99500</v>
      </c>
      <c r="AC105" s="488">
        <v>151005</v>
      </c>
      <c r="AD105" s="506">
        <v>634802</v>
      </c>
      <c r="AE105" s="507">
        <v>628093</v>
      </c>
      <c r="AF105" s="479">
        <f t="shared" si="57"/>
        <v>1292597</v>
      </c>
      <c r="AG105" s="480">
        <f t="shared" si="58"/>
        <v>1436.2188888888888</v>
      </c>
      <c r="AH105" s="481">
        <f t="shared" si="59"/>
        <v>1394552</v>
      </c>
      <c r="AI105" s="481">
        <f t="shared" si="60"/>
        <v>1549.5022222222221</v>
      </c>
      <c r="AJ105" s="487">
        <v>0</v>
      </c>
      <c r="AK105" s="507">
        <v>0</v>
      </c>
      <c r="AL105" s="479">
        <f t="shared" si="61"/>
        <v>1292597</v>
      </c>
      <c r="AM105" s="482">
        <f t="shared" si="62"/>
        <v>1394552</v>
      </c>
      <c r="AN105" s="487"/>
      <c r="AO105" s="488"/>
      <c r="AP105" s="487"/>
      <c r="AQ105" s="488"/>
      <c r="AR105" s="487"/>
      <c r="AS105" s="488"/>
      <c r="AT105" s="487"/>
      <c r="AU105" s="488"/>
      <c r="AV105" s="479">
        <f t="shared" si="63"/>
        <v>0</v>
      </c>
      <c r="AW105" s="483">
        <f t="shared" si="64"/>
        <v>0</v>
      </c>
      <c r="AX105" s="481">
        <f t="shared" si="65"/>
        <v>0</v>
      </c>
      <c r="AY105" s="484">
        <f t="shared" si="66"/>
        <v>0</v>
      </c>
      <c r="AZ105" s="485">
        <f t="shared" si="67"/>
        <v>20991.585555555554</v>
      </c>
      <c r="BA105" s="481">
        <f t="shared" si="68"/>
        <v>20141.60222222222</v>
      </c>
    </row>
    <row r="106" spans="1:53">
      <c r="A106" s="757" t="s">
        <v>284</v>
      </c>
      <c r="B106" s="752" t="s">
        <v>855</v>
      </c>
      <c r="C106" s="759" t="s">
        <v>871</v>
      </c>
      <c r="D106" s="751">
        <v>136358</v>
      </c>
      <c r="E106" s="760">
        <v>7</v>
      </c>
      <c r="F106" s="486" t="s">
        <v>41</v>
      </c>
      <c r="G106" s="529"/>
      <c r="H106" s="506"/>
      <c r="I106" s="488"/>
      <c r="J106" s="506">
        <v>235834</v>
      </c>
      <c r="K106" s="488">
        <v>228052</v>
      </c>
      <c r="L106" s="506">
        <v>90121</v>
      </c>
      <c r="M106" s="488">
        <v>91067</v>
      </c>
      <c r="N106" s="506">
        <v>244928</v>
      </c>
      <c r="O106" s="488">
        <v>241040</v>
      </c>
      <c r="P106" s="479">
        <f t="shared" si="51"/>
        <v>570883</v>
      </c>
      <c r="Q106" s="480">
        <f t="shared" si="52"/>
        <v>19029.433333333334</v>
      </c>
      <c r="R106" s="481">
        <f t="shared" si="53"/>
        <v>560159</v>
      </c>
      <c r="S106" s="482">
        <f t="shared" si="54"/>
        <v>18671.966666666667</v>
      </c>
      <c r="T106" s="506">
        <v>22540</v>
      </c>
      <c r="U106" s="507">
        <v>23925</v>
      </c>
      <c r="V106" s="479">
        <f t="shared" si="55"/>
        <v>570883</v>
      </c>
      <c r="W106" s="478">
        <f t="shared" si="56"/>
        <v>560159</v>
      </c>
      <c r="X106" s="506"/>
      <c r="Y106" s="488"/>
      <c r="Z106" s="506">
        <v>470037</v>
      </c>
      <c r="AA106" s="488">
        <v>532897</v>
      </c>
      <c r="AB106" s="506">
        <v>269345</v>
      </c>
      <c r="AC106" s="488">
        <v>305104</v>
      </c>
      <c r="AD106" s="506">
        <v>479213</v>
      </c>
      <c r="AE106" s="507">
        <v>497692</v>
      </c>
      <c r="AF106" s="479">
        <f t="shared" si="57"/>
        <v>1218595</v>
      </c>
      <c r="AG106" s="480">
        <f t="shared" si="58"/>
        <v>1353.9944444444445</v>
      </c>
      <c r="AH106" s="481">
        <f t="shared" si="59"/>
        <v>1335693</v>
      </c>
      <c r="AI106" s="481">
        <f t="shared" si="60"/>
        <v>1484.1033333333332</v>
      </c>
      <c r="AJ106" s="487">
        <v>4080</v>
      </c>
      <c r="AK106" s="507">
        <v>4560</v>
      </c>
      <c r="AL106" s="479">
        <f t="shared" si="61"/>
        <v>1218595</v>
      </c>
      <c r="AM106" s="482">
        <f t="shared" si="62"/>
        <v>1335693</v>
      </c>
      <c r="AN106" s="487"/>
      <c r="AO106" s="488"/>
      <c r="AP106" s="487"/>
      <c r="AQ106" s="488"/>
      <c r="AR106" s="487"/>
      <c r="AS106" s="488"/>
      <c r="AT106" s="487"/>
      <c r="AU106" s="488"/>
      <c r="AV106" s="479">
        <f t="shared" si="63"/>
        <v>0</v>
      </c>
      <c r="AW106" s="483">
        <f t="shared" si="64"/>
        <v>0</v>
      </c>
      <c r="AX106" s="481">
        <f t="shared" si="65"/>
        <v>0</v>
      </c>
      <c r="AY106" s="484">
        <f t="shared" si="66"/>
        <v>0</v>
      </c>
      <c r="AZ106" s="485">
        <f t="shared" si="67"/>
        <v>20383.427777777779</v>
      </c>
      <c r="BA106" s="481">
        <f t="shared" si="68"/>
        <v>20156.07</v>
      </c>
    </row>
    <row r="107" spans="1:53">
      <c r="A107" s="758" t="s">
        <v>284</v>
      </c>
      <c r="B107" s="752" t="s">
        <v>873</v>
      </c>
      <c r="C107" s="753"/>
      <c r="D107" s="751">
        <v>136400</v>
      </c>
      <c r="E107" s="751">
        <v>8</v>
      </c>
      <c r="F107" s="486" t="s">
        <v>41</v>
      </c>
      <c r="G107" s="529"/>
      <c r="H107" s="506"/>
      <c r="I107" s="488"/>
      <c r="J107" s="506">
        <v>92204</v>
      </c>
      <c r="K107" s="488">
        <v>83607</v>
      </c>
      <c r="L107" s="506">
        <v>27620</v>
      </c>
      <c r="M107" s="488">
        <v>25953</v>
      </c>
      <c r="N107" s="506">
        <v>89575</v>
      </c>
      <c r="O107" s="488">
        <v>89797</v>
      </c>
      <c r="P107" s="479">
        <f t="shared" si="51"/>
        <v>209399</v>
      </c>
      <c r="Q107" s="480">
        <f t="shared" si="52"/>
        <v>6979.9666666666662</v>
      </c>
      <c r="R107" s="481">
        <f t="shared" si="53"/>
        <v>199357</v>
      </c>
      <c r="S107" s="482">
        <f t="shared" si="54"/>
        <v>6645.2333333333336</v>
      </c>
      <c r="T107" s="506">
        <v>24399</v>
      </c>
      <c r="U107" s="507">
        <v>20072</v>
      </c>
      <c r="V107" s="479">
        <f t="shared" si="55"/>
        <v>209399</v>
      </c>
      <c r="W107" s="478">
        <f t="shared" si="56"/>
        <v>199357</v>
      </c>
      <c r="X107" s="506"/>
      <c r="Y107" s="488"/>
      <c r="Z107" s="506">
        <v>168953</v>
      </c>
      <c r="AA107" s="488">
        <v>139366</v>
      </c>
      <c r="AB107" s="506">
        <v>79855</v>
      </c>
      <c r="AC107" s="488">
        <v>76124</v>
      </c>
      <c r="AD107" s="506">
        <v>114863</v>
      </c>
      <c r="AE107" s="507">
        <v>138294</v>
      </c>
      <c r="AF107" s="479">
        <f t="shared" si="57"/>
        <v>363671</v>
      </c>
      <c r="AG107" s="480">
        <f t="shared" si="58"/>
        <v>404.07888888888891</v>
      </c>
      <c r="AH107" s="481">
        <f t="shared" si="59"/>
        <v>353784</v>
      </c>
      <c r="AI107" s="481">
        <f t="shared" si="60"/>
        <v>393.09333333333331</v>
      </c>
      <c r="AJ107" s="487">
        <v>805</v>
      </c>
      <c r="AK107" s="507">
        <v>960</v>
      </c>
      <c r="AL107" s="479">
        <f t="shared" si="61"/>
        <v>363671</v>
      </c>
      <c r="AM107" s="482">
        <f t="shared" si="62"/>
        <v>353784</v>
      </c>
      <c r="AN107" s="487"/>
      <c r="AO107" s="488"/>
      <c r="AP107" s="487"/>
      <c r="AQ107" s="488"/>
      <c r="AR107" s="487"/>
      <c r="AS107" s="488"/>
      <c r="AT107" s="487"/>
      <c r="AU107" s="488"/>
      <c r="AV107" s="479">
        <f t="shared" si="63"/>
        <v>0</v>
      </c>
      <c r="AW107" s="483">
        <f t="shared" si="64"/>
        <v>0</v>
      </c>
      <c r="AX107" s="481">
        <f t="shared" si="65"/>
        <v>0</v>
      </c>
      <c r="AY107" s="484">
        <f t="shared" si="66"/>
        <v>0</v>
      </c>
      <c r="AZ107" s="485">
        <f t="shared" si="67"/>
        <v>7384.0455555555554</v>
      </c>
      <c r="BA107" s="481">
        <f t="shared" si="68"/>
        <v>7038.3266666666668</v>
      </c>
    </row>
    <row r="108" spans="1:53">
      <c r="A108" s="757" t="s">
        <v>284</v>
      </c>
      <c r="B108" s="752" t="s">
        <v>856</v>
      </c>
      <c r="C108" s="756" t="s">
        <v>874</v>
      </c>
      <c r="D108" s="751">
        <v>136473</v>
      </c>
      <c r="E108" s="751">
        <v>8</v>
      </c>
      <c r="F108" s="486" t="s">
        <v>41</v>
      </c>
      <c r="G108" s="529"/>
      <c r="H108" s="506"/>
      <c r="I108" s="488"/>
      <c r="J108" s="506">
        <v>102456</v>
      </c>
      <c r="K108" s="488">
        <v>100134</v>
      </c>
      <c r="L108" s="506">
        <v>40266</v>
      </c>
      <c r="M108" s="488">
        <v>38882</v>
      </c>
      <c r="N108" s="506">
        <v>106379</v>
      </c>
      <c r="O108" s="488">
        <v>99041</v>
      </c>
      <c r="P108" s="479">
        <f t="shared" si="51"/>
        <v>249101</v>
      </c>
      <c r="Q108" s="480">
        <f t="shared" si="52"/>
        <v>8303.3666666666668</v>
      </c>
      <c r="R108" s="481">
        <f t="shared" si="53"/>
        <v>238057</v>
      </c>
      <c r="S108" s="482">
        <f t="shared" si="54"/>
        <v>7935.2333333333336</v>
      </c>
      <c r="T108" s="506">
        <v>27988</v>
      </c>
      <c r="U108" s="507">
        <v>28172</v>
      </c>
      <c r="V108" s="479">
        <f t="shared" si="55"/>
        <v>249101</v>
      </c>
      <c r="W108" s="478">
        <f t="shared" si="56"/>
        <v>238057</v>
      </c>
      <c r="X108" s="506"/>
      <c r="Y108" s="488"/>
      <c r="Z108" s="506">
        <v>379700</v>
      </c>
      <c r="AA108" s="488">
        <v>366434</v>
      </c>
      <c r="AB108" s="506">
        <v>220774</v>
      </c>
      <c r="AC108" s="488">
        <v>211589</v>
      </c>
      <c r="AD108" s="506">
        <v>409685</v>
      </c>
      <c r="AE108" s="507">
        <v>332977</v>
      </c>
      <c r="AF108" s="479">
        <f t="shared" si="57"/>
        <v>1010159</v>
      </c>
      <c r="AG108" s="480">
        <f t="shared" si="58"/>
        <v>1122.3988888888889</v>
      </c>
      <c r="AH108" s="481">
        <f t="shared" si="59"/>
        <v>911000</v>
      </c>
      <c r="AI108" s="481">
        <f t="shared" si="60"/>
        <v>1012.2222222222222</v>
      </c>
      <c r="AJ108" s="487">
        <v>1170</v>
      </c>
      <c r="AK108" s="507">
        <v>1380</v>
      </c>
      <c r="AL108" s="479">
        <f t="shared" si="61"/>
        <v>1010159</v>
      </c>
      <c r="AM108" s="482">
        <f t="shared" si="62"/>
        <v>911000</v>
      </c>
      <c r="AN108" s="487"/>
      <c r="AO108" s="488"/>
      <c r="AP108" s="487"/>
      <c r="AQ108" s="488"/>
      <c r="AR108" s="487"/>
      <c r="AS108" s="488"/>
      <c r="AT108" s="487"/>
      <c r="AU108" s="488"/>
      <c r="AV108" s="479">
        <f t="shared" si="63"/>
        <v>0</v>
      </c>
      <c r="AW108" s="483">
        <f t="shared" si="64"/>
        <v>0</v>
      </c>
      <c r="AX108" s="481">
        <f t="shared" si="65"/>
        <v>0</v>
      </c>
      <c r="AY108" s="484">
        <f t="shared" si="66"/>
        <v>0</v>
      </c>
      <c r="AZ108" s="485">
        <f t="shared" si="67"/>
        <v>9425.7655555555557</v>
      </c>
      <c r="BA108" s="481">
        <f t="shared" si="68"/>
        <v>8947.4555555555562</v>
      </c>
    </row>
    <row r="109" spans="1:53">
      <c r="A109" s="757" t="s">
        <v>284</v>
      </c>
      <c r="B109" s="752" t="s">
        <v>857</v>
      </c>
      <c r="C109" s="759" t="s">
        <v>871</v>
      </c>
      <c r="D109" s="751">
        <v>136516</v>
      </c>
      <c r="E109" s="760">
        <v>7</v>
      </c>
      <c r="F109" s="486" t="s">
        <v>41</v>
      </c>
      <c r="G109" s="529"/>
      <c r="H109" s="506"/>
      <c r="I109" s="488"/>
      <c r="J109" s="506">
        <v>95577</v>
      </c>
      <c r="K109" s="488">
        <v>96630</v>
      </c>
      <c r="L109" s="506">
        <v>35442</v>
      </c>
      <c r="M109" s="488">
        <v>34129</v>
      </c>
      <c r="N109" s="506">
        <v>100190</v>
      </c>
      <c r="O109" s="488">
        <v>102394</v>
      </c>
      <c r="P109" s="479">
        <f t="shared" si="51"/>
        <v>231209</v>
      </c>
      <c r="Q109" s="480">
        <f t="shared" si="52"/>
        <v>7706.9666666666662</v>
      </c>
      <c r="R109" s="481">
        <f t="shared" si="53"/>
        <v>233153</v>
      </c>
      <c r="S109" s="482">
        <f t="shared" si="54"/>
        <v>7771.7666666666664</v>
      </c>
      <c r="T109" s="506">
        <v>29544</v>
      </c>
      <c r="U109" s="507">
        <v>31823</v>
      </c>
      <c r="V109" s="479">
        <f t="shared" si="55"/>
        <v>231209</v>
      </c>
      <c r="W109" s="478">
        <f t="shared" si="56"/>
        <v>233153</v>
      </c>
      <c r="X109" s="506"/>
      <c r="Y109" s="488"/>
      <c r="Z109" s="506">
        <v>27397</v>
      </c>
      <c r="AA109" s="488">
        <v>27301</v>
      </c>
      <c r="AB109" s="506">
        <v>24121</v>
      </c>
      <c r="AC109" s="488">
        <v>20656</v>
      </c>
      <c r="AD109" s="506">
        <v>29361</v>
      </c>
      <c r="AE109" s="507">
        <v>31804</v>
      </c>
      <c r="AF109" s="479">
        <f t="shared" si="57"/>
        <v>80879</v>
      </c>
      <c r="AG109" s="480">
        <f t="shared" si="58"/>
        <v>89.865555555555559</v>
      </c>
      <c r="AH109" s="481">
        <f t="shared" si="59"/>
        <v>79761</v>
      </c>
      <c r="AI109" s="481">
        <f t="shared" si="60"/>
        <v>88.623333333333335</v>
      </c>
      <c r="AJ109" s="487">
        <v>0</v>
      </c>
      <c r="AK109" s="507">
        <v>0</v>
      </c>
      <c r="AL109" s="479">
        <f t="shared" si="61"/>
        <v>80879</v>
      </c>
      <c r="AM109" s="482">
        <f t="shared" si="62"/>
        <v>79761</v>
      </c>
      <c r="AN109" s="487"/>
      <c r="AO109" s="488"/>
      <c r="AP109" s="487"/>
      <c r="AQ109" s="488"/>
      <c r="AR109" s="487"/>
      <c r="AS109" s="488"/>
      <c r="AT109" s="487"/>
      <c r="AU109" s="488"/>
      <c r="AV109" s="479">
        <f t="shared" si="63"/>
        <v>0</v>
      </c>
      <c r="AW109" s="483">
        <f t="shared" si="64"/>
        <v>0</v>
      </c>
      <c r="AX109" s="481">
        <f t="shared" si="65"/>
        <v>0</v>
      </c>
      <c r="AY109" s="484">
        <f t="shared" si="66"/>
        <v>0</v>
      </c>
      <c r="AZ109" s="485">
        <f t="shared" si="67"/>
        <v>7796.8322222222214</v>
      </c>
      <c r="BA109" s="481">
        <f t="shared" si="68"/>
        <v>7860.3899999999994</v>
      </c>
    </row>
    <row r="110" spans="1:53">
      <c r="A110" s="757" t="s">
        <v>284</v>
      </c>
      <c r="B110" s="752" t="s">
        <v>858</v>
      </c>
      <c r="C110" s="756" t="s">
        <v>874</v>
      </c>
      <c r="D110" s="751">
        <v>137096</v>
      </c>
      <c r="E110" s="751">
        <v>8</v>
      </c>
      <c r="F110" s="486" t="s">
        <v>41</v>
      </c>
      <c r="G110" s="529"/>
      <c r="H110" s="506"/>
      <c r="I110" s="488"/>
      <c r="J110" s="506">
        <v>142534</v>
      </c>
      <c r="K110" s="488">
        <v>136464</v>
      </c>
      <c r="L110" s="506">
        <v>60253</v>
      </c>
      <c r="M110" s="488">
        <v>57970</v>
      </c>
      <c r="N110" s="506">
        <v>146754</v>
      </c>
      <c r="O110" s="488">
        <v>143283</v>
      </c>
      <c r="P110" s="479">
        <f t="shared" si="51"/>
        <v>349541</v>
      </c>
      <c r="Q110" s="480">
        <f t="shared" si="52"/>
        <v>11651.366666666667</v>
      </c>
      <c r="R110" s="481">
        <f t="shared" si="53"/>
        <v>337717</v>
      </c>
      <c r="S110" s="482">
        <f t="shared" si="54"/>
        <v>11257.233333333334</v>
      </c>
      <c r="T110" s="506">
        <v>15659</v>
      </c>
      <c r="U110" s="507">
        <v>16300</v>
      </c>
      <c r="V110" s="479">
        <f t="shared" si="55"/>
        <v>349541</v>
      </c>
      <c r="W110" s="478">
        <f t="shared" si="56"/>
        <v>337717</v>
      </c>
      <c r="X110" s="506"/>
      <c r="Y110" s="488"/>
      <c r="Z110" s="506">
        <v>195473</v>
      </c>
      <c r="AA110" s="488">
        <v>174511</v>
      </c>
      <c r="AB110" s="506">
        <v>126062</v>
      </c>
      <c r="AC110" s="488">
        <v>134041</v>
      </c>
      <c r="AD110" s="506">
        <v>211324</v>
      </c>
      <c r="AE110" s="507">
        <v>214163</v>
      </c>
      <c r="AF110" s="479">
        <f t="shared" si="57"/>
        <v>532859</v>
      </c>
      <c r="AG110" s="480">
        <f t="shared" si="58"/>
        <v>592.06555555555553</v>
      </c>
      <c r="AH110" s="481">
        <f t="shared" si="59"/>
        <v>522715</v>
      </c>
      <c r="AI110" s="481">
        <f t="shared" si="60"/>
        <v>580.79444444444448</v>
      </c>
      <c r="AJ110" s="487">
        <v>1080</v>
      </c>
      <c r="AK110" s="507">
        <v>2238</v>
      </c>
      <c r="AL110" s="479">
        <f t="shared" si="61"/>
        <v>532859</v>
      </c>
      <c r="AM110" s="482">
        <f t="shared" si="62"/>
        <v>522715</v>
      </c>
      <c r="AN110" s="487"/>
      <c r="AO110" s="488"/>
      <c r="AP110" s="487"/>
      <c r="AQ110" s="488"/>
      <c r="AR110" s="487"/>
      <c r="AS110" s="488"/>
      <c r="AT110" s="487"/>
      <c r="AU110" s="488"/>
      <c r="AV110" s="479">
        <f t="shared" si="63"/>
        <v>0</v>
      </c>
      <c r="AW110" s="483">
        <f t="shared" si="64"/>
        <v>0</v>
      </c>
      <c r="AX110" s="481">
        <f t="shared" si="65"/>
        <v>0</v>
      </c>
      <c r="AY110" s="484">
        <f t="shared" si="66"/>
        <v>0</v>
      </c>
      <c r="AZ110" s="485">
        <f t="shared" si="67"/>
        <v>12243.432222222222</v>
      </c>
      <c r="BA110" s="481">
        <f t="shared" si="68"/>
        <v>11838.027777777777</v>
      </c>
    </row>
    <row r="111" spans="1:53">
      <c r="A111" s="757" t="s">
        <v>284</v>
      </c>
      <c r="B111" s="752" t="s">
        <v>859</v>
      </c>
      <c r="C111" s="756" t="s">
        <v>874</v>
      </c>
      <c r="D111" s="751">
        <v>137209</v>
      </c>
      <c r="E111" s="751">
        <v>8</v>
      </c>
      <c r="F111" s="486" t="s">
        <v>41</v>
      </c>
      <c r="G111" s="529"/>
      <c r="H111" s="506"/>
      <c r="I111" s="488"/>
      <c r="J111" s="506">
        <v>167812</v>
      </c>
      <c r="K111" s="488">
        <v>161087</v>
      </c>
      <c r="L111" s="506">
        <v>71447</v>
      </c>
      <c r="M111" s="488">
        <v>65893</v>
      </c>
      <c r="N111" s="506">
        <v>175798</v>
      </c>
      <c r="O111" s="488">
        <v>160467</v>
      </c>
      <c r="P111" s="479">
        <f t="shared" si="51"/>
        <v>415057</v>
      </c>
      <c r="Q111" s="480">
        <f t="shared" si="52"/>
        <v>13835.233333333334</v>
      </c>
      <c r="R111" s="481">
        <f t="shared" si="53"/>
        <v>387447</v>
      </c>
      <c r="S111" s="482">
        <f t="shared" si="54"/>
        <v>12914.9</v>
      </c>
      <c r="T111" s="506">
        <v>6881</v>
      </c>
      <c r="U111" s="507">
        <v>8384</v>
      </c>
      <c r="V111" s="479">
        <f t="shared" si="55"/>
        <v>415057</v>
      </c>
      <c r="W111" s="478">
        <f t="shared" si="56"/>
        <v>387447</v>
      </c>
      <c r="X111" s="506"/>
      <c r="Y111" s="488"/>
      <c r="Z111" s="506">
        <v>470402</v>
      </c>
      <c r="AA111" s="488">
        <v>447615</v>
      </c>
      <c r="AB111" s="506">
        <v>321229</v>
      </c>
      <c r="AC111" s="488">
        <v>289090</v>
      </c>
      <c r="AD111" s="506">
        <v>441055</v>
      </c>
      <c r="AE111" s="507">
        <v>494474</v>
      </c>
      <c r="AF111" s="479">
        <f t="shared" si="57"/>
        <v>1232686</v>
      </c>
      <c r="AG111" s="480">
        <f t="shared" si="58"/>
        <v>1369.651111111111</v>
      </c>
      <c r="AH111" s="481">
        <f t="shared" si="59"/>
        <v>1231179</v>
      </c>
      <c r="AI111" s="481">
        <f t="shared" si="60"/>
        <v>1367.9766666666667</v>
      </c>
      <c r="AJ111" s="487">
        <v>6120</v>
      </c>
      <c r="AK111" s="507">
        <v>7020</v>
      </c>
      <c r="AL111" s="479">
        <f t="shared" si="61"/>
        <v>1232686</v>
      </c>
      <c r="AM111" s="482">
        <f t="shared" si="62"/>
        <v>1231179</v>
      </c>
      <c r="AN111" s="487"/>
      <c r="AO111" s="488"/>
      <c r="AP111" s="487"/>
      <c r="AQ111" s="488"/>
      <c r="AR111" s="487"/>
      <c r="AS111" s="488"/>
      <c r="AT111" s="487"/>
      <c r="AU111" s="488"/>
      <c r="AV111" s="479">
        <f t="shared" si="63"/>
        <v>0</v>
      </c>
      <c r="AW111" s="483">
        <f t="shared" si="64"/>
        <v>0</v>
      </c>
      <c r="AX111" s="481">
        <f t="shared" si="65"/>
        <v>0</v>
      </c>
      <c r="AY111" s="484">
        <f t="shared" si="66"/>
        <v>0</v>
      </c>
      <c r="AZ111" s="485">
        <f t="shared" si="67"/>
        <v>15204.884444444444</v>
      </c>
      <c r="BA111" s="481">
        <f t="shared" si="68"/>
        <v>14282.876666666667</v>
      </c>
    </row>
    <row r="112" spans="1:53">
      <c r="A112" s="757" t="s">
        <v>284</v>
      </c>
      <c r="B112" s="752" t="s">
        <v>860</v>
      </c>
      <c r="C112" s="759" t="s">
        <v>871</v>
      </c>
      <c r="D112" s="751">
        <v>135391</v>
      </c>
      <c r="E112" s="760">
        <v>7</v>
      </c>
      <c r="F112" s="486" t="s">
        <v>41</v>
      </c>
      <c r="G112" s="529"/>
      <c r="H112" s="506"/>
      <c r="I112" s="488"/>
      <c r="J112" s="506">
        <v>104680</v>
      </c>
      <c r="K112" s="488">
        <v>99472</v>
      </c>
      <c r="L112" s="506">
        <v>32779</v>
      </c>
      <c r="M112" s="488">
        <v>31119</v>
      </c>
      <c r="N112" s="506">
        <v>108096</v>
      </c>
      <c r="O112" s="488">
        <v>103243</v>
      </c>
      <c r="P112" s="479">
        <f t="shared" si="51"/>
        <v>245555</v>
      </c>
      <c r="Q112" s="480">
        <f t="shared" si="52"/>
        <v>8185.166666666667</v>
      </c>
      <c r="R112" s="481">
        <f t="shared" si="53"/>
        <v>233834</v>
      </c>
      <c r="S112" s="482">
        <f t="shared" si="54"/>
        <v>7794.4666666666662</v>
      </c>
      <c r="T112" s="506">
        <v>18340</v>
      </c>
      <c r="U112" s="507">
        <v>18206</v>
      </c>
      <c r="V112" s="479">
        <f t="shared" si="55"/>
        <v>245555</v>
      </c>
      <c r="W112" s="478">
        <f t="shared" si="56"/>
        <v>233834</v>
      </c>
      <c r="X112" s="506"/>
      <c r="Y112" s="488"/>
      <c r="Z112" s="506">
        <v>0</v>
      </c>
      <c r="AA112" s="488">
        <v>0</v>
      </c>
      <c r="AB112" s="506">
        <v>0</v>
      </c>
      <c r="AC112" s="488">
        <v>0</v>
      </c>
      <c r="AD112" s="506">
        <v>0</v>
      </c>
      <c r="AE112" s="507">
        <v>0</v>
      </c>
      <c r="AF112" s="479">
        <f t="shared" si="57"/>
        <v>0</v>
      </c>
      <c r="AG112" s="480">
        <f t="shared" si="58"/>
        <v>0</v>
      </c>
      <c r="AH112" s="481">
        <f t="shared" si="59"/>
        <v>0</v>
      </c>
      <c r="AI112" s="481">
        <f t="shared" si="60"/>
        <v>0</v>
      </c>
      <c r="AJ112" s="487">
        <v>0</v>
      </c>
      <c r="AK112" s="507">
        <v>0</v>
      </c>
      <c r="AL112" s="479">
        <f t="shared" si="61"/>
        <v>0</v>
      </c>
      <c r="AM112" s="482">
        <f t="shared" si="62"/>
        <v>0</v>
      </c>
      <c r="AN112" s="487"/>
      <c r="AO112" s="488"/>
      <c r="AP112" s="487"/>
      <c r="AQ112" s="488"/>
      <c r="AR112" s="487"/>
      <c r="AS112" s="488"/>
      <c r="AT112" s="487"/>
      <c r="AU112" s="488"/>
      <c r="AV112" s="479">
        <f t="shared" si="63"/>
        <v>0</v>
      </c>
      <c r="AW112" s="483">
        <f t="shared" si="64"/>
        <v>0</v>
      </c>
      <c r="AX112" s="481">
        <f t="shared" si="65"/>
        <v>0</v>
      </c>
      <c r="AY112" s="484">
        <f t="shared" si="66"/>
        <v>0</v>
      </c>
      <c r="AZ112" s="485">
        <f t="shared" si="67"/>
        <v>8185.166666666667</v>
      </c>
      <c r="BA112" s="481">
        <f t="shared" si="68"/>
        <v>7794.4666666666662</v>
      </c>
    </row>
    <row r="113" spans="1:53">
      <c r="A113" s="757" t="s">
        <v>284</v>
      </c>
      <c r="B113" s="752" t="s">
        <v>861</v>
      </c>
      <c r="C113" s="753"/>
      <c r="D113" s="751">
        <v>137759</v>
      </c>
      <c r="E113" s="751">
        <v>8</v>
      </c>
      <c r="F113" s="486" t="s">
        <v>41</v>
      </c>
      <c r="G113" s="529"/>
      <c r="H113" s="506"/>
      <c r="I113" s="488"/>
      <c r="J113" s="506">
        <v>135595</v>
      </c>
      <c r="K113" s="488">
        <v>119853</v>
      </c>
      <c r="L113" s="506">
        <v>61101</v>
      </c>
      <c r="M113" s="488">
        <v>53188</v>
      </c>
      <c r="N113" s="506">
        <v>135376</v>
      </c>
      <c r="O113" s="488">
        <v>128674</v>
      </c>
      <c r="P113" s="479">
        <f t="shared" si="51"/>
        <v>332072</v>
      </c>
      <c r="Q113" s="480">
        <f t="shared" si="52"/>
        <v>11069.066666666668</v>
      </c>
      <c r="R113" s="481">
        <f t="shared" si="53"/>
        <v>301715</v>
      </c>
      <c r="S113" s="482">
        <f t="shared" si="54"/>
        <v>10057.166666666666</v>
      </c>
      <c r="T113" s="506">
        <v>8082</v>
      </c>
      <c r="U113" s="507">
        <v>7462</v>
      </c>
      <c r="V113" s="479">
        <f t="shared" si="55"/>
        <v>332072</v>
      </c>
      <c r="W113" s="478">
        <f t="shared" si="56"/>
        <v>301715</v>
      </c>
      <c r="X113" s="506"/>
      <c r="Y113" s="488"/>
      <c r="Z113" s="506">
        <v>186962</v>
      </c>
      <c r="AA113" s="488">
        <v>176220</v>
      </c>
      <c r="AB113" s="506">
        <v>43974</v>
      </c>
      <c r="AC113" s="488">
        <v>66920</v>
      </c>
      <c r="AD113" s="506">
        <v>152595</v>
      </c>
      <c r="AE113" s="507">
        <v>119445</v>
      </c>
      <c r="AF113" s="479">
        <f t="shared" si="57"/>
        <v>383531</v>
      </c>
      <c r="AG113" s="480">
        <f t="shared" si="58"/>
        <v>426.14555555555557</v>
      </c>
      <c r="AH113" s="481">
        <f t="shared" si="59"/>
        <v>362585</v>
      </c>
      <c r="AI113" s="481">
        <f t="shared" si="60"/>
        <v>402.87222222222221</v>
      </c>
      <c r="AJ113" s="487">
        <v>692</v>
      </c>
      <c r="AK113" s="507">
        <v>6024</v>
      </c>
      <c r="AL113" s="479">
        <f t="shared" si="61"/>
        <v>383531</v>
      </c>
      <c r="AM113" s="482">
        <f t="shared" si="62"/>
        <v>362585</v>
      </c>
      <c r="AN113" s="487"/>
      <c r="AO113" s="488"/>
      <c r="AP113" s="487"/>
      <c r="AQ113" s="488"/>
      <c r="AR113" s="487"/>
      <c r="AS113" s="488"/>
      <c r="AT113" s="487"/>
      <c r="AU113" s="488"/>
      <c r="AV113" s="479">
        <f t="shared" si="63"/>
        <v>0</v>
      </c>
      <c r="AW113" s="483">
        <f t="shared" si="64"/>
        <v>0</v>
      </c>
      <c r="AX113" s="481">
        <f t="shared" si="65"/>
        <v>0</v>
      </c>
      <c r="AY113" s="484">
        <f t="shared" si="66"/>
        <v>0</v>
      </c>
      <c r="AZ113" s="485">
        <f t="shared" si="67"/>
        <v>11495.212222222222</v>
      </c>
      <c r="BA113" s="481">
        <f t="shared" si="68"/>
        <v>10460.038888888888</v>
      </c>
    </row>
    <row r="114" spans="1:53">
      <c r="A114" s="757" t="s">
        <v>284</v>
      </c>
      <c r="B114" s="752" t="s">
        <v>862</v>
      </c>
      <c r="C114" s="753" t="s">
        <v>872</v>
      </c>
      <c r="D114" s="751">
        <v>138187</v>
      </c>
      <c r="E114" s="751">
        <v>8</v>
      </c>
      <c r="F114" s="486" t="s">
        <v>41</v>
      </c>
      <c r="G114" s="529"/>
      <c r="H114" s="506"/>
      <c r="I114" s="488"/>
      <c r="J114" s="506">
        <v>364963</v>
      </c>
      <c r="K114" s="488">
        <v>351665</v>
      </c>
      <c r="L114" s="506">
        <v>165729</v>
      </c>
      <c r="M114" s="488">
        <v>158284</v>
      </c>
      <c r="N114" s="506">
        <v>380499</v>
      </c>
      <c r="O114" s="488">
        <v>376413</v>
      </c>
      <c r="P114" s="479">
        <f t="shared" si="51"/>
        <v>911191</v>
      </c>
      <c r="Q114" s="480">
        <f t="shared" si="52"/>
        <v>30373.033333333333</v>
      </c>
      <c r="R114" s="481">
        <f t="shared" si="53"/>
        <v>886362</v>
      </c>
      <c r="S114" s="482">
        <f t="shared" si="54"/>
        <v>29545.4</v>
      </c>
      <c r="T114" s="506">
        <v>37708</v>
      </c>
      <c r="U114" s="507">
        <v>33755</v>
      </c>
      <c r="V114" s="479">
        <f t="shared" si="55"/>
        <v>911191</v>
      </c>
      <c r="W114" s="478">
        <f t="shared" si="56"/>
        <v>886362</v>
      </c>
      <c r="X114" s="506"/>
      <c r="Y114" s="488"/>
      <c r="Z114" s="506">
        <v>106522</v>
      </c>
      <c r="AA114" s="488">
        <v>97613</v>
      </c>
      <c r="AB114" s="506">
        <v>35864</v>
      </c>
      <c r="AC114" s="488">
        <v>5481</v>
      </c>
      <c r="AD114" s="506">
        <v>42650</v>
      </c>
      <c r="AE114" s="507">
        <v>56084</v>
      </c>
      <c r="AF114" s="479">
        <f t="shared" si="57"/>
        <v>185036</v>
      </c>
      <c r="AG114" s="480">
        <f t="shared" si="58"/>
        <v>205.59555555555556</v>
      </c>
      <c r="AH114" s="481">
        <f t="shared" si="59"/>
        <v>159178</v>
      </c>
      <c r="AI114" s="481">
        <f t="shared" si="60"/>
        <v>176.86444444444444</v>
      </c>
      <c r="AJ114" s="487">
        <v>0</v>
      </c>
      <c r="AK114" s="507">
        <v>0</v>
      </c>
      <c r="AL114" s="479">
        <f t="shared" si="61"/>
        <v>185036</v>
      </c>
      <c r="AM114" s="482">
        <f t="shared" si="62"/>
        <v>159178</v>
      </c>
      <c r="AN114" s="487"/>
      <c r="AO114" s="488"/>
      <c r="AP114" s="487"/>
      <c r="AQ114" s="488"/>
      <c r="AR114" s="487"/>
      <c r="AS114" s="488"/>
      <c r="AT114" s="487"/>
      <c r="AU114" s="488"/>
      <c r="AV114" s="479">
        <f t="shared" si="63"/>
        <v>0</v>
      </c>
      <c r="AW114" s="483">
        <f t="shared" si="64"/>
        <v>0</v>
      </c>
      <c r="AX114" s="481">
        <f t="shared" si="65"/>
        <v>0</v>
      </c>
      <c r="AY114" s="484">
        <f t="shared" si="66"/>
        <v>0</v>
      </c>
      <c r="AZ114" s="485">
        <f t="shared" si="67"/>
        <v>30578.628888888888</v>
      </c>
      <c r="BA114" s="481">
        <f t="shared" si="68"/>
        <v>29722.264444444445</v>
      </c>
    </row>
    <row r="115" spans="1:53">
      <c r="A115" s="757" t="s">
        <v>284</v>
      </c>
      <c r="B115" s="752" t="s">
        <v>863</v>
      </c>
      <c r="C115" s="750"/>
      <c r="D115" s="751">
        <v>135160</v>
      </c>
      <c r="E115" s="751">
        <v>9</v>
      </c>
      <c r="F115" s="486" t="s">
        <v>41</v>
      </c>
      <c r="G115" s="529"/>
      <c r="H115" s="506"/>
      <c r="I115" s="488"/>
      <c r="J115" s="506">
        <v>24508</v>
      </c>
      <c r="K115" s="488">
        <v>23365</v>
      </c>
      <c r="L115" s="506">
        <v>9472</v>
      </c>
      <c r="M115" s="488">
        <v>8985</v>
      </c>
      <c r="N115" s="506">
        <v>24083</v>
      </c>
      <c r="O115" s="488">
        <v>23716</v>
      </c>
      <c r="P115" s="479">
        <f t="shared" si="51"/>
        <v>58063</v>
      </c>
      <c r="Q115" s="480">
        <f t="shared" si="52"/>
        <v>1935.4333333333334</v>
      </c>
      <c r="R115" s="481">
        <f t="shared" si="53"/>
        <v>56066</v>
      </c>
      <c r="S115" s="482">
        <f t="shared" si="54"/>
        <v>1868.8666666666666</v>
      </c>
      <c r="T115" s="506">
        <v>13166</v>
      </c>
      <c r="U115" s="507">
        <v>13003</v>
      </c>
      <c r="V115" s="479">
        <f t="shared" si="55"/>
        <v>58063</v>
      </c>
      <c r="W115" s="478">
        <f t="shared" si="56"/>
        <v>56066</v>
      </c>
      <c r="X115" s="506"/>
      <c r="Y115" s="488"/>
      <c r="Z115" s="506">
        <v>105997</v>
      </c>
      <c r="AA115" s="488">
        <v>76278</v>
      </c>
      <c r="AB115" s="506">
        <v>65806</v>
      </c>
      <c r="AC115" s="488">
        <v>52746</v>
      </c>
      <c r="AD115" s="506">
        <v>100505</v>
      </c>
      <c r="AE115" s="507">
        <v>90783</v>
      </c>
      <c r="AF115" s="479">
        <f t="shared" si="57"/>
        <v>272308</v>
      </c>
      <c r="AG115" s="480">
        <f t="shared" si="58"/>
        <v>302.56444444444446</v>
      </c>
      <c r="AH115" s="481">
        <f t="shared" si="59"/>
        <v>219807</v>
      </c>
      <c r="AI115" s="481">
        <f t="shared" si="60"/>
        <v>244.23</v>
      </c>
      <c r="AJ115" s="487">
        <v>9095</v>
      </c>
      <c r="AK115" s="507">
        <v>7490</v>
      </c>
      <c r="AL115" s="479">
        <f t="shared" si="61"/>
        <v>272308</v>
      </c>
      <c r="AM115" s="482">
        <f t="shared" si="62"/>
        <v>219807</v>
      </c>
      <c r="AN115" s="487"/>
      <c r="AO115" s="488"/>
      <c r="AP115" s="487"/>
      <c r="AQ115" s="488"/>
      <c r="AR115" s="487"/>
      <c r="AS115" s="488"/>
      <c r="AT115" s="487"/>
      <c r="AU115" s="488"/>
      <c r="AV115" s="479">
        <f t="shared" si="63"/>
        <v>0</v>
      </c>
      <c r="AW115" s="483">
        <f t="shared" si="64"/>
        <v>0</v>
      </c>
      <c r="AX115" s="481">
        <f t="shared" si="65"/>
        <v>0</v>
      </c>
      <c r="AY115" s="484">
        <f t="shared" si="66"/>
        <v>0</v>
      </c>
      <c r="AZ115" s="485">
        <f t="shared" si="67"/>
        <v>2237.9977777777776</v>
      </c>
      <c r="BA115" s="481">
        <f t="shared" si="68"/>
        <v>2113.0966666666664</v>
      </c>
    </row>
    <row r="116" spans="1:53">
      <c r="A116" s="757" t="s">
        <v>284</v>
      </c>
      <c r="B116" s="752" t="s">
        <v>864</v>
      </c>
      <c r="C116" s="756" t="s">
        <v>874</v>
      </c>
      <c r="D116" s="751">
        <v>134343</v>
      </c>
      <c r="E116" s="751">
        <v>9</v>
      </c>
      <c r="F116" s="486" t="s">
        <v>41</v>
      </c>
      <c r="G116" s="529"/>
      <c r="H116" s="506"/>
      <c r="I116" s="488"/>
      <c r="J116" s="506">
        <v>57995</v>
      </c>
      <c r="K116" s="488">
        <v>54842</v>
      </c>
      <c r="L116" s="506">
        <v>17122</v>
      </c>
      <c r="M116" s="488">
        <v>14495</v>
      </c>
      <c r="N116" s="506">
        <v>57451</v>
      </c>
      <c r="O116" s="488">
        <v>55732</v>
      </c>
      <c r="P116" s="479">
        <f t="shared" si="51"/>
        <v>132568</v>
      </c>
      <c r="Q116" s="480">
        <f t="shared" si="52"/>
        <v>4418.9333333333334</v>
      </c>
      <c r="R116" s="481">
        <f t="shared" si="53"/>
        <v>125069</v>
      </c>
      <c r="S116" s="482">
        <f t="shared" si="54"/>
        <v>4168.9666666666662</v>
      </c>
      <c r="T116" s="506">
        <v>14090</v>
      </c>
      <c r="U116" s="507">
        <v>13966</v>
      </c>
      <c r="V116" s="479">
        <f t="shared" si="55"/>
        <v>132568</v>
      </c>
      <c r="W116" s="478">
        <f t="shared" si="56"/>
        <v>125069</v>
      </c>
      <c r="X116" s="506"/>
      <c r="Y116" s="488"/>
      <c r="Z116" s="506">
        <v>75812</v>
      </c>
      <c r="AA116" s="488">
        <v>68411</v>
      </c>
      <c r="AB116" s="506">
        <v>47721</v>
      </c>
      <c r="AC116" s="488">
        <v>48508</v>
      </c>
      <c r="AD116" s="506">
        <v>58552</v>
      </c>
      <c r="AE116" s="507">
        <v>45147</v>
      </c>
      <c r="AF116" s="479">
        <f t="shared" si="57"/>
        <v>182085</v>
      </c>
      <c r="AG116" s="480">
        <f t="shared" si="58"/>
        <v>202.31666666666666</v>
      </c>
      <c r="AH116" s="481">
        <f t="shared" si="59"/>
        <v>162066</v>
      </c>
      <c r="AI116" s="481">
        <f t="shared" si="60"/>
        <v>180.07333333333332</v>
      </c>
      <c r="AJ116" s="487">
        <v>0</v>
      </c>
      <c r="AK116" s="507">
        <v>0</v>
      </c>
      <c r="AL116" s="479">
        <f t="shared" si="61"/>
        <v>182085</v>
      </c>
      <c r="AM116" s="482">
        <f t="shared" si="62"/>
        <v>162066</v>
      </c>
      <c r="AN116" s="487"/>
      <c r="AO116" s="488"/>
      <c r="AP116" s="487"/>
      <c r="AQ116" s="488"/>
      <c r="AR116" s="487"/>
      <c r="AS116" s="488"/>
      <c r="AT116" s="487"/>
      <c r="AU116" s="488"/>
      <c r="AV116" s="479">
        <f t="shared" si="63"/>
        <v>0</v>
      </c>
      <c r="AW116" s="483">
        <f t="shared" si="64"/>
        <v>0</v>
      </c>
      <c r="AX116" s="481">
        <f t="shared" si="65"/>
        <v>0</v>
      </c>
      <c r="AY116" s="484">
        <f t="shared" si="66"/>
        <v>0</v>
      </c>
      <c r="AZ116" s="485">
        <f t="shared" si="67"/>
        <v>4621.25</v>
      </c>
      <c r="BA116" s="481">
        <f t="shared" si="68"/>
        <v>4349.04</v>
      </c>
    </row>
    <row r="117" spans="1:53">
      <c r="A117" s="757" t="s">
        <v>284</v>
      </c>
      <c r="B117" s="752" t="s">
        <v>865</v>
      </c>
      <c r="C117" s="750"/>
      <c r="D117" s="751">
        <v>135188</v>
      </c>
      <c r="E117" s="751">
        <v>9</v>
      </c>
      <c r="F117" s="486" t="s">
        <v>41</v>
      </c>
      <c r="G117" s="529"/>
      <c r="H117" s="506"/>
      <c r="I117" s="488"/>
      <c r="J117" s="506">
        <v>40492</v>
      </c>
      <c r="K117" s="488">
        <v>36713</v>
      </c>
      <c r="L117" s="506">
        <v>12836</v>
      </c>
      <c r="M117" s="488">
        <v>12755</v>
      </c>
      <c r="N117" s="506">
        <v>39424</v>
      </c>
      <c r="O117" s="488">
        <v>36464</v>
      </c>
      <c r="P117" s="479">
        <f t="shared" si="51"/>
        <v>92752</v>
      </c>
      <c r="Q117" s="480">
        <f t="shared" si="52"/>
        <v>3091.7333333333331</v>
      </c>
      <c r="R117" s="481">
        <f t="shared" si="53"/>
        <v>85932</v>
      </c>
      <c r="S117" s="482">
        <f t="shared" si="54"/>
        <v>2864.4</v>
      </c>
      <c r="T117" s="506">
        <v>13282</v>
      </c>
      <c r="U117" s="507">
        <v>9694</v>
      </c>
      <c r="V117" s="479">
        <f t="shared" si="55"/>
        <v>92752</v>
      </c>
      <c r="W117" s="478">
        <f t="shared" si="56"/>
        <v>85932</v>
      </c>
      <c r="X117" s="506"/>
      <c r="Y117" s="488"/>
      <c r="Z117" s="506">
        <v>798</v>
      </c>
      <c r="AA117" s="488">
        <v>1517</v>
      </c>
      <c r="AB117" s="506">
        <v>105</v>
      </c>
      <c r="AC117" s="488">
        <v>75</v>
      </c>
      <c r="AD117" s="506">
        <v>1031</v>
      </c>
      <c r="AE117" s="507">
        <v>814</v>
      </c>
      <c r="AF117" s="479">
        <f t="shared" si="57"/>
        <v>1934</v>
      </c>
      <c r="AG117" s="480">
        <f t="shared" si="58"/>
        <v>2.1488888888888891</v>
      </c>
      <c r="AH117" s="481">
        <f t="shared" si="59"/>
        <v>2406</v>
      </c>
      <c r="AI117" s="481">
        <f t="shared" si="60"/>
        <v>2.6733333333333333</v>
      </c>
      <c r="AJ117" s="487">
        <v>0</v>
      </c>
      <c r="AK117" s="507">
        <v>0</v>
      </c>
      <c r="AL117" s="479">
        <f t="shared" si="61"/>
        <v>1934</v>
      </c>
      <c r="AM117" s="482">
        <f t="shared" si="62"/>
        <v>2406</v>
      </c>
      <c r="AN117" s="487"/>
      <c r="AO117" s="488"/>
      <c r="AP117" s="487"/>
      <c r="AQ117" s="488"/>
      <c r="AR117" s="487"/>
      <c r="AS117" s="488"/>
      <c r="AT117" s="487"/>
      <c r="AU117" s="488"/>
      <c r="AV117" s="479">
        <f t="shared" si="63"/>
        <v>0</v>
      </c>
      <c r="AW117" s="483">
        <f t="shared" si="64"/>
        <v>0</v>
      </c>
      <c r="AX117" s="481">
        <f t="shared" si="65"/>
        <v>0</v>
      </c>
      <c r="AY117" s="484">
        <f t="shared" si="66"/>
        <v>0</v>
      </c>
      <c r="AZ117" s="485">
        <f t="shared" si="67"/>
        <v>3093.882222222222</v>
      </c>
      <c r="BA117" s="481">
        <f t="shared" si="68"/>
        <v>2867.0733333333333</v>
      </c>
    </row>
    <row r="118" spans="1:53">
      <c r="A118" s="757" t="s">
        <v>284</v>
      </c>
      <c r="B118" s="752" t="s">
        <v>866</v>
      </c>
      <c r="C118" s="750"/>
      <c r="D118" s="751">
        <v>137315</v>
      </c>
      <c r="E118" s="751">
        <v>9</v>
      </c>
      <c r="F118" s="486" t="s">
        <v>41</v>
      </c>
      <c r="G118" s="529"/>
      <c r="H118" s="506"/>
      <c r="I118" s="488"/>
      <c r="J118" s="506">
        <v>19548</v>
      </c>
      <c r="K118" s="488">
        <v>18854</v>
      </c>
      <c r="L118" s="506">
        <v>5808</v>
      </c>
      <c r="M118" s="488">
        <v>5320</v>
      </c>
      <c r="N118" s="506">
        <v>21291</v>
      </c>
      <c r="O118" s="488">
        <v>20976</v>
      </c>
      <c r="P118" s="479">
        <f t="shared" si="51"/>
        <v>46647</v>
      </c>
      <c r="Q118" s="480">
        <f t="shared" si="52"/>
        <v>1554.9</v>
      </c>
      <c r="R118" s="481">
        <f t="shared" si="53"/>
        <v>45150</v>
      </c>
      <c r="S118" s="482">
        <f t="shared" si="54"/>
        <v>1505</v>
      </c>
      <c r="T118" s="506">
        <v>5711</v>
      </c>
      <c r="U118" s="507">
        <v>5419</v>
      </c>
      <c r="V118" s="479">
        <f t="shared" si="55"/>
        <v>46647</v>
      </c>
      <c r="W118" s="478">
        <f t="shared" si="56"/>
        <v>45150</v>
      </c>
      <c r="X118" s="506"/>
      <c r="Y118" s="488"/>
      <c r="Z118" s="506">
        <v>284820</v>
      </c>
      <c r="AA118" s="488">
        <v>255371</v>
      </c>
      <c r="AB118" s="506">
        <v>131551</v>
      </c>
      <c r="AC118" s="488">
        <v>119420</v>
      </c>
      <c r="AD118" s="506">
        <v>290221</v>
      </c>
      <c r="AE118" s="507">
        <v>267921</v>
      </c>
      <c r="AF118" s="479">
        <f t="shared" si="57"/>
        <v>706592</v>
      </c>
      <c r="AG118" s="480">
        <f t="shared" si="58"/>
        <v>785.10222222222217</v>
      </c>
      <c r="AH118" s="481">
        <f t="shared" si="59"/>
        <v>642712</v>
      </c>
      <c r="AI118" s="481">
        <f t="shared" si="60"/>
        <v>714.12444444444441</v>
      </c>
      <c r="AJ118" s="487">
        <v>82194</v>
      </c>
      <c r="AK118" s="507">
        <v>72621</v>
      </c>
      <c r="AL118" s="479">
        <f t="shared" si="61"/>
        <v>706592</v>
      </c>
      <c r="AM118" s="482">
        <f t="shared" si="62"/>
        <v>642712</v>
      </c>
      <c r="AN118" s="487"/>
      <c r="AO118" s="488"/>
      <c r="AP118" s="487"/>
      <c r="AQ118" s="488"/>
      <c r="AR118" s="487"/>
      <c r="AS118" s="488"/>
      <c r="AT118" s="487"/>
      <c r="AU118" s="488"/>
      <c r="AV118" s="479">
        <f t="shared" si="63"/>
        <v>0</v>
      </c>
      <c r="AW118" s="483">
        <f t="shared" si="64"/>
        <v>0</v>
      </c>
      <c r="AX118" s="481">
        <f t="shared" si="65"/>
        <v>0</v>
      </c>
      <c r="AY118" s="484">
        <f t="shared" si="66"/>
        <v>0</v>
      </c>
      <c r="AZ118" s="485">
        <f t="shared" si="67"/>
        <v>2340.0022222222224</v>
      </c>
      <c r="BA118" s="481">
        <f t="shared" si="68"/>
        <v>2219.1244444444446</v>
      </c>
    </row>
    <row r="119" spans="1:53">
      <c r="A119" s="757" t="s">
        <v>284</v>
      </c>
      <c r="B119" s="752" t="s">
        <v>867</v>
      </c>
      <c r="C119" s="759" t="s">
        <v>871</v>
      </c>
      <c r="D119" s="751">
        <v>137281</v>
      </c>
      <c r="E119" s="760">
        <v>7</v>
      </c>
      <c r="F119" s="486" t="s">
        <v>41</v>
      </c>
      <c r="G119" s="529"/>
      <c r="H119" s="506"/>
      <c r="I119" s="488"/>
      <c r="J119" s="506">
        <v>56675</v>
      </c>
      <c r="K119" s="488">
        <v>55015</v>
      </c>
      <c r="L119" s="506">
        <v>23696</v>
      </c>
      <c r="M119" s="488">
        <v>22518</v>
      </c>
      <c r="N119" s="506">
        <v>57468</v>
      </c>
      <c r="O119" s="488">
        <v>58446</v>
      </c>
      <c r="P119" s="479">
        <f t="shared" si="51"/>
        <v>137839</v>
      </c>
      <c r="Q119" s="480">
        <f t="shared" si="52"/>
        <v>4594.6333333333332</v>
      </c>
      <c r="R119" s="481">
        <f t="shared" si="53"/>
        <v>135979</v>
      </c>
      <c r="S119" s="482">
        <f t="shared" si="54"/>
        <v>4532.6333333333332</v>
      </c>
      <c r="T119" s="506">
        <v>14555</v>
      </c>
      <c r="U119" s="507">
        <v>16844</v>
      </c>
      <c r="V119" s="479">
        <f t="shared" si="55"/>
        <v>137839</v>
      </c>
      <c r="W119" s="478">
        <f t="shared" si="56"/>
        <v>135979</v>
      </c>
      <c r="X119" s="506"/>
      <c r="Y119" s="488"/>
      <c r="Z119" s="506">
        <v>104943</v>
      </c>
      <c r="AA119" s="488">
        <v>98995</v>
      </c>
      <c r="AB119" s="506">
        <v>55933</v>
      </c>
      <c r="AC119" s="488">
        <v>49634</v>
      </c>
      <c r="AD119" s="506">
        <v>125073</v>
      </c>
      <c r="AE119" s="507">
        <v>94505</v>
      </c>
      <c r="AF119" s="479">
        <f t="shared" si="57"/>
        <v>285949</v>
      </c>
      <c r="AG119" s="480">
        <f t="shared" si="58"/>
        <v>317.7211111111111</v>
      </c>
      <c r="AH119" s="481">
        <f t="shared" si="59"/>
        <v>243134</v>
      </c>
      <c r="AI119" s="481">
        <f t="shared" si="60"/>
        <v>270.14888888888891</v>
      </c>
      <c r="AJ119" s="487">
        <v>0</v>
      </c>
      <c r="AK119" s="507">
        <v>0</v>
      </c>
      <c r="AL119" s="479">
        <f t="shared" si="61"/>
        <v>285949</v>
      </c>
      <c r="AM119" s="482">
        <f t="shared" si="62"/>
        <v>243134</v>
      </c>
      <c r="AN119" s="487"/>
      <c r="AO119" s="488"/>
      <c r="AP119" s="487"/>
      <c r="AQ119" s="488"/>
      <c r="AR119" s="487"/>
      <c r="AS119" s="488"/>
      <c r="AT119" s="487"/>
      <c r="AU119" s="488"/>
      <c r="AV119" s="479">
        <f t="shared" si="63"/>
        <v>0</v>
      </c>
      <c r="AW119" s="483">
        <f t="shared" si="64"/>
        <v>0</v>
      </c>
      <c r="AX119" s="481">
        <f t="shared" si="65"/>
        <v>0</v>
      </c>
      <c r="AY119" s="484">
        <f t="shared" si="66"/>
        <v>0</v>
      </c>
      <c r="AZ119" s="485">
        <f t="shared" si="67"/>
        <v>4912.3544444444442</v>
      </c>
      <c r="BA119" s="481">
        <f t="shared" si="68"/>
        <v>4802.7822222222221</v>
      </c>
    </row>
    <row r="120" spans="1:53">
      <c r="A120" s="757" t="s">
        <v>284</v>
      </c>
      <c r="B120" s="749" t="s">
        <v>868</v>
      </c>
      <c r="C120" s="750"/>
      <c r="D120" s="751">
        <v>133960</v>
      </c>
      <c r="E120" s="751">
        <v>10</v>
      </c>
      <c r="F120" s="486" t="s">
        <v>41</v>
      </c>
      <c r="G120" s="529"/>
      <c r="H120" s="506"/>
      <c r="I120" s="488"/>
      <c r="J120" s="506">
        <v>10149</v>
      </c>
      <c r="K120" s="488">
        <v>9573</v>
      </c>
      <c r="L120" s="506">
        <v>4030</v>
      </c>
      <c r="M120" s="488">
        <v>3655</v>
      </c>
      <c r="N120" s="506">
        <v>10605</v>
      </c>
      <c r="O120" s="488">
        <v>9832</v>
      </c>
      <c r="P120" s="479">
        <f t="shared" si="51"/>
        <v>24784</v>
      </c>
      <c r="Q120" s="480">
        <f t="shared" si="52"/>
        <v>826.13333333333333</v>
      </c>
      <c r="R120" s="481">
        <f t="shared" si="53"/>
        <v>23060</v>
      </c>
      <c r="S120" s="482">
        <f t="shared" si="54"/>
        <v>768.66666666666663</v>
      </c>
      <c r="T120" s="506">
        <v>1927</v>
      </c>
      <c r="U120" s="507">
        <v>1579</v>
      </c>
      <c r="V120" s="479">
        <f t="shared" si="55"/>
        <v>24784</v>
      </c>
      <c r="W120" s="478">
        <f t="shared" si="56"/>
        <v>23060</v>
      </c>
      <c r="X120" s="506"/>
      <c r="Y120" s="488"/>
      <c r="Z120" s="506">
        <v>12920</v>
      </c>
      <c r="AA120" s="488">
        <v>7679</v>
      </c>
      <c r="AB120" s="506">
        <v>6386</v>
      </c>
      <c r="AC120" s="488">
        <v>5110</v>
      </c>
      <c r="AD120" s="506">
        <v>12789</v>
      </c>
      <c r="AE120" s="507">
        <v>15015</v>
      </c>
      <c r="AF120" s="479">
        <f t="shared" si="57"/>
        <v>32095</v>
      </c>
      <c r="AG120" s="480">
        <f t="shared" si="58"/>
        <v>35.661111111111111</v>
      </c>
      <c r="AH120" s="481">
        <f t="shared" si="59"/>
        <v>27804</v>
      </c>
      <c r="AI120" s="481">
        <f t="shared" si="60"/>
        <v>30.893333333333334</v>
      </c>
      <c r="AJ120" s="487">
        <v>0</v>
      </c>
      <c r="AK120" s="507">
        <v>90</v>
      </c>
      <c r="AL120" s="479">
        <f t="shared" si="61"/>
        <v>32095</v>
      </c>
      <c r="AM120" s="482">
        <f t="shared" si="62"/>
        <v>27804</v>
      </c>
      <c r="AN120" s="487"/>
      <c r="AO120" s="488"/>
      <c r="AP120" s="487"/>
      <c r="AQ120" s="488"/>
      <c r="AR120" s="487"/>
      <c r="AS120" s="488"/>
      <c r="AT120" s="487"/>
      <c r="AU120" s="488"/>
      <c r="AV120" s="479">
        <f t="shared" si="63"/>
        <v>0</v>
      </c>
      <c r="AW120" s="483">
        <f t="shared" si="64"/>
        <v>0</v>
      </c>
      <c r="AX120" s="481">
        <f t="shared" si="65"/>
        <v>0</v>
      </c>
      <c r="AY120" s="484">
        <f t="shared" si="66"/>
        <v>0</v>
      </c>
      <c r="AZ120" s="485">
        <f t="shared" si="67"/>
        <v>861.79444444444448</v>
      </c>
      <c r="BA120" s="481">
        <f t="shared" si="68"/>
        <v>799.56</v>
      </c>
    </row>
    <row r="121" spans="1:53">
      <c r="A121" s="757" t="s">
        <v>284</v>
      </c>
      <c r="B121" s="749" t="s">
        <v>869</v>
      </c>
      <c r="C121" s="750"/>
      <c r="D121" s="751">
        <v>136145</v>
      </c>
      <c r="E121" s="751">
        <v>10</v>
      </c>
      <c r="F121" s="486" t="s">
        <v>41</v>
      </c>
      <c r="G121" s="529"/>
      <c r="H121" s="506"/>
      <c r="I121" s="488"/>
      <c r="J121" s="506">
        <v>10272</v>
      </c>
      <c r="K121" s="488">
        <v>9664</v>
      </c>
      <c r="L121" s="506">
        <v>3504</v>
      </c>
      <c r="M121" s="488">
        <v>2871</v>
      </c>
      <c r="N121" s="506">
        <v>10710</v>
      </c>
      <c r="O121" s="488">
        <v>9880</v>
      </c>
      <c r="P121" s="479">
        <f t="shared" si="51"/>
        <v>24486</v>
      </c>
      <c r="Q121" s="480">
        <f t="shared" si="52"/>
        <v>816.2</v>
      </c>
      <c r="R121" s="481">
        <f t="shared" si="53"/>
        <v>22415</v>
      </c>
      <c r="S121" s="482">
        <f t="shared" si="54"/>
        <v>747.16666666666663</v>
      </c>
      <c r="T121" s="506">
        <v>3467</v>
      </c>
      <c r="U121" s="507">
        <v>3520</v>
      </c>
      <c r="V121" s="479">
        <f t="shared" si="55"/>
        <v>24486</v>
      </c>
      <c r="W121" s="478">
        <f t="shared" si="56"/>
        <v>22415</v>
      </c>
      <c r="X121" s="506"/>
      <c r="Y121" s="488"/>
      <c r="Z121" s="506">
        <v>36952</v>
      </c>
      <c r="AA121" s="488">
        <v>40372</v>
      </c>
      <c r="AB121" s="506">
        <v>6448</v>
      </c>
      <c r="AC121" s="488">
        <v>13087</v>
      </c>
      <c r="AD121" s="506">
        <v>46441</v>
      </c>
      <c r="AE121" s="507">
        <v>34662</v>
      </c>
      <c r="AF121" s="479">
        <f t="shared" si="57"/>
        <v>89841</v>
      </c>
      <c r="AG121" s="480">
        <f t="shared" si="58"/>
        <v>99.823333333333338</v>
      </c>
      <c r="AH121" s="481">
        <f t="shared" si="59"/>
        <v>88121</v>
      </c>
      <c r="AI121" s="481">
        <f t="shared" si="60"/>
        <v>97.912222222222226</v>
      </c>
      <c r="AJ121" s="487">
        <v>0</v>
      </c>
      <c r="AK121" s="507">
        <v>0</v>
      </c>
      <c r="AL121" s="479">
        <f t="shared" si="61"/>
        <v>89841</v>
      </c>
      <c r="AM121" s="482">
        <f t="shared" si="62"/>
        <v>88121</v>
      </c>
      <c r="AN121" s="487"/>
      <c r="AO121" s="488"/>
      <c r="AP121" s="487"/>
      <c r="AQ121" s="488"/>
      <c r="AR121" s="487"/>
      <c r="AS121" s="488"/>
      <c r="AT121" s="487"/>
      <c r="AU121" s="488"/>
      <c r="AV121" s="479">
        <f t="shared" si="63"/>
        <v>0</v>
      </c>
      <c r="AW121" s="483">
        <f t="shared" si="64"/>
        <v>0</v>
      </c>
      <c r="AX121" s="481">
        <f t="shared" si="65"/>
        <v>0</v>
      </c>
      <c r="AY121" s="484">
        <f t="shared" si="66"/>
        <v>0</v>
      </c>
      <c r="AZ121" s="485">
        <f t="shared" si="67"/>
        <v>916.02333333333343</v>
      </c>
      <c r="BA121" s="481">
        <f t="shared" si="68"/>
        <v>845.07888888888886</v>
      </c>
    </row>
    <row r="122" spans="1:53">
      <c r="A122" s="805" t="s">
        <v>142</v>
      </c>
      <c r="B122" s="553" t="s">
        <v>336</v>
      </c>
      <c r="C122" s="554"/>
      <c r="D122" s="555">
        <v>139940</v>
      </c>
      <c r="E122" s="556">
        <v>1</v>
      </c>
      <c r="F122" s="486" t="s">
        <v>41</v>
      </c>
      <c r="G122" s="552" t="s">
        <v>41</v>
      </c>
      <c r="H122" s="506"/>
      <c r="I122" s="488"/>
      <c r="J122" s="506">
        <v>280797</v>
      </c>
      <c r="K122" s="488">
        <v>286847</v>
      </c>
      <c r="L122" s="506">
        <v>69622</v>
      </c>
      <c r="M122" s="488">
        <v>69371</v>
      </c>
      <c r="N122" s="506">
        <v>302084.5</v>
      </c>
      <c r="O122" s="488">
        <v>305045</v>
      </c>
      <c r="P122" s="479">
        <f t="shared" si="51"/>
        <v>652503.5</v>
      </c>
      <c r="Q122" s="480">
        <f t="shared" si="52"/>
        <v>21750.116666666665</v>
      </c>
      <c r="R122" s="481">
        <f t="shared" si="53"/>
        <v>661263</v>
      </c>
      <c r="S122" s="482">
        <f t="shared" si="54"/>
        <v>22042.1</v>
      </c>
      <c r="T122" s="506">
        <v>2134</v>
      </c>
      <c r="U122" s="557">
        <v>2765</v>
      </c>
      <c r="V122" s="479">
        <f t="shared" si="55"/>
        <v>652503.5</v>
      </c>
      <c r="W122" s="478">
        <f t="shared" si="56"/>
        <v>661263</v>
      </c>
      <c r="X122" s="506"/>
      <c r="Y122" s="488"/>
      <c r="Z122" s="506"/>
      <c r="AA122" s="488"/>
      <c r="AB122" s="506"/>
      <c r="AC122" s="488"/>
      <c r="AD122" s="506"/>
      <c r="AE122" s="507"/>
      <c r="AF122" s="479">
        <f t="shared" si="57"/>
        <v>0</v>
      </c>
      <c r="AG122" s="480">
        <f t="shared" si="58"/>
        <v>0</v>
      </c>
      <c r="AH122" s="481">
        <f t="shared" si="59"/>
        <v>0</v>
      </c>
      <c r="AI122" s="481">
        <f t="shared" si="60"/>
        <v>0</v>
      </c>
      <c r="AJ122" s="487"/>
      <c r="AK122" s="507"/>
      <c r="AL122" s="479">
        <f t="shared" si="61"/>
        <v>0</v>
      </c>
      <c r="AM122" s="482">
        <f t="shared" si="62"/>
        <v>0</v>
      </c>
      <c r="AN122" s="487"/>
      <c r="AO122" s="488"/>
      <c r="AP122" s="487">
        <v>87306</v>
      </c>
      <c r="AQ122" s="488">
        <v>86688</v>
      </c>
      <c r="AR122" s="487">
        <v>49229.5</v>
      </c>
      <c r="AS122" s="488">
        <v>48953</v>
      </c>
      <c r="AT122" s="487">
        <v>88354</v>
      </c>
      <c r="AU122" s="488">
        <v>89099</v>
      </c>
      <c r="AV122" s="479">
        <f t="shared" si="63"/>
        <v>224889.5</v>
      </c>
      <c r="AW122" s="483">
        <f t="shared" si="64"/>
        <v>9370.3958333333339</v>
      </c>
      <c r="AX122" s="481">
        <f t="shared" si="65"/>
        <v>224740</v>
      </c>
      <c r="AY122" s="484">
        <f t="shared" si="66"/>
        <v>9364.1666666666661</v>
      </c>
      <c r="AZ122" s="485">
        <f t="shared" si="67"/>
        <v>31120.512499999997</v>
      </c>
      <c r="BA122" s="481">
        <f t="shared" si="68"/>
        <v>31406.266666666663</v>
      </c>
    </row>
    <row r="123" spans="1:53">
      <c r="A123" s="805" t="s">
        <v>142</v>
      </c>
      <c r="B123" s="553" t="s">
        <v>337</v>
      </c>
      <c r="C123" s="554"/>
      <c r="D123" s="555">
        <v>139959</v>
      </c>
      <c r="E123" s="556">
        <v>1</v>
      </c>
      <c r="F123" s="486" t="s">
        <v>41</v>
      </c>
      <c r="G123" s="552" t="s">
        <v>41</v>
      </c>
      <c r="H123" s="506"/>
      <c r="I123" s="488"/>
      <c r="J123" s="506">
        <v>341933.4</v>
      </c>
      <c r="K123" s="488">
        <v>340309</v>
      </c>
      <c r="L123" s="506">
        <v>52137</v>
      </c>
      <c r="M123" s="488">
        <v>50681</v>
      </c>
      <c r="N123" s="506">
        <v>358004.5</v>
      </c>
      <c r="O123" s="488">
        <v>360294</v>
      </c>
      <c r="P123" s="479">
        <f t="shared" si="51"/>
        <v>752074.9</v>
      </c>
      <c r="Q123" s="480">
        <f t="shared" si="52"/>
        <v>25069.163333333334</v>
      </c>
      <c r="R123" s="481">
        <f t="shared" si="53"/>
        <v>751284</v>
      </c>
      <c r="S123" s="482">
        <f t="shared" si="54"/>
        <v>25042.799999999999</v>
      </c>
      <c r="T123" s="506">
        <v>303</v>
      </c>
      <c r="U123" s="557">
        <v>333</v>
      </c>
      <c r="V123" s="479">
        <f t="shared" si="55"/>
        <v>752074.9</v>
      </c>
      <c r="W123" s="478">
        <f t="shared" si="56"/>
        <v>751284</v>
      </c>
      <c r="X123" s="506"/>
      <c r="Y123" s="488"/>
      <c r="Z123" s="506"/>
      <c r="AA123" s="488"/>
      <c r="AB123" s="506"/>
      <c r="AC123" s="488"/>
      <c r="AD123" s="506"/>
      <c r="AE123" s="507"/>
      <c r="AF123" s="479">
        <f t="shared" si="57"/>
        <v>0</v>
      </c>
      <c r="AG123" s="480">
        <f t="shared" si="58"/>
        <v>0</v>
      </c>
      <c r="AH123" s="481">
        <f t="shared" si="59"/>
        <v>0</v>
      </c>
      <c r="AI123" s="481">
        <f t="shared" si="60"/>
        <v>0</v>
      </c>
      <c r="AJ123" s="487"/>
      <c r="AK123" s="507"/>
      <c r="AL123" s="479">
        <f t="shared" si="61"/>
        <v>0</v>
      </c>
      <c r="AM123" s="482">
        <f t="shared" si="62"/>
        <v>0</v>
      </c>
      <c r="AN123" s="487"/>
      <c r="AO123" s="488"/>
      <c r="AP123" s="487">
        <v>100842.9</v>
      </c>
      <c r="AQ123" s="488">
        <v>101041</v>
      </c>
      <c r="AR123" s="487">
        <v>39846.6</v>
      </c>
      <c r="AS123" s="488">
        <v>40108</v>
      </c>
      <c r="AT123" s="487">
        <v>103033</v>
      </c>
      <c r="AU123" s="488">
        <v>104243</v>
      </c>
      <c r="AV123" s="479">
        <f t="shared" si="63"/>
        <v>243722.5</v>
      </c>
      <c r="AW123" s="483">
        <f t="shared" si="64"/>
        <v>10155.104166666666</v>
      </c>
      <c r="AX123" s="481">
        <f t="shared" si="65"/>
        <v>245392</v>
      </c>
      <c r="AY123" s="484">
        <f t="shared" si="66"/>
        <v>10224.666666666666</v>
      </c>
      <c r="AZ123" s="485">
        <f t="shared" si="67"/>
        <v>35224.267500000002</v>
      </c>
      <c r="BA123" s="481">
        <f t="shared" si="68"/>
        <v>35267.466666666667</v>
      </c>
    </row>
    <row r="124" spans="1:53">
      <c r="A124" s="805" t="s">
        <v>142</v>
      </c>
      <c r="B124" s="553" t="s">
        <v>338</v>
      </c>
      <c r="C124" s="554"/>
      <c r="D124" s="555">
        <v>139755</v>
      </c>
      <c r="E124" s="556">
        <v>2</v>
      </c>
      <c r="F124" s="486" t="s">
        <v>41</v>
      </c>
      <c r="G124" s="552" t="s">
        <v>41</v>
      </c>
      <c r="H124" s="506"/>
      <c r="I124" s="488"/>
      <c r="J124" s="506">
        <v>179762.5</v>
      </c>
      <c r="K124" s="488">
        <v>187375</v>
      </c>
      <c r="L124" s="506">
        <v>43581</v>
      </c>
      <c r="M124" s="488">
        <v>43034</v>
      </c>
      <c r="N124" s="506">
        <v>200584.5</v>
      </c>
      <c r="O124" s="488">
        <v>201227</v>
      </c>
      <c r="P124" s="479">
        <f t="shared" si="51"/>
        <v>423928</v>
      </c>
      <c r="Q124" s="480">
        <f t="shared" si="52"/>
        <v>14130.933333333332</v>
      </c>
      <c r="R124" s="481">
        <f t="shared" si="53"/>
        <v>431636</v>
      </c>
      <c r="S124" s="482">
        <f t="shared" si="54"/>
        <v>14387.866666666667</v>
      </c>
      <c r="T124" s="506">
        <v>2490</v>
      </c>
      <c r="U124" s="557">
        <v>2652</v>
      </c>
      <c r="V124" s="479">
        <f t="shared" si="55"/>
        <v>423928</v>
      </c>
      <c r="W124" s="478">
        <f t="shared" si="56"/>
        <v>431636</v>
      </c>
      <c r="X124" s="506"/>
      <c r="Y124" s="488"/>
      <c r="Z124" s="506"/>
      <c r="AA124" s="488"/>
      <c r="AB124" s="506"/>
      <c r="AC124" s="488"/>
      <c r="AD124" s="506"/>
      <c r="AE124" s="507"/>
      <c r="AF124" s="479">
        <f t="shared" si="57"/>
        <v>0</v>
      </c>
      <c r="AG124" s="480">
        <f t="shared" si="58"/>
        <v>0</v>
      </c>
      <c r="AH124" s="481">
        <f t="shared" si="59"/>
        <v>0</v>
      </c>
      <c r="AI124" s="481">
        <f t="shared" si="60"/>
        <v>0</v>
      </c>
      <c r="AJ124" s="487"/>
      <c r="AK124" s="507"/>
      <c r="AL124" s="479">
        <f t="shared" si="61"/>
        <v>0</v>
      </c>
      <c r="AM124" s="482">
        <f t="shared" si="62"/>
        <v>0</v>
      </c>
      <c r="AN124" s="487"/>
      <c r="AO124" s="488"/>
      <c r="AP124" s="487">
        <v>91404</v>
      </c>
      <c r="AQ124" s="488">
        <v>91830</v>
      </c>
      <c r="AR124" s="487">
        <v>43489.5</v>
      </c>
      <c r="AS124" s="488">
        <v>42681</v>
      </c>
      <c r="AT124" s="487">
        <v>99242</v>
      </c>
      <c r="AU124" s="488">
        <v>97266</v>
      </c>
      <c r="AV124" s="479">
        <f t="shared" si="63"/>
        <v>234135.5</v>
      </c>
      <c r="AW124" s="483">
        <f t="shared" si="64"/>
        <v>9755.6458333333339</v>
      </c>
      <c r="AX124" s="481">
        <f t="shared" si="65"/>
        <v>231777</v>
      </c>
      <c r="AY124" s="484">
        <f t="shared" si="66"/>
        <v>9657.375</v>
      </c>
      <c r="AZ124" s="485">
        <f t="shared" si="67"/>
        <v>23886.579166666666</v>
      </c>
      <c r="BA124" s="481">
        <f t="shared" si="68"/>
        <v>24045.241666666669</v>
      </c>
    </row>
    <row r="125" spans="1:53">
      <c r="A125" s="805" t="s">
        <v>142</v>
      </c>
      <c r="B125" s="553" t="s">
        <v>339</v>
      </c>
      <c r="C125" s="554"/>
      <c r="D125" s="555">
        <v>139931</v>
      </c>
      <c r="E125" s="556">
        <v>3</v>
      </c>
      <c r="F125" s="486" t="s">
        <v>41</v>
      </c>
      <c r="G125" s="552" t="s">
        <v>41</v>
      </c>
      <c r="H125" s="506"/>
      <c r="I125" s="488"/>
      <c r="J125" s="506">
        <v>219703</v>
      </c>
      <c r="K125" s="488">
        <v>215888</v>
      </c>
      <c r="L125" s="506">
        <v>56580</v>
      </c>
      <c r="M125" s="488">
        <v>57753</v>
      </c>
      <c r="N125" s="506">
        <v>237958</v>
      </c>
      <c r="O125" s="488">
        <v>237235</v>
      </c>
      <c r="P125" s="479">
        <f t="shared" si="51"/>
        <v>514241</v>
      </c>
      <c r="Q125" s="480">
        <f t="shared" si="52"/>
        <v>17141.366666666665</v>
      </c>
      <c r="R125" s="481">
        <f t="shared" si="53"/>
        <v>510876</v>
      </c>
      <c r="S125" s="482">
        <f t="shared" si="54"/>
        <v>17029.2</v>
      </c>
      <c r="T125" s="506">
        <v>2137</v>
      </c>
      <c r="U125" s="557">
        <v>1943</v>
      </c>
      <c r="V125" s="479">
        <f t="shared" si="55"/>
        <v>514241</v>
      </c>
      <c r="W125" s="478">
        <f t="shared" si="56"/>
        <v>510876</v>
      </c>
      <c r="X125" s="506"/>
      <c r="Y125" s="488"/>
      <c r="Z125" s="506"/>
      <c r="AA125" s="488"/>
      <c r="AB125" s="506"/>
      <c r="AC125" s="488"/>
      <c r="AD125" s="506"/>
      <c r="AE125" s="507"/>
      <c r="AF125" s="479">
        <f t="shared" si="57"/>
        <v>0</v>
      </c>
      <c r="AG125" s="480">
        <f t="shared" si="58"/>
        <v>0</v>
      </c>
      <c r="AH125" s="481">
        <f t="shared" si="59"/>
        <v>0</v>
      </c>
      <c r="AI125" s="481">
        <f t="shared" si="60"/>
        <v>0</v>
      </c>
      <c r="AJ125" s="487"/>
      <c r="AK125" s="507"/>
      <c r="AL125" s="479">
        <f t="shared" si="61"/>
        <v>0</v>
      </c>
      <c r="AM125" s="482">
        <f t="shared" si="62"/>
        <v>0</v>
      </c>
      <c r="AN125" s="487"/>
      <c r="AO125" s="488"/>
      <c r="AP125" s="487">
        <v>16368</v>
      </c>
      <c r="AQ125" s="488">
        <v>16048</v>
      </c>
      <c r="AR125" s="487">
        <v>10451</v>
      </c>
      <c r="AS125" s="488">
        <v>10283</v>
      </c>
      <c r="AT125" s="487">
        <v>17053</v>
      </c>
      <c r="AU125" s="488">
        <v>17503</v>
      </c>
      <c r="AV125" s="479">
        <f t="shared" si="63"/>
        <v>43872</v>
      </c>
      <c r="AW125" s="483">
        <f t="shared" si="64"/>
        <v>1828</v>
      </c>
      <c r="AX125" s="481">
        <f t="shared" si="65"/>
        <v>43834</v>
      </c>
      <c r="AY125" s="484">
        <f t="shared" si="66"/>
        <v>1826.4166666666667</v>
      </c>
      <c r="AZ125" s="485">
        <f t="shared" si="67"/>
        <v>18969.366666666665</v>
      </c>
      <c r="BA125" s="481">
        <f t="shared" si="68"/>
        <v>18855.616666666669</v>
      </c>
    </row>
    <row r="126" spans="1:53">
      <c r="A126" s="805" t="s">
        <v>142</v>
      </c>
      <c r="B126" s="553" t="s">
        <v>340</v>
      </c>
      <c r="C126" s="554"/>
      <c r="D126" s="555">
        <v>141334</v>
      </c>
      <c r="E126" s="556">
        <v>3</v>
      </c>
      <c r="F126" s="486" t="s">
        <v>41</v>
      </c>
      <c r="G126" s="552" t="s">
        <v>41</v>
      </c>
      <c r="H126" s="506"/>
      <c r="I126" s="488"/>
      <c r="J126" s="506">
        <v>118814</v>
      </c>
      <c r="K126" s="488">
        <v>117342</v>
      </c>
      <c r="L126" s="506">
        <v>28487</v>
      </c>
      <c r="M126" s="488">
        <v>24414</v>
      </c>
      <c r="N126" s="506">
        <v>127540</v>
      </c>
      <c r="O126" s="488">
        <v>129635</v>
      </c>
      <c r="P126" s="479">
        <f t="shared" si="51"/>
        <v>274841</v>
      </c>
      <c r="Q126" s="480">
        <f t="shared" si="52"/>
        <v>9161.3666666666668</v>
      </c>
      <c r="R126" s="481">
        <f t="shared" si="53"/>
        <v>271391</v>
      </c>
      <c r="S126" s="482">
        <f t="shared" si="54"/>
        <v>9046.3666666666668</v>
      </c>
      <c r="T126" s="506">
        <v>2788</v>
      </c>
      <c r="U126" s="557">
        <v>2657</v>
      </c>
      <c r="V126" s="479">
        <f t="shared" si="55"/>
        <v>274841</v>
      </c>
      <c r="W126" s="478">
        <f t="shared" si="56"/>
        <v>271391</v>
      </c>
      <c r="X126" s="506"/>
      <c r="Y126" s="488"/>
      <c r="Z126" s="506"/>
      <c r="AA126" s="488"/>
      <c r="AB126" s="506"/>
      <c r="AC126" s="488"/>
      <c r="AD126" s="506"/>
      <c r="AE126" s="507"/>
      <c r="AF126" s="479">
        <f t="shared" si="57"/>
        <v>0</v>
      </c>
      <c r="AG126" s="480">
        <f t="shared" si="58"/>
        <v>0</v>
      </c>
      <c r="AH126" s="481">
        <f t="shared" si="59"/>
        <v>0</v>
      </c>
      <c r="AI126" s="481">
        <f t="shared" si="60"/>
        <v>0</v>
      </c>
      <c r="AJ126" s="487"/>
      <c r="AK126" s="507"/>
      <c r="AL126" s="479">
        <f t="shared" si="61"/>
        <v>0</v>
      </c>
      <c r="AM126" s="482">
        <f t="shared" si="62"/>
        <v>0</v>
      </c>
      <c r="AN126" s="487"/>
      <c r="AO126" s="488"/>
      <c r="AP126" s="487">
        <v>10298</v>
      </c>
      <c r="AQ126" s="488">
        <v>11413</v>
      </c>
      <c r="AR126" s="487">
        <v>6802</v>
      </c>
      <c r="AS126" s="488">
        <v>7516</v>
      </c>
      <c r="AT126" s="487">
        <v>11689</v>
      </c>
      <c r="AU126" s="488">
        <v>13201</v>
      </c>
      <c r="AV126" s="479">
        <f t="shared" si="63"/>
        <v>28789</v>
      </c>
      <c r="AW126" s="483">
        <f t="shared" si="64"/>
        <v>1199.5416666666667</v>
      </c>
      <c r="AX126" s="481">
        <f t="shared" si="65"/>
        <v>32130</v>
      </c>
      <c r="AY126" s="484">
        <f t="shared" si="66"/>
        <v>1338.75</v>
      </c>
      <c r="AZ126" s="485">
        <f t="shared" si="67"/>
        <v>10360.908333333333</v>
      </c>
      <c r="BA126" s="481">
        <f t="shared" si="68"/>
        <v>10385.116666666667</v>
      </c>
    </row>
    <row r="127" spans="1:53">
      <c r="A127" s="805" t="s">
        <v>142</v>
      </c>
      <c r="B127" s="553" t="s">
        <v>341</v>
      </c>
      <c r="C127" s="554"/>
      <c r="D127" s="555">
        <v>141264</v>
      </c>
      <c r="E127" s="556">
        <v>3</v>
      </c>
      <c r="F127" s="486" t="s">
        <v>41</v>
      </c>
      <c r="G127" s="552" t="s">
        <v>41</v>
      </c>
      <c r="H127" s="506"/>
      <c r="I127" s="488"/>
      <c r="J127" s="506">
        <v>130853</v>
      </c>
      <c r="K127" s="488">
        <v>124381</v>
      </c>
      <c r="L127" s="506">
        <v>23404</v>
      </c>
      <c r="M127" s="488">
        <v>22588</v>
      </c>
      <c r="N127" s="506">
        <v>133720</v>
      </c>
      <c r="O127" s="488">
        <v>125548</v>
      </c>
      <c r="P127" s="479">
        <f t="shared" si="51"/>
        <v>287977</v>
      </c>
      <c r="Q127" s="480">
        <f t="shared" si="52"/>
        <v>9599.2333333333336</v>
      </c>
      <c r="R127" s="481">
        <f t="shared" si="53"/>
        <v>272517</v>
      </c>
      <c r="S127" s="482">
        <f t="shared" si="54"/>
        <v>9083.9</v>
      </c>
      <c r="T127" s="506">
        <v>198</v>
      </c>
      <c r="U127" s="557">
        <v>254</v>
      </c>
      <c r="V127" s="479">
        <f t="shared" si="55"/>
        <v>287977</v>
      </c>
      <c r="W127" s="478">
        <f t="shared" si="56"/>
        <v>272517</v>
      </c>
      <c r="X127" s="506"/>
      <c r="Y127" s="488"/>
      <c r="Z127" s="506"/>
      <c r="AA127" s="488"/>
      <c r="AB127" s="506"/>
      <c r="AC127" s="488"/>
      <c r="AD127" s="506"/>
      <c r="AE127" s="507"/>
      <c r="AF127" s="479">
        <f t="shared" si="57"/>
        <v>0</v>
      </c>
      <c r="AG127" s="480">
        <f t="shared" si="58"/>
        <v>0</v>
      </c>
      <c r="AH127" s="481">
        <f t="shared" si="59"/>
        <v>0</v>
      </c>
      <c r="AI127" s="481">
        <f t="shared" si="60"/>
        <v>0</v>
      </c>
      <c r="AJ127" s="487"/>
      <c r="AK127" s="507"/>
      <c r="AL127" s="479">
        <f t="shared" si="61"/>
        <v>0</v>
      </c>
      <c r="AM127" s="482">
        <f t="shared" si="62"/>
        <v>0</v>
      </c>
      <c r="AN127" s="487"/>
      <c r="AO127" s="488"/>
      <c r="AP127" s="487">
        <v>15987</v>
      </c>
      <c r="AQ127" s="488">
        <v>15376</v>
      </c>
      <c r="AR127" s="487">
        <v>11555</v>
      </c>
      <c r="AS127" s="488">
        <v>10453</v>
      </c>
      <c r="AT127" s="487">
        <v>15614</v>
      </c>
      <c r="AU127" s="488">
        <v>14876</v>
      </c>
      <c r="AV127" s="479">
        <f t="shared" si="63"/>
        <v>43156</v>
      </c>
      <c r="AW127" s="483">
        <f t="shared" si="64"/>
        <v>1798.1666666666667</v>
      </c>
      <c r="AX127" s="481">
        <f t="shared" si="65"/>
        <v>40705</v>
      </c>
      <c r="AY127" s="484">
        <f t="shared" si="66"/>
        <v>1696.0416666666667</v>
      </c>
      <c r="AZ127" s="485">
        <f t="shared" si="67"/>
        <v>11397.4</v>
      </c>
      <c r="BA127" s="481">
        <f t="shared" si="68"/>
        <v>10779.941666666666</v>
      </c>
    </row>
    <row r="128" spans="1:53">
      <c r="A128" s="805" t="s">
        <v>142</v>
      </c>
      <c r="B128" s="553" t="s">
        <v>342</v>
      </c>
      <c r="C128" s="554"/>
      <c r="D128" s="555">
        <v>138716</v>
      </c>
      <c r="E128" s="556">
        <v>4</v>
      </c>
      <c r="F128" s="486" t="s">
        <v>41</v>
      </c>
      <c r="G128" s="552" t="s">
        <v>41</v>
      </c>
      <c r="H128" s="506"/>
      <c r="I128" s="488"/>
      <c r="J128" s="506">
        <v>49806</v>
      </c>
      <c r="K128" s="488">
        <v>43198</v>
      </c>
      <c r="L128" s="506">
        <v>8308</v>
      </c>
      <c r="M128" s="488">
        <v>7814</v>
      </c>
      <c r="N128" s="506">
        <v>48419</v>
      </c>
      <c r="O128" s="488">
        <v>46411</v>
      </c>
      <c r="P128" s="479">
        <f t="shared" si="51"/>
        <v>106533</v>
      </c>
      <c r="Q128" s="480">
        <f t="shared" si="52"/>
        <v>3551.1</v>
      </c>
      <c r="R128" s="481">
        <f t="shared" si="53"/>
        <v>97423</v>
      </c>
      <c r="S128" s="482">
        <f t="shared" si="54"/>
        <v>3247.4333333333334</v>
      </c>
      <c r="T128" s="506">
        <v>168</v>
      </c>
      <c r="U128" s="557">
        <v>573</v>
      </c>
      <c r="V128" s="479">
        <f t="shared" si="55"/>
        <v>106533</v>
      </c>
      <c r="W128" s="478">
        <f t="shared" si="56"/>
        <v>97423</v>
      </c>
      <c r="X128" s="506"/>
      <c r="Y128" s="488"/>
      <c r="Z128" s="506"/>
      <c r="AA128" s="488"/>
      <c r="AB128" s="506"/>
      <c r="AC128" s="488"/>
      <c r="AD128" s="506"/>
      <c r="AE128" s="507"/>
      <c r="AF128" s="479">
        <f t="shared" si="57"/>
        <v>0</v>
      </c>
      <c r="AG128" s="480">
        <f t="shared" si="58"/>
        <v>0</v>
      </c>
      <c r="AH128" s="481">
        <f t="shared" si="59"/>
        <v>0</v>
      </c>
      <c r="AI128" s="481">
        <f t="shared" si="60"/>
        <v>0</v>
      </c>
      <c r="AJ128" s="487"/>
      <c r="AK128" s="507"/>
      <c r="AL128" s="479">
        <f t="shared" si="61"/>
        <v>0</v>
      </c>
      <c r="AM128" s="482">
        <f t="shared" si="62"/>
        <v>0</v>
      </c>
      <c r="AN128" s="487"/>
      <c r="AO128" s="488"/>
      <c r="AP128" s="487">
        <v>3343</v>
      </c>
      <c r="AQ128" s="488">
        <v>3198</v>
      </c>
      <c r="AR128" s="487">
        <v>1469</v>
      </c>
      <c r="AS128" s="488">
        <v>1954</v>
      </c>
      <c r="AT128" s="487">
        <v>3280</v>
      </c>
      <c r="AU128" s="488">
        <v>3996</v>
      </c>
      <c r="AV128" s="479">
        <f t="shared" si="63"/>
        <v>8092</v>
      </c>
      <c r="AW128" s="483">
        <f t="shared" si="64"/>
        <v>337.16666666666669</v>
      </c>
      <c r="AX128" s="481">
        <f t="shared" si="65"/>
        <v>9148</v>
      </c>
      <c r="AY128" s="484">
        <f t="shared" si="66"/>
        <v>381.16666666666669</v>
      </c>
      <c r="AZ128" s="485">
        <f t="shared" si="67"/>
        <v>3888.2666666666664</v>
      </c>
      <c r="BA128" s="481">
        <f t="shared" si="68"/>
        <v>3628.6</v>
      </c>
    </row>
    <row r="129" spans="1:53">
      <c r="A129" s="805" t="s">
        <v>142</v>
      </c>
      <c r="B129" s="553" t="s">
        <v>343</v>
      </c>
      <c r="C129" s="554"/>
      <c r="D129" s="555">
        <v>138789</v>
      </c>
      <c r="E129" s="556">
        <v>4</v>
      </c>
      <c r="F129" s="486" t="s">
        <v>41</v>
      </c>
      <c r="G129" s="552" t="s">
        <v>41</v>
      </c>
      <c r="H129" s="506"/>
      <c r="I129" s="488"/>
      <c r="J129" s="506">
        <v>75947</v>
      </c>
      <c r="K129" s="488">
        <v>74538</v>
      </c>
      <c r="L129" s="506">
        <v>19748</v>
      </c>
      <c r="M129" s="488">
        <v>18876</v>
      </c>
      <c r="N129" s="506">
        <v>80411</v>
      </c>
      <c r="O129" s="488">
        <v>77695</v>
      </c>
      <c r="P129" s="479">
        <f t="shared" si="51"/>
        <v>176106</v>
      </c>
      <c r="Q129" s="480">
        <f t="shared" si="52"/>
        <v>5870.2</v>
      </c>
      <c r="R129" s="481">
        <f t="shared" si="53"/>
        <v>171109</v>
      </c>
      <c r="S129" s="482">
        <f t="shared" si="54"/>
        <v>5703.6333333333332</v>
      </c>
      <c r="T129" s="506">
        <v>745</v>
      </c>
      <c r="U129" s="557">
        <v>783</v>
      </c>
      <c r="V129" s="479">
        <f t="shared" si="55"/>
        <v>176106</v>
      </c>
      <c r="W129" s="478">
        <f t="shared" si="56"/>
        <v>171109</v>
      </c>
      <c r="X129" s="506"/>
      <c r="Y129" s="488"/>
      <c r="Z129" s="506"/>
      <c r="AA129" s="488"/>
      <c r="AB129" s="506"/>
      <c r="AC129" s="488"/>
      <c r="AD129" s="506"/>
      <c r="AE129" s="507"/>
      <c r="AF129" s="479">
        <f t="shared" si="57"/>
        <v>0</v>
      </c>
      <c r="AG129" s="480">
        <f t="shared" si="58"/>
        <v>0</v>
      </c>
      <c r="AH129" s="481">
        <f t="shared" si="59"/>
        <v>0</v>
      </c>
      <c r="AI129" s="481">
        <f t="shared" si="60"/>
        <v>0</v>
      </c>
      <c r="AJ129" s="487"/>
      <c r="AK129" s="507"/>
      <c r="AL129" s="479">
        <f t="shared" si="61"/>
        <v>0</v>
      </c>
      <c r="AM129" s="482">
        <f t="shared" si="62"/>
        <v>0</v>
      </c>
      <c r="AN129" s="487"/>
      <c r="AO129" s="488"/>
      <c r="AP129" s="487">
        <v>4748</v>
      </c>
      <c r="AQ129" s="488">
        <v>5003</v>
      </c>
      <c r="AR129" s="487">
        <v>3403</v>
      </c>
      <c r="AS129" s="488">
        <v>3194</v>
      </c>
      <c r="AT129" s="487">
        <v>5208</v>
      </c>
      <c r="AU129" s="488">
        <v>5514</v>
      </c>
      <c r="AV129" s="479">
        <f t="shared" si="63"/>
        <v>13359</v>
      </c>
      <c r="AW129" s="483">
        <f t="shared" si="64"/>
        <v>556.625</v>
      </c>
      <c r="AX129" s="481">
        <f t="shared" si="65"/>
        <v>13711</v>
      </c>
      <c r="AY129" s="484">
        <f t="shared" si="66"/>
        <v>571.29166666666663</v>
      </c>
      <c r="AZ129" s="485">
        <f t="shared" si="67"/>
        <v>6426.8249999999998</v>
      </c>
      <c r="BA129" s="481">
        <f t="shared" si="68"/>
        <v>6274.9250000000002</v>
      </c>
    </row>
    <row r="130" spans="1:53">
      <c r="A130" s="805" t="s">
        <v>142</v>
      </c>
      <c r="B130" s="553" t="s">
        <v>344</v>
      </c>
      <c r="C130" s="554"/>
      <c r="D130" s="555">
        <v>139366</v>
      </c>
      <c r="E130" s="556">
        <v>4</v>
      </c>
      <c r="F130" s="486" t="s">
        <v>41</v>
      </c>
      <c r="G130" s="552" t="s">
        <v>41</v>
      </c>
      <c r="H130" s="506"/>
      <c r="I130" s="488"/>
      <c r="J130" s="506">
        <v>78739</v>
      </c>
      <c r="K130" s="488">
        <v>78937</v>
      </c>
      <c r="L130" s="506">
        <v>18584</v>
      </c>
      <c r="M130" s="488">
        <v>18124</v>
      </c>
      <c r="N130" s="506">
        <v>83625</v>
      </c>
      <c r="O130" s="488">
        <v>82957</v>
      </c>
      <c r="P130" s="479">
        <f t="shared" si="51"/>
        <v>180948</v>
      </c>
      <c r="Q130" s="480">
        <f t="shared" si="52"/>
        <v>6031.6</v>
      </c>
      <c r="R130" s="481">
        <f t="shared" si="53"/>
        <v>180018</v>
      </c>
      <c r="S130" s="482">
        <f t="shared" si="54"/>
        <v>6000.6</v>
      </c>
      <c r="T130" s="506">
        <v>942</v>
      </c>
      <c r="U130" s="557">
        <v>1471</v>
      </c>
      <c r="V130" s="479">
        <f t="shared" si="55"/>
        <v>180948</v>
      </c>
      <c r="W130" s="478">
        <f t="shared" si="56"/>
        <v>180018</v>
      </c>
      <c r="X130" s="506"/>
      <c r="Y130" s="488"/>
      <c r="Z130" s="506"/>
      <c r="AA130" s="488"/>
      <c r="AB130" s="506"/>
      <c r="AC130" s="488"/>
      <c r="AD130" s="506"/>
      <c r="AE130" s="507"/>
      <c r="AF130" s="479">
        <f t="shared" si="57"/>
        <v>0</v>
      </c>
      <c r="AG130" s="480">
        <f t="shared" si="58"/>
        <v>0</v>
      </c>
      <c r="AH130" s="481">
        <f t="shared" si="59"/>
        <v>0</v>
      </c>
      <c r="AI130" s="481">
        <f t="shared" si="60"/>
        <v>0</v>
      </c>
      <c r="AJ130" s="487"/>
      <c r="AK130" s="507"/>
      <c r="AL130" s="479">
        <f t="shared" si="61"/>
        <v>0</v>
      </c>
      <c r="AM130" s="482">
        <f t="shared" si="62"/>
        <v>0</v>
      </c>
      <c r="AN130" s="487"/>
      <c r="AO130" s="488"/>
      <c r="AP130" s="487">
        <v>7889</v>
      </c>
      <c r="AQ130" s="488">
        <v>7266</v>
      </c>
      <c r="AR130" s="487">
        <v>4950</v>
      </c>
      <c r="AS130" s="488">
        <v>4138</v>
      </c>
      <c r="AT130" s="487">
        <v>7897</v>
      </c>
      <c r="AU130" s="488">
        <v>7685</v>
      </c>
      <c r="AV130" s="479">
        <f t="shared" si="63"/>
        <v>20736</v>
      </c>
      <c r="AW130" s="483">
        <f t="shared" si="64"/>
        <v>864</v>
      </c>
      <c r="AX130" s="481">
        <f t="shared" si="65"/>
        <v>19089</v>
      </c>
      <c r="AY130" s="484">
        <f t="shared" si="66"/>
        <v>795.375</v>
      </c>
      <c r="AZ130" s="485">
        <f t="shared" si="67"/>
        <v>6895.6</v>
      </c>
      <c r="BA130" s="481">
        <f t="shared" si="68"/>
        <v>6795.9750000000004</v>
      </c>
    </row>
    <row r="131" spans="1:53">
      <c r="A131" s="805" t="s">
        <v>142</v>
      </c>
      <c r="B131" s="553" t="s">
        <v>345</v>
      </c>
      <c r="C131" s="554"/>
      <c r="D131" s="555">
        <v>139861</v>
      </c>
      <c r="E131" s="556">
        <v>4</v>
      </c>
      <c r="F131" s="486" t="s">
        <v>41</v>
      </c>
      <c r="G131" s="552" t="s">
        <v>41</v>
      </c>
      <c r="H131" s="506"/>
      <c r="I131" s="488"/>
      <c r="J131" s="506">
        <v>73639</v>
      </c>
      <c r="K131" s="488">
        <v>74198</v>
      </c>
      <c r="L131" s="506">
        <v>14223</v>
      </c>
      <c r="M131" s="488">
        <v>15261</v>
      </c>
      <c r="N131" s="506">
        <v>77778.5</v>
      </c>
      <c r="O131" s="488">
        <v>79727</v>
      </c>
      <c r="P131" s="479">
        <f t="shared" si="51"/>
        <v>165640.5</v>
      </c>
      <c r="Q131" s="480">
        <f t="shared" si="52"/>
        <v>5521.35</v>
      </c>
      <c r="R131" s="481">
        <f t="shared" si="53"/>
        <v>169186</v>
      </c>
      <c r="S131" s="482">
        <f t="shared" si="54"/>
        <v>5639.5333333333338</v>
      </c>
      <c r="T131" s="506">
        <v>618</v>
      </c>
      <c r="U131" s="557">
        <v>738</v>
      </c>
      <c r="V131" s="479">
        <f t="shared" si="55"/>
        <v>165640.5</v>
      </c>
      <c r="W131" s="478">
        <f t="shared" si="56"/>
        <v>169186</v>
      </c>
      <c r="X131" s="506"/>
      <c r="Y131" s="488"/>
      <c r="Z131" s="506"/>
      <c r="AA131" s="488"/>
      <c r="AB131" s="506"/>
      <c r="AC131" s="488"/>
      <c r="AD131" s="506"/>
      <c r="AE131" s="507"/>
      <c r="AF131" s="479">
        <f t="shared" si="57"/>
        <v>0</v>
      </c>
      <c r="AG131" s="480">
        <f t="shared" si="58"/>
        <v>0</v>
      </c>
      <c r="AH131" s="481">
        <f t="shared" si="59"/>
        <v>0</v>
      </c>
      <c r="AI131" s="481">
        <f t="shared" si="60"/>
        <v>0</v>
      </c>
      <c r="AJ131" s="487"/>
      <c r="AK131" s="507"/>
      <c r="AL131" s="479">
        <f t="shared" si="61"/>
        <v>0</v>
      </c>
      <c r="AM131" s="482">
        <f t="shared" si="62"/>
        <v>0</v>
      </c>
      <c r="AN131" s="487"/>
      <c r="AO131" s="488"/>
      <c r="AP131" s="487">
        <v>7123</v>
      </c>
      <c r="AQ131" s="488">
        <v>6312</v>
      </c>
      <c r="AR131" s="487">
        <v>4740</v>
      </c>
      <c r="AS131" s="488">
        <v>4318</v>
      </c>
      <c r="AT131" s="487">
        <v>6654</v>
      </c>
      <c r="AU131" s="488">
        <v>6467</v>
      </c>
      <c r="AV131" s="479">
        <f t="shared" si="63"/>
        <v>18517</v>
      </c>
      <c r="AW131" s="483">
        <f t="shared" si="64"/>
        <v>771.54166666666663</v>
      </c>
      <c r="AX131" s="481">
        <f t="shared" si="65"/>
        <v>17097</v>
      </c>
      <c r="AY131" s="484">
        <f t="shared" si="66"/>
        <v>712.375</v>
      </c>
      <c r="AZ131" s="485">
        <f t="shared" si="67"/>
        <v>6292.8916666666673</v>
      </c>
      <c r="BA131" s="481">
        <f t="shared" si="68"/>
        <v>6351.9083333333338</v>
      </c>
    </row>
    <row r="132" spans="1:53">
      <c r="A132" s="805" t="s">
        <v>142</v>
      </c>
      <c r="B132" s="806" t="s">
        <v>958</v>
      </c>
      <c r="C132" s="554"/>
      <c r="D132" s="807">
        <v>482149</v>
      </c>
      <c r="E132" s="556">
        <v>4</v>
      </c>
      <c r="F132" s="486" t="s">
        <v>41</v>
      </c>
      <c r="G132" s="552" t="s">
        <v>41</v>
      </c>
      <c r="H132" s="506"/>
      <c r="I132" s="488"/>
      <c r="J132" s="506">
        <v>65008</v>
      </c>
      <c r="K132" s="812">
        <v>66889</v>
      </c>
      <c r="L132" s="506">
        <v>14796</v>
      </c>
      <c r="M132" s="812">
        <v>14354</v>
      </c>
      <c r="N132" s="506">
        <v>67328</v>
      </c>
      <c r="O132" s="488">
        <v>71160</v>
      </c>
      <c r="P132" s="479">
        <f t="shared" si="51"/>
        <v>147132</v>
      </c>
      <c r="Q132" s="480">
        <f t="shared" si="52"/>
        <v>4904.3999999999996</v>
      </c>
      <c r="R132" s="481">
        <f t="shared" si="53"/>
        <v>152403</v>
      </c>
      <c r="S132" s="482">
        <f t="shared" si="54"/>
        <v>5080.1000000000004</v>
      </c>
      <c r="T132" s="506">
        <v>946</v>
      </c>
      <c r="U132" s="557">
        <v>1121</v>
      </c>
      <c r="V132" s="479">
        <f t="shared" si="55"/>
        <v>147132</v>
      </c>
      <c r="W132" s="478">
        <f t="shared" si="56"/>
        <v>152403</v>
      </c>
      <c r="X132" s="506"/>
      <c r="Y132" s="488"/>
      <c r="Z132" s="506"/>
      <c r="AA132" s="488"/>
      <c r="AB132" s="506"/>
      <c r="AC132" s="488"/>
      <c r="AD132" s="506"/>
      <c r="AE132" s="507"/>
      <c r="AF132" s="479">
        <f t="shared" si="57"/>
        <v>0</v>
      </c>
      <c r="AG132" s="480">
        <f t="shared" si="58"/>
        <v>0</v>
      </c>
      <c r="AH132" s="481">
        <f t="shared" si="59"/>
        <v>0</v>
      </c>
      <c r="AI132" s="481">
        <f t="shared" si="60"/>
        <v>0</v>
      </c>
      <c r="AJ132" s="487"/>
      <c r="AK132" s="507"/>
      <c r="AL132" s="479">
        <f t="shared" si="61"/>
        <v>0</v>
      </c>
      <c r="AM132" s="482">
        <f t="shared" si="62"/>
        <v>0</v>
      </c>
      <c r="AN132" s="487"/>
      <c r="AO132" s="488"/>
      <c r="AP132" s="487">
        <v>5524</v>
      </c>
      <c r="AQ132" s="812">
        <v>14918</v>
      </c>
      <c r="AR132" s="487">
        <v>2945</v>
      </c>
      <c r="AS132" s="812">
        <v>11398</v>
      </c>
      <c r="AT132" s="487">
        <v>5221</v>
      </c>
      <c r="AU132" s="812">
        <v>17215</v>
      </c>
      <c r="AV132" s="479">
        <f t="shared" si="63"/>
        <v>13690</v>
      </c>
      <c r="AW132" s="483">
        <f t="shared" si="64"/>
        <v>570.41666666666663</v>
      </c>
      <c r="AX132" s="481">
        <f t="shared" si="65"/>
        <v>43531</v>
      </c>
      <c r="AY132" s="484">
        <f t="shared" si="66"/>
        <v>1813.7916666666667</v>
      </c>
      <c r="AZ132" s="485">
        <f t="shared" si="67"/>
        <v>5474.8166666666666</v>
      </c>
      <c r="BA132" s="481">
        <f t="shared" si="68"/>
        <v>6893.8916666666673</v>
      </c>
    </row>
    <row r="133" spans="1:53">
      <c r="A133" s="805" t="s">
        <v>142</v>
      </c>
      <c r="B133" s="553" t="s">
        <v>346</v>
      </c>
      <c r="C133" s="559" t="s">
        <v>612</v>
      </c>
      <c r="D133" s="555">
        <v>140164</v>
      </c>
      <c r="E133" s="560">
        <v>3</v>
      </c>
      <c r="F133" s="486" t="s">
        <v>41</v>
      </c>
      <c r="G133" s="552" t="s">
        <v>41</v>
      </c>
      <c r="H133" s="506"/>
      <c r="I133" s="488"/>
      <c r="J133" s="506">
        <v>256602</v>
      </c>
      <c r="K133" s="488">
        <v>253256</v>
      </c>
      <c r="L133" s="506">
        <v>65036</v>
      </c>
      <c r="M133" s="488">
        <v>62001</v>
      </c>
      <c r="N133" s="506">
        <v>273537</v>
      </c>
      <c r="O133" s="488">
        <v>272769</v>
      </c>
      <c r="P133" s="479">
        <f t="shared" si="51"/>
        <v>595175</v>
      </c>
      <c r="Q133" s="480">
        <f t="shared" si="52"/>
        <v>19839.166666666668</v>
      </c>
      <c r="R133" s="481">
        <f t="shared" si="53"/>
        <v>588026</v>
      </c>
      <c r="S133" s="482">
        <f t="shared" si="54"/>
        <v>19600.866666666665</v>
      </c>
      <c r="T133" s="506">
        <v>3923</v>
      </c>
      <c r="U133" s="557">
        <v>4830</v>
      </c>
      <c r="V133" s="479">
        <f t="shared" si="55"/>
        <v>595175</v>
      </c>
      <c r="W133" s="478">
        <f t="shared" si="56"/>
        <v>588026</v>
      </c>
      <c r="X133" s="506"/>
      <c r="Y133" s="488"/>
      <c r="Z133" s="506"/>
      <c r="AA133" s="488"/>
      <c r="AB133" s="506"/>
      <c r="AC133" s="488"/>
      <c r="AD133" s="506"/>
      <c r="AE133" s="507"/>
      <c r="AF133" s="479">
        <f t="shared" si="57"/>
        <v>0</v>
      </c>
      <c r="AG133" s="480">
        <f t="shared" si="58"/>
        <v>0</v>
      </c>
      <c r="AH133" s="481">
        <f t="shared" si="59"/>
        <v>0</v>
      </c>
      <c r="AI133" s="481">
        <f t="shared" si="60"/>
        <v>0</v>
      </c>
      <c r="AJ133" s="487"/>
      <c r="AK133" s="507"/>
      <c r="AL133" s="479">
        <f t="shared" si="61"/>
        <v>0</v>
      </c>
      <c r="AM133" s="482">
        <f t="shared" si="62"/>
        <v>0</v>
      </c>
      <c r="AN133" s="487"/>
      <c r="AO133" s="488"/>
      <c r="AP133" s="487">
        <v>13000</v>
      </c>
      <c r="AQ133" s="488">
        <v>13363</v>
      </c>
      <c r="AR133" s="487">
        <v>8065</v>
      </c>
      <c r="AS133" s="488">
        <v>8872</v>
      </c>
      <c r="AT133" s="487">
        <v>14268</v>
      </c>
      <c r="AU133" s="488">
        <v>14927</v>
      </c>
      <c r="AV133" s="479">
        <f t="shared" si="63"/>
        <v>35333</v>
      </c>
      <c r="AW133" s="483">
        <f t="shared" si="64"/>
        <v>1472.2083333333333</v>
      </c>
      <c r="AX133" s="481">
        <f t="shared" si="65"/>
        <v>37162</v>
      </c>
      <c r="AY133" s="484">
        <f t="shared" si="66"/>
        <v>1548.4166666666667</v>
      </c>
      <c r="AZ133" s="485">
        <f t="shared" si="67"/>
        <v>21311.375</v>
      </c>
      <c r="BA133" s="481">
        <f t="shared" si="68"/>
        <v>21149.283333333333</v>
      </c>
    </row>
    <row r="134" spans="1:53">
      <c r="A134" s="805" t="s">
        <v>142</v>
      </c>
      <c r="B134" s="808" t="s">
        <v>959</v>
      </c>
      <c r="C134" s="554"/>
      <c r="D134" s="809">
        <v>482680</v>
      </c>
      <c r="E134" s="556">
        <v>4</v>
      </c>
      <c r="F134" s="486" t="s">
        <v>41</v>
      </c>
      <c r="G134" s="552" t="s">
        <v>41</v>
      </c>
      <c r="H134" s="506"/>
      <c r="I134" s="488"/>
      <c r="J134" s="813">
        <v>153861</v>
      </c>
      <c r="K134" s="814">
        <v>156880</v>
      </c>
      <c r="L134" s="813">
        <v>36677</v>
      </c>
      <c r="M134" s="814">
        <v>31508</v>
      </c>
      <c r="N134" s="813">
        <v>169905</v>
      </c>
      <c r="O134" s="488">
        <v>173067</v>
      </c>
      <c r="P134" s="479">
        <f t="shared" si="51"/>
        <v>360443</v>
      </c>
      <c r="Q134" s="480">
        <f t="shared" si="52"/>
        <v>12014.766666666666</v>
      </c>
      <c r="R134" s="481">
        <f t="shared" si="53"/>
        <v>361455</v>
      </c>
      <c r="S134" s="482">
        <f t="shared" si="54"/>
        <v>12048.5</v>
      </c>
      <c r="T134" s="813">
        <v>2644</v>
      </c>
      <c r="U134" s="557">
        <v>3818</v>
      </c>
      <c r="V134" s="479">
        <f t="shared" si="55"/>
        <v>360443</v>
      </c>
      <c r="W134" s="478">
        <f t="shared" si="56"/>
        <v>361455</v>
      </c>
      <c r="X134" s="506"/>
      <c r="Y134" s="488"/>
      <c r="Z134" s="506"/>
      <c r="AA134" s="488"/>
      <c r="AB134" s="506"/>
      <c r="AC134" s="488"/>
      <c r="AD134" s="506"/>
      <c r="AE134" s="507"/>
      <c r="AF134" s="479">
        <f t="shared" si="57"/>
        <v>0</v>
      </c>
      <c r="AG134" s="480">
        <f t="shared" si="58"/>
        <v>0</v>
      </c>
      <c r="AH134" s="481">
        <f t="shared" si="59"/>
        <v>0</v>
      </c>
      <c r="AI134" s="481">
        <f t="shared" si="60"/>
        <v>0</v>
      </c>
      <c r="AJ134" s="487"/>
      <c r="AK134" s="507"/>
      <c r="AL134" s="479">
        <f t="shared" si="61"/>
        <v>0</v>
      </c>
      <c r="AM134" s="482">
        <f t="shared" si="62"/>
        <v>0</v>
      </c>
      <c r="AN134" s="487"/>
      <c r="AO134" s="488"/>
      <c r="AP134" s="815">
        <v>3966</v>
      </c>
      <c r="AQ134" s="814">
        <v>4186</v>
      </c>
      <c r="AR134" s="815">
        <v>3378</v>
      </c>
      <c r="AS134" s="814">
        <v>3503</v>
      </c>
      <c r="AT134" s="815">
        <v>4130</v>
      </c>
      <c r="AU134" s="488">
        <v>4224</v>
      </c>
      <c r="AV134" s="479">
        <f t="shared" si="63"/>
        <v>11474</v>
      </c>
      <c r="AW134" s="483">
        <f t="shared" si="64"/>
        <v>478.08333333333331</v>
      </c>
      <c r="AX134" s="481">
        <f t="shared" si="65"/>
        <v>11913</v>
      </c>
      <c r="AY134" s="484">
        <f t="shared" si="66"/>
        <v>496.375</v>
      </c>
      <c r="AZ134" s="485">
        <f t="shared" si="67"/>
        <v>12492.85</v>
      </c>
      <c r="BA134" s="481">
        <f t="shared" si="68"/>
        <v>12544.875</v>
      </c>
    </row>
    <row r="135" spans="1:53">
      <c r="A135" s="805" t="s">
        <v>142</v>
      </c>
      <c r="B135" s="558" t="s">
        <v>347</v>
      </c>
      <c r="C135" s="554" t="s">
        <v>962</v>
      </c>
      <c r="D135" s="555">
        <v>139311</v>
      </c>
      <c r="E135" s="556">
        <v>5</v>
      </c>
      <c r="F135" s="486" t="s">
        <v>41</v>
      </c>
      <c r="G135" s="552" t="s">
        <v>41</v>
      </c>
      <c r="H135" s="506"/>
      <c r="I135" s="488"/>
      <c r="J135" s="506">
        <v>70640</v>
      </c>
      <c r="K135" s="488">
        <v>71045</v>
      </c>
      <c r="L135" s="506">
        <v>23185</v>
      </c>
      <c r="M135" s="488">
        <v>21715</v>
      </c>
      <c r="N135" s="506">
        <v>73336</v>
      </c>
      <c r="O135" s="488">
        <v>74098</v>
      </c>
      <c r="P135" s="479">
        <f t="shared" si="51"/>
        <v>167161</v>
      </c>
      <c r="Q135" s="480">
        <f t="shared" si="52"/>
        <v>5572.0333333333338</v>
      </c>
      <c r="R135" s="481">
        <f t="shared" si="53"/>
        <v>166858</v>
      </c>
      <c r="S135" s="482">
        <f t="shared" si="54"/>
        <v>5561.9333333333334</v>
      </c>
      <c r="T135" s="506">
        <v>4352</v>
      </c>
      <c r="U135" s="557">
        <v>5496</v>
      </c>
      <c r="V135" s="479">
        <f t="shared" si="55"/>
        <v>167161</v>
      </c>
      <c r="W135" s="478">
        <f t="shared" si="56"/>
        <v>166858</v>
      </c>
      <c r="X135" s="506"/>
      <c r="Y135" s="488"/>
      <c r="Z135" s="506"/>
      <c r="AA135" s="488"/>
      <c r="AB135" s="506"/>
      <c r="AC135" s="488"/>
      <c r="AD135" s="506"/>
      <c r="AE135" s="507"/>
      <c r="AF135" s="479">
        <f t="shared" si="57"/>
        <v>0</v>
      </c>
      <c r="AG135" s="480">
        <f t="shared" si="58"/>
        <v>0</v>
      </c>
      <c r="AH135" s="481">
        <f t="shared" si="59"/>
        <v>0</v>
      </c>
      <c r="AI135" s="481">
        <f t="shared" si="60"/>
        <v>0</v>
      </c>
      <c r="AJ135" s="487"/>
      <c r="AK135" s="507"/>
      <c r="AL135" s="479">
        <f t="shared" si="61"/>
        <v>0</v>
      </c>
      <c r="AM135" s="482">
        <f t="shared" si="62"/>
        <v>0</v>
      </c>
      <c r="AN135" s="487"/>
      <c r="AO135" s="488"/>
      <c r="AP135" s="487">
        <v>2096</v>
      </c>
      <c r="AQ135" s="488">
        <v>2615</v>
      </c>
      <c r="AR135" s="487">
        <v>1316</v>
      </c>
      <c r="AS135" s="488">
        <v>1500</v>
      </c>
      <c r="AT135" s="487">
        <v>2294</v>
      </c>
      <c r="AU135" s="488">
        <v>2538</v>
      </c>
      <c r="AV135" s="479">
        <f t="shared" si="63"/>
        <v>5706</v>
      </c>
      <c r="AW135" s="483">
        <f t="shared" si="64"/>
        <v>237.75</v>
      </c>
      <c r="AX135" s="481">
        <f t="shared" si="65"/>
        <v>6653</v>
      </c>
      <c r="AY135" s="484">
        <f t="shared" si="66"/>
        <v>277.20833333333331</v>
      </c>
      <c r="AZ135" s="485">
        <f t="shared" si="67"/>
        <v>5809.7833333333338</v>
      </c>
      <c r="BA135" s="481">
        <f t="shared" si="68"/>
        <v>5839.1416666666664</v>
      </c>
    </row>
    <row r="136" spans="1:53">
      <c r="A136" s="805" t="s">
        <v>142</v>
      </c>
      <c r="B136" s="553" t="s">
        <v>348</v>
      </c>
      <c r="C136" s="554" t="s">
        <v>613</v>
      </c>
      <c r="D136" s="555">
        <v>139719</v>
      </c>
      <c r="E136" s="556">
        <v>5</v>
      </c>
      <c r="F136" s="486" t="s">
        <v>41</v>
      </c>
      <c r="G136" s="552" t="s">
        <v>41</v>
      </c>
      <c r="H136" s="506"/>
      <c r="I136" s="488"/>
      <c r="J136" s="506">
        <v>45657</v>
      </c>
      <c r="K136" s="488">
        <v>38628</v>
      </c>
      <c r="L136" s="506">
        <v>7184</v>
      </c>
      <c r="M136" s="488">
        <v>5387</v>
      </c>
      <c r="N136" s="506">
        <v>43648</v>
      </c>
      <c r="O136" s="488">
        <v>38335</v>
      </c>
      <c r="P136" s="479">
        <f t="shared" ref="P136:P199" si="69">SUM(H136,J136,L136,N136)</f>
        <v>96489</v>
      </c>
      <c r="Q136" s="480">
        <f t="shared" ref="Q136:Q199" si="70">+P136/30</f>
        <v>3216.3</v>
      </c>
      <c r="R136" s="481">
        <f t="shared" ref="R136:R199" si="71">SUM(I136,K136,M136,O136)</f>
        <v>82350</v>
      </c>
      <c r="S136" s="482">
        <f t="shared" ref="S136:S199" si="72">+R136/30</f>
        <v>2745</v>
      </c>
      <c r="T136" s="506">
        <v>197</v>
      </c>
      <c r="U136" s="557">
        <v>291</v>
      </c>
      <c r="V136" s="479">
        <f t="shared" ref="V136:V199" si="73">IF(ISBLANK(T136),0,P136)</f>
        <v>96489</v>
      </c>
      <c r="W136" s="478">
        <f t="shared" ref="W136:W199" si="74">IF(ISBLANK(U136),0,R136)</f>
        <v>82350</v>
      </c>
      <c r="X136" s="506"/>
      <c r="Y136" s="488"/>
      <c r="Z136" s="506"/>
      <c r="AA136" s="488"/>
      <c r="AB136" s="506"/>
      <c r="AC136" s="488"/>
      <c r="AD136" s="506"/>
      <c r="AE136" s="507"/>
      <c r="AF136" s="479">
        <f t="shared" ref="AF136:AF199" si="75">SUM(X136,Z136,AB136,AD136)</f>
        <v>0</v>
      </c>
      <c r="AG136" s="480">
        <f t="shared" ref="AG136:AG199" si="76">+AF136/900</f>
        <v>0</v>
      </c>
      <c r="AH136" s="481">
        <f t="shared" ref="AH136:AH199" si="77">SUM(Y136,AA136,AC136,AE136)</f>
        <v>0</v>
      </c>
      <c r="AI136" s="481">
        <f t="shared" ref="AI136:AI199" si="78">+AH136/900</f>
        <v>0</v>
      </c>
      <c r="AJ136" s="487"/>
      <c r="AK136" s="507"/>
      <c r="AL136" s="479">
        <f t="shared" ref="AL136:AL199" si="79">IF(ISBLANK(AJ136),0,AF136)</f>
        <v>0</v>
      </c>
      <c r="AM136" s="482">
        <f t="shared" ref="AM136:AM199" si="80">IF(ISBLANK(AK136),0,AH136)</f>
        <v>0</v>
      </c>
      <c r="AN136" s="487"/>
      <c r="AO136" s="488"/>
      <c r="AP136" s="487">
        <v>2037</v>
      </c>
      <c r="AQ136" s="488">
        <v>2243</v>
      </c>
      <c r="AR136" s="487">
        <v>905</v>
      </c>
      <c r="AS136" s="488">
        <v>833</v>
      </c>
      <c r="AT136" s="487">
        <v>2100</v>
      </c>
      <c r="AU136" s="488">
        <v>2029</v>
      </c>
      <c r="AV136" s="479">
        <f t="shared" ref="AV136:AV199" si="81">SUM(AN136,AP136,AR136,AT136)</f>
        <v>5042</v>
      </c>
      <c r="AW136" s="483">
        <f t="shared" ref="AW136:AW199" si="82">+AV136/24</f>
        <v>210.08333333333334</v>
      </c>
      <c r="AX136" s="481">
        <f t="shared" ref="AX136:AX199" si="83">SUM(AO136,AQ136,AS136,AU136)</f>
        <v>5105</v>
      </c>
      <c r="AY136" s="484">
        <f t="shared" ref="AY136:AY199" si="84">+AX136/24</f>
        <v>212.70833333333334</v>
      </c>
      <c r="AZ136" s="485">
        <f t="shared" ref="AZ136:AZ199" si="85">SUM(Q136,AG136,AW136)</f>
        <v>3426.3833333333337</v>
      </c>
      <c r="BA136" s="481">
        <f t="shared" ref="BA136:BA199" si="86">SUM(S136,AI136,AY136)</f>
        <v>2957.7083333333335</v>
      </c>
    </row>
    <row r="137" spans="1:53">
      <c r="A137" s="805" t="s">
        <v>142</v>
      </c>
      <c r="B137" s="553" t="s">
        <v>349</v>
      </c>
      <c r="C137" s="554"/>
      <c r="D137" s="555">
        <v>139764</v>
      </c>
      <c r="E137" s="556">
        <v>5</v>
      </c>
      <c r="F137" s="486" t="s">
        <v>41</v>
      </c>
      <c r="G137" s="552" t="s">
        <v>41</v>
      </c>
      <c r="H137" s="506"/>
      <c r="I137" s="488"/>
      <c r="J137" s="506">
        <v>31388</v>
      </c>
      <c r="K137" s="488">
        <v>30543</v>
      </c>
      <c r="L137" s="506">
        <v>10470</v>
      </c>
      <c r="M137" s="488">
        <v>10462</v>
      </c>
      <c r="N137" s="506">
        <v>32746</v>
      </c>
      <c r="O137" s="488">
        <v>31331</v>
      </c>
      <c r="P137" s="479">
        <f t="shared" si="69"/>
        <v>74604</v>
      </c>
      <c r="Q137" s="480">
        <f t="shared" si="70"/>
        <v>2486.8000000000002</v>
      </c>
      <c r="R137" s="481">
        <f t="shared" si="71"/>
        <v>72336</v>
      </c>
      <c r="S137" s="482">
        <f t="shared" si="72"/>
        <v>2411.1999999999998</v>
      </c>
      <c r="T137" s="506">
        <v>399</v>
      </c>
      <c r="U137" s="557">
        <v>365</v>
      </c>
      <c r="V137" s="479">
        <f t="shared" si="73"/>
        <v>74604</v>
      </c>
      <c r="W137" s="478">
        <f t="shared" si="74"/>
        <v>72336</v>
      </c>
      <c r="X137" s="506"/>
      <c r="Y137" s="488"/>
      <c r="Z137" s="506"/>
      <c r="AA137" s="488"/>
      <c r="AB137" s="506"/>
      <c r="AC137" s="488"/>
      <c r="AD137" s="506"/>
      <c r="AE137" s="507"/>
      <c r="AF137" s="479">
        <f t="shared" si="75"/>
        <v>0</v>
      </c>
      <c r="AG137" s="480">
        <f t="shared" si="76"/>
        <v>0</v>
      </c>
      <c r="AH137" s="481">
        <f t="shared" si="77"/>
        <v>0</v>
      </c>
      <c r="AI137" s="481">
        <f t="shared" si="78"/>
        <v>0</v>
      </c>
      <c r="AJ137" s="487"/>
      <c r="AK137" s="507"/>
      <c r="AL137" s="479">
        <f t="shared" si="79"/>
        <v>0</v>
      </c>
      <c r="AM137" s="482">
        <f t="shared" si="80"/>
        <v>0</v>
      </c>
      <c r="AN137" s="487"/>
      <c r="AO137" s="488"/>
      <c r="AP137" s="487">
        <v>1962</v>
      </c>
      <c r="AQ137" s="488">
        <v>1755</v>
      </c>
      <c r="AR137" s="487">
        <v>1950</v>
      </c>
      <c r="AS137" s="488">
        <v>1956</v>
      </c>
      <c r="AT137" s="487">
        <v>1814</v>
      </c>
      <c r="AU137" s="488">
        <v>1043</v>
      </c>
      <c r="AV137" s="479">
        <f t="shared" si="81"/>
        <v>5726</v>
      </c>
      <c r="AW137" s="483">
        <f t="shared" si="82"/>
        <v>238.58333333333334</v>
      </c>
      <c r="AX137" s="481">
        <f t="shared" si="83"/>
        <v>4754</v>
      </c>
      <c r="AY137" s="484">
        <f t="shared" si="84"/>
        <v>198.08333333333334</v>
      </c>
      <c r="AZ137" s="485">
        <f t="shared" si="85"/>
        <v>2725.3833333333337</v>
      </c>
      <c r="BA137" s="481">
        <f t="shared" si="86"/>
        <v>2609.2833333333333</v>
      </c>
    </row>
    <row r="138" spans="1:53">
      <c r="A138" s="805" t="s">
        <v>142</v>
      </c>
      <c r="B138" s="553" t="s">
        <v>350</v>
      </c>
      <c r="C138" s="554"/>
      <c r="D138" s="555">
        <v>140960</v>
      </c>
      <c r="E138" s="556">
        <v>5</v>
      </c>
      <c r="F138" s="486" t="s">
        <v>41</v>
      </c>
      <c r="G138" s="552" t="s">
        <v>41</v>
      </c>
      <c r="H138" s="506"/>
      <c r="I138" s="488"/>
      <c r="J138" s="506">
        <v>52297</v>
      </c>
      <c r="K138" s="488">
        <v>55334</v>
      </c>
      <c r="L138" s="506">
        <v>7997</v>
      </c>
      <c r="M138" s="488">
        <v>7480</v>
      </c>
      <c r="N138" s="506">
        <v>57761</v>
      </c>
      <c r="O138" s="488">
        <v>63526</v>
      </c>
      <c r="P138" s="479">
        <f t="shared" si="69"/>
        <v>118055</v>
      </c>
      <c r="Q138" s="480">
        <f t="shared" si="70"/>
        <v>3935.1666666666665</v>
      </c>
      <c r="R138" s="481">
        <f t="shared" si="71"/>
        <v>126340</v>
      </c>
      <c r="S138" s="482">
        <f t="shared" si="72"/>
        <v>4211.333333333333</v>
      </c>
      <c r="T138" s="506">
        <v>1392</v>
      </c>
      <c r="U138" s="557">
        <v>1370</v>
      </c>
      <c r="V138" s="479">
        <f t="shared" si="73"/>
        <v>118055</v>
      </c>
      <c r="W138" s="478">
        <f t="shared" si="74"/>
        <v>126340</v>
      </c>
      <c r="X138" s="506"/>
      <c r="Y138" s="488"/>
      <c r="Z138" s="506"/>
      <c r="AA138" s="488"/>
      <c r="AB138" s="506"/>
      <c r="AC138" s="488"/>
      <c r="AD138" s="506"/>
      <c r="AE138" s="507"/>
      <c r="AF138" s="479">
        <f t="shared" si="75"/>
        <v>0</v>
      </c>
      <c r="AG138" s="480">
        <f t="shared" si="76"/>
        <v>0</v>
      </c>
      <c r="AH138" s="481">
        <f t="shared" si="77"/>
        <v>0</v>
      </c>
      <c r="AI138" s="481">
        <f t="shared" si="78"/>
        <v>0</v>
      </c>
      <c r="AJ138" s="487"/>
      <c r="AK138" s="507"/>
      <c r="AL138" s="479">
        <f t="shared" si="79"/>
        <v>0</v>
      </c>
      <c r="AM138" s="482">
        <f t="shared" si="80"/>
        <v>0</v>
      </c>
      <c r="AN138" s="487"/>
      <c r="AO138" s="488"/>
      <c r="AP138" s="487">
        <v>1294</v>
      </c>
      <c r="AQ138" s="488">
        <v>1500</v>
      </c>
      <c r="AR138" s="487">
        <v>462</v>
      </c>
      <c r="AS138" s="488">
        <v>408</v>
      </c>
      <c r="AT138" s="487">
        <v>1582</v>
      </c>
      <c r="AU138" s="488">
        <v>1749</v>
      </c>
      <c r="AV138" s="479">
        <f t="shared" si="81"/>
        <v>3338</v>
      </c>
      <c r="AW138" s="483">
        <f t="shared" si="82"/>
        <v>139.08333333333334</v>
      </c>
      <c r="AX138" s="481">
        <f t="shared" si="83"/>
        <v>3657</v>
      </c>
      <c r="AY138" s="484">
        <f t="shared" si="84"/>
        <v>152.375</v>
      </c>
      <c r="AZ138" s="485">
        <f t="shared" si="85"/>
        <v>4074.25</v>
      </c>
      <c r="BA138" s="481">
        <f t="shared" si="86"/>
        <v>4363.708333333333</v>
      </c>
    </row>
    <row r="139" spans="1:53">
      <c r="A139" s="805" t="s">
        <v>142</v>
      </c>
      <c r="B139" s="558" t="s">
        <v>351</v>
      </c>
      <c r="C139" s="559"/>
      <c r="D139" s="555">
        <v>447689</v>
      </c>
      <c r="E139" s="556">
        <v>6</v>
      </c>
      <c r="F139" s="486" t="s">
        <v>41</v>
      </c>
      <c r="G139" s="552" t="s">
        <v>41</v>
      </c>
      <c r="H139" s="506"/>
      <c r="I139" s="488"/>
      <c r="J139" s="506">
        <v>94939</v>
      </c>
      <c r="K139" s="488">
        <v>108716</v>
      </c>
      <c r="L139" s="506">
        <v>19884</v>
      </c>
      <c r="M139" s="488">
        <v>19856</v>
      </c>
      <c r="N139" s="506">
        <v>111197</v>
      </c>
      <c r="O139" s="488">
        <v>115108</v>
      </c>
      <c r="P139" s="479">
        <f t="shared" si="69"/>
        <v>226020</v>
      </c>
      <c r="Q139" s="480">
        <f t="shared" si="70"/>
        <v>7534</v>
      </c>
      <c r="R139" s="481">
        <f t="shared" si="71"/>
        <v>243680</v>
      </c>
      <c r="S139" s="482">
        <f t="shared" si="72"/>
        <v>8122.666666666667</v>
      </c>
      <c r="T139" s="506">
        <v>3645</v>
      </c>
      <c r="U139" s="557">
        <v>4836</v>
      </c>
      <c r="V139" s="479">
        <f t="shared" si="73"/>
        <v>226020</v>
      </c>
      <c r="W139" s="478">
        <f t="shared" si="74"/>
        <v>243680</v>
      </c>
      <c r="X139" s="506"/>
      <c r="Y139" s="488"/>
      <c r="Z139" s="506"/>
      <c r="AA139" s="488"/>
      <c r="AB139" s="506"/>
      <c r="AC139" s="488"/>
      <c r="AD139" s="506"/>
      <c r="AE139" s="507"/>
      <c r="AF139" s="479">
        <f t="shared" si="75"/>
        <v>0</v>
      </c>
      <c r="AG139" s="480">
        <f t="shared" si="76"/>
        <v>0</v>
      </c>
      <c r="AH139" s="481">
        <f t="shared" si="77"/>
        <v>0</v>
      </c>
      <c r="AI139" s="481">
        <f t="shared" si="78"/>
        <v>0</v>
      </c>
      <c r="AJ139" s="487"/>
      <c r="AK139" s="507"/>
      <c r="AL139" s="479">
        <f t="shared" si="79"/>
        <v>0</v>
      </c>
      <c r="AM139" s="482">
        <f t="shared" si="80"/>
        <v>0</v>
      </c>
      <c r="AN139" s="487"/>
      <c r="AO139" s="488"/>
      <c r="AP139" s="487"/>
      <c r="AQ139" s="488"/>
      <c r="AR139" s="487"/>
      <c r="AS139" s="488"/>
      <c r="AT139" s="487"/>
      <c r="AU139" s="488"/>
      <c r="AV139" s="479">
        <f t="shared" si="81"/>
        <v>0</v>
      </c>
      <c r="AW139" s="483">
        <f t="shared" si="82"/>
        <v>0</v>
      </c>
      <c r="AX139" s="481">
        <f t="shared" si="83"/>
        <v>0</v>
      </c>
      <c r="AY139" s="484">
        <f t="shared" si="84"/>
        <v>0</v>
      </c>
      <c r="AZ139" s="485">
        <f t="shared" si="85"/>
        <v>7534</v>
      </c>
      <c r="BA139" s="481">
        <f t="shared" si="86"/>
        <v>8122.666666666667</v>
      </c>
    </row>
    <row r="140" spans="1:53">
      <c r="A140" s="805" t="s">
        <v>142</v>
      </c>
      <c r="B140" s="811" t="s">
        <v>960</v>
      </c>
      <c r="C140" s="554"/>
      <c r="D140" s="809">
        <v>482158</v>
      </c>
      <c r="E140" s="556">
        <v>6</v>
      </c>
      <c r="F140" s="486" t="s">
        <v>41</v>
      </c>
      <c r="G140" s="552" t="s">
        <v>41</v>
      </c>
      <c r="H140" s="506"/>
      <c r="I140" s="488"/>
      <c r="J140" s="813">
        <v>93028</v>
      </c>
      <c r="K140" s="814">
        <v>87789</v>
      </c>
      <c r="L140" s="813">
        <v>28269</v>
      </c>
      <c r="M140" s="814">
        <v>23944</v>
      </c>
      <c r="N140" s="813">
        <v>96646</v>
      </c>
      <c r="O140" s="488">
        <v>88396</v>
      </c>
      <c r="P140" s="479">
        <f t="shared" si="69"/>
        <v>217943</v>
      </c>
      <c r="Q140" s="480">
        <f t="shared" si="70"/>
        <v>7264.7666666666664</v>
      </c>
      <c r="R140" s="481">
        <f t="shared" si="71"/>
        <v>200129</v>
      </c>
      <c r="S140" s="482">
        <f t="shared" si="72"/>
        <v>6670.9666666666662</v>
      </c>
      <c r="T140" s="813">
        <v>5128</v>
      </c>
      <c r="U140" s="557">
        <v>5944</v>
      </c>
      <c r="V140" s="479">
        <f t="shared" si="73"/>
        <v>217943</v>
      </c>
      <c r="W140" s="478">
        <f t="shared" si="74"/>
        <v>200129</v>
      </c>
      <c r="X140" s="506"/>
      <c r="Y140" s="488"/>
      <c r="Z140" s="506"/>
      <c r="AA140" s="488"/>
      <c r="AB140" s="506"/>
      <c r="AC140" s="488"/>
      <c r="AD140" s="506"/>
      <c r="AE140" s="507"/>
      <c r="AF140" s="479">
        <f t="shared" si="75"/>
        <v>0</v>
      </c>
      <c r="AG140" s="480">
        <f t="shared" si="76"/>
        <v>0</v>
      </c>
      <c r="AH140" s="481">
        <f t="shared" si="77"/>
        <v>0</v>
      </c>
      <c r="AI140" s="481">
        <f t="shared" si="78"/>
        <v>0</v>
      </c>
      <c r="AJ140" s="487"/>
      <c r="AK140" s="507"/>
      <c r="AL140" s="479">
        <f t="shared" si="79"/>
        <v>0</v>
      </c>
      <c r="AM140" s="482">
        <f t="shared" si="80"/>
        <v>0</v>
      </c>
      <c r="AN140" s="487"/>
      <c r="AO140" s="488"/>
      <c r="AP140" s="815"/>
      <c r="AQ140" s="814"/>
      <c r="AR140" s="815"/>
      <c r="AS140" s="814"/>
      <c r="AT140" s="815"/>
      <c r="AU140" s="488"/>
      <c r="AV140" s="479">
        <f t="shared" si="81"/>
        <v>0</v>
      </c>
      <c r="AW140" s="483">
        <f t="shared" si="82"/>
        <v>0</v>
      </c>
      <c r="AX140" s="481">
        <f t="shared" si="83"/>
        <v>0</v>
      </c>
      <c r="AY140" s="484">
        <f t="shared" si="84"/>
        <v>0</v>
      </c>
      <c r="AZ140" s="485">
        <f t="shared" si="85"/>
        <v>7264.7666666666664</v>
      </c>
      <c r="BA140" s="481">
        <f t="shared" si="86"/>
        <v>6670.9666666666662</v>
      </c>
    </row>
    <row r="141" spans="1:53">
      <c r="A141" s="805" t="s">
        <v>142</v>
      </c>
      <c r="B141" s="553" t="s">
        <v>352</v>
      </c>
      <c r="C141" s="559" t="s">
        <v>963</v>
      </c>
      <c r="D141" s="555">
        <v>139463</v>
      </c>
      <c r="E141" s="647">
        <v>6</v>
      </c>
      <c r="F141" s="486" t="s">
        <v>41</v>
      </c>
      <c r="G141" s="552" t="s">
        <v>41</v>
      </c>
      <c r="H141" s="506"/>
      <c r="I141" s="488"/>
      <c r="J141" s="506">
        <v>52243</v>
      </c>
      <c r="K141" s="488">
        <v>49096</v>
      </c>
      <c r="L141" s="506">
        <v>11845</v>
      </c>
      <c r="M141" s="488">
        <v>10470</v>
      </c>
      <c r="N141" s="506">
        <v>54418</v>
      </c>
      <c r="O141" s="488">
        <v>55228</v>
      </c>
      <c r="P141" s="479">
        <f t="shared" si="69"/>
        <v>118506</v>
      </c>
      <c r="Q141" s="480">
        <f t="shared" si="70"/>
        <v>3950.2</v>
      </c>
      <c r="R141" s="481">
        <f t="shared" si="71"/>
        <v>114794</v>
      </c>
      <c r="S141" s="482">
        <f t="shared" si="72"/>
        <v>3826.4666666666667</v>
      </c>
      <c r="T141" s="506">
        <v>1004</v>
      </c>
      <c r="U141" s="557">
        <v>1133</v>
      </c>
      <c r="V141" s="479">
        <f t="shared" si="73"/>
        <v>118506</v>
      </c>
      <c r="W141" s="478">
        <f t="shared" si="74"/>
        <v>114794</v>
      </c>
      <c r="X141" s="506"/>
      <c r="Y141" s="488"/>
      <c r="Z141" s="506"/>
      <c r="AA141" s="488"/>
      <c r="AB141" s="506"/>
      <c r="AC141" s="488"/>
      <c r="AD141" s="506"/>
      <c r="AE141" s="507"/>
      <c r="AF141" s="479">
        <f t="shared" si="75"/>
        <v>0</v>
      </c>
      <c r="AG141" s="480">
        <f t="shared" si="76"/>
        <v>0</v>
      </c>
      <c r="AH141" s="481">
        <f t="shared" si="77"/>
        <v>0</v>
      </c>
      <c r="AI141" s="481">
        <f t="shared" si="78"/>
        <v>0</v>
      </c>
      <c r="AJ141" s="487"/>
      <c r="AK141" s="507"/>
      <c r="AL141" s="479">
        <f t="shared" si="79"/>
        <v>0</v>
      </c>
      <c r="AM141" s="482">
        <f t="shared" si="80"/>
        <v>0</v>
      </c>
      <c r="AN141" s="487"/>
      <c r="AO141" s="488"/>
      <c r="AP141" s="487"/>
      <c r="AQ141" s="488"/>
      <c r="AR141" s="487"/>
      <c r="AS141" s="488"/>
      <c r="AT141" s="487"/>
      <c r="AU141" s="488"/>
      <c r="AV141" s="479">
        <f t="shared" si="81"/>
        <v>0</v>
      </c>
      <c r="AW141" s="483">
        <f t="shared" si="82"/>
        <v>0</v>
      </c>
      <c r="AX141" s="481">
        <f t="shared" si="83"/>
        <v>0</v>
      </c>
      <c r="AY141" s="484">
        <f t="shared" si="84"/>
        <v>0</v>
      </c>
      <c r="AZ141" s="485">
        <f t="shared" si="85"/>
        <v>3950.2</v>
      </c>
      <c r="BA141" s="481">
        <f t="shared" si="86"/>
        <v>3826.4666666666667</v>
      </c>
    </row>
    <row r="142" spans="1:53">
      <c r="A142" s="805" t="s">
        <v>142</v>
      </c>
      <c r="B142" s="558" t="s">
        <v>953</v>
      </c>
      <c r="C142" s="559"/>
      <c r="D142" s="555">
        <v>139968</v>
      </c>
      <c r="E142" s="561">
        <v>7</v>
      </c>
      <c r="F142" s="486" t="s">
        <v>41</v>
      </c>
      <c r="G142" s="552" t="s">
        <v>41</v>
      </c>
      <c r="H142" s="506"/>
      <c r="I142" s="488"/>
      <c r="J142" s="506">
        <v>48524</v>
      </c>
      <c r="K142" s="488">
        <v>44192</v>
      </c>
      <c r="L142" s="506">
        <v>6974</v>
      </c>
      <c r="M142" s="488">
        <v>6067</v>
      </c>
      <c r="N142" s="506">
        <v>48916</v>
      </c>
      <c r="O142" s="488">
        <v>49389</v>
      </c>
      <c r="P142" s="479">
        <f t="shared" si="69"/>
        <v>104414</v>
      </c>
      <c r="Q142" s="480">
        <f t="shared" si="70"/>
        <v>3480.4666666666667</v>
      </c>
      <c r="R142" s="481">
        <f t="shared" si="71"/>
        <v>99648</v>
      </c>
      <c r="S142" s="482">
        <f t="shared" si="72"/>
        <v>3321.6</v>
      </c>
      <c r="T142" s="506">
        <v>991</v>
      </c>
      <c r="U142" s="557">
        <v>1856</v>
      </c>
      <c r="V142" s="479">
        <f t="shared" si="73"/>
        <v>104414</v>
      </c>
      <c r="W142" s="478">
        <f t="shared" si="74"/>
        <v>99648</v>
      </c>
      <c r="X142" s="506"/>
      <c r="Y142" s="488"/>
      <c r="Z142" s="506"/>
      <c r="AA142" s="488"/>
      <c r="AB142" s="506"/>
      <c r="AC142" s="488"/>
      <c r="AD142" s="506"/>
      <c r="AE142" s="507"/>
      <c r="AF142" s="479">
        <f t="shared" si="75"/>
        <v>0</v>
      </c>
      <c r="AG142" s="480">
        <f t="shared" si="76"/>
        <v>0</v>
      </c>
      <c r="AH142" s="481">
        <f t="shared" si="77"/>
        <v>0</v>
      </c>
      <c r="AI142" s="481">
        <f t="shared" si="78"/>
        <v>0</v>
      </c>
      <c r="AJ142" s="487"/>
      <c r="AK142" s="507"/>
      <c r="AL142" s="479">
        <f t="shared" si="79"/>
        <v>0</v>
      </c>
      <c r="AM142" s="482">
        <f t="shared" si="80"/>
        <v>0</v>
      </c>
      <c r="AN142" s="487"/>
      <c r="AO142" s="488"/>
      <c r="AP142" s="487"/>
      <c r="AQ142" s="488"/>
      <c r="AR142" s="487"/>
      <c r="AS142" s="488"/>
      <c r="AT142" s="487"/>
      <c r="AU142" s="488"/>
      <c r="AV142" s="479">
        <f t="shared" si="81"/>
        <v>0</v>
      </c>
      <c r="AW142" s="483">
        <f t="shared" si="82"/>
        <v>0</v>
      </c>
      <c r="AX142" s="481">
        <f t="shared" si="83"/>
        <v>0</v>
      </c>
      <c r="AY142" s="484">
        <f t="shared" si="84"/>
        <v>0</v>
      </c>
      <c r="AZ142" s="485">
        <f t="shared" si="85"/>
        <v>3480.4666666666667</v>
      </c>
      <c r="BA142" s="481">
        <f t="shared" si="86"/>
        <v>3321.6</v>
      </c>
    </row>
    <row r="143" spans="1:53">
      <c r="A143" s="805" t="s">
        <v>142</v>
      </c>
      <c r="B143" s="553" t="s">
        <v>353</v>
      </c>
      <c r="C143" s="554"/>
      <c r="D143" s="555">
        <v>244437</v>
      </c>
      <c r="E143" s="561">
        <v>8</v>
      </c>
      <c r="F143" s="486" t="s">
        <v>41</v>
      </c>
      <c r="G143" s="552" t="s">
        <v>41</v>
      </c>
      <c r="H143" s="506"/>
      <c r="I143" s="488"/>
      <c r="J143" s="506">
        <v>244704</v>
      </c>
      <c r="K143" s="488">
        <v>206340</v>
      </c>
      <c r="L143" s="506">
        <v>84352</v>
      </c>
      <c r="M143" s="488">
        <v>71679</v>
      </c>
      <c r="N143" s="506">
        <v>222399</v>
      </c>
      <c r="O143" s="488">
        <v>193583</v>
      </c>
      <c r="P143" s="479">
        <f t="shared" si="69"/>
        <v>551455</v>
      </c>
      <c r="Q143" s="480">
        <f t="shared" si="70"/>
        <v>18381.833333333332</v>
      </c>
      <c r="R143" s="481">
        <f t="shared" si="71"/>
        <v>471602</v>
      </c>
      <c r="S143" s="482">
        <f t="shared" si="72"/>
        <v>15720.066666666668</v>
      </c>
      <c r="T143" s="506">
        <v>11740</v>
      </c>
      <c r="U143" s="557">
        <v>12736</v>
      </c>
      <c r="V143" s="479">
        <f t="shared" si="73"/>
        <v>551455</v>
      </c>
      <c r="W143" s="478">
        <f t="shared" si="74"/>
        <v>471602</v>
      </c>
      <c r="X143" s="506"/>
      <c r="Y143" s="488"/>
      <c r="Z143" s="506"/>
      <c r="AA143" s="488"/>
      <c r="AB143" s="506"/>
      <c r="AC143" s="488"/>
      <c r="AD143" s="506"/>
      <c r="AE143" s="507"/>
      <c r="AF143" s="479">
        <f t="shared" si="75"/>
        <v>0</v>
      </c>
      <c r="AG143" s="480">
        <f t="shared" si="76"/>
        <v>0</v>
      </c>
      <c r="AH143" s="481">
        <f t="shared" si="77"/>
        <v>0</v>
      </c>
      <c r="AI143" s="481">
        <f t="shared" si="78"/>
        <v>0</v>
      </c>
      <c r="AJ143" s="487"/>
      <c r="AK143" s="507"/>
      <c r="AL143" s="479">
        <f t="shared" si="79"/>
        <v>0</v>
      </c>
      <c r="AM143" s="482">
        <f t="shared" si="80"/>
        <v>0</v>
      </c>
      <c r="AN143" s="487"/>
      <c r="AO143" s="488"/>
      <c r="AP143" s="487"/>
      <c r="AQ143" s="488"/>
      <c r="AR143" s="487"/>
      <c r="AS143" s="488"/>
      <c r="AT143" s="487"/>
      <c r="AU143" s="488"/>
      <c r="AV143" s="479">
        <f t="shared" si="81"/>
        <v>0</v>
      </c>
      <c r="AW143" s="483">
        <f t="shared" si="82"/>
        <v>0</v>
      </c>
      <c r="AX143" s="481">
        <f t="shared" si="83"/>
        <v>0</v>
      </c>
      <c r="AY143" s="484">
        <f t="shared" si="84"/>
        <v>0</v>
      </c>
      <c r="AZ143" s="485">
        <f t="shared" si="85"/>
        <v>18381.833333333332</v>
      </c>
      <c r="BA143" s="481">
        <f t="shared" si="86"/>
        <v>15720.066666666668</v>
      </c>
    </row>
    <row r="144" spans="1:53">
      <c r="A144" s="805" t="s">
        <v>142</v>
      </c>
      <c r="B144" s="558" t="s">
        <v>354</v>
      </c>
      <c r="C144" s="559" t="s">
        <v>964</v>
      </c>
      <c r="D144" s="555">
        <v>138558</v>
      </c>
      <c r="E144" s="647">
        <v>7</v>
      </c>
      <c r="F144" s="486" t="s">
        <v>41</v>
      </c>
      <c r="G144" s="552" t="s">
        <v>41</v>
      </c>
      <c r="H144" s="506"/>
      <c r="I144" s="488"/>
      <c r="J144" s="506">
        <v>34153</v>
      </c>
      <c r="K144" s="488">
        <v>33430</v>
      </c>
      <c r="L144" s="506">
        <v>6358</v>
      </c>
      <c r="M144" s="488">
        <v>5362</v>
      </c>
      <c r="N144" s="506">
        <v>37304</v>
      </c>
      <c r="O144" s="488">
        <v>39710</v>
      </c>
      <c r="P144" s="479">
        <f t="shared" si="69"/>
        <v>77815</v>
      </c>
      <c r="Q144" s="480">
        <f t="shared" si="70"/>
        <v>2593.8333333333335</v>
      </c>
      <c r="R144" s="481">
        <f t="shared" si="71"/>
        <v>78502</v>
      </c>
      <c r="S144" s="482">
        <f t="shared" si="72"/>
        <v>2616.7333333333331</v>
      </c>
      <c r="T144" s="506">
        <v>1661</v>
      </c>
      <c r="U144" s="557">
        <v>1987</v>
      </c>
      <c r="V144" s="479">
        <f t="shared" si="73"/>
        <v>77815</v>
      </c>
      <c r="W144" s="478">
        <f t="shared" si="74"/>
        <v>78502</v>
      </c>
      <c r="X144" s="506"/>
      <c r="Y144" s="488"/>
      <c r="Z144" s="506"/>
      <c r="AA144" s="488"/>
      <c r="AB144" s="506"/>
      <c r="AC144" s="488"/>
      <c r="AD144" s="506"/>
      <c r="AE144" s="507"/>
      <c r="AF144" s="479">
        <f t="shared" si="75"/>
        <v>0</v>
      </c>
      <c r="AG144" s="480">
        <f t="shared" si="76"/>
        <v>0</v>
      </c>
      <c r="AH144" s="481">
        <f t="shared" si="77"/>
        <v>0</v>
      </c>
      <c r="AI144" s="481">
        <f t="shared" si="78"/>
        <v>0</v>
      </c>
      <c r="AJ144" s="487"/>
      <c r="AK144" s="507"/>
      <c r="AL144" s="479">
        <f t="shared" si="79"/>
        <v>0</v>
      </c>
      <c r="AM144" s="482">
        <f t="shared" si="80"/>
        <v>0</v>
      </c>
      <c r="AN144" s="487"/>
      <c r="AO144" s="488"/>
      <c r="AP144" s="487"/>
      <c r="AQ144" s="488"/>
      <c r="AR144" s="487"/>
      <c r="AS144" s="488"/>
      <c r="AT144" s="487"/>
      <c r="AU144" s="488"/>
      <c r="AV144" s="479">
        <f t="shared" si="81"/>
        <v>0</v>
      </c>
      <c r="AW144" s="483">
        <f t="shared" si="82"/>
        <v>0</v>
      </c>
      <c r="AX144" s="481">
        <f t="shared" si="83"/>
        <v>0</v>
      </c>
      <c r="AY144" s="484">
        <f t="shared" si="84"/>
        <v>0</v>
      </c>
      <c r="AZ144" s="485">
        <f t="shared" si="85"/>
        <v>2593.8333333333335</v>
      </c>
      <c r="BA144" s="481">
        <f t="shared" si="86"/>
        <v>2616.7333333333331</v>
      </c>
    </row>
    <row r="145" spans="1:53">
      <c r="A145" s="805" t="s">
        <v>142</v>
      </c>
      <c r="B145" s="558" t="s">
        <v>954</v>
      </c>
      <c r="C145" s="559"/>
      <c r="D145" s="555">
        <v>138901</v>
      </c>
      <c r="E145" s="561">
        <v>9</v>
      </c>
      <c r="F145" s="486" t="s">
        <v>41</v>
      </c>
      <c r="G145" s="552" t="s">
        <v>41</v>
      </c>
      <c r="H145" s="506"/>
      <c r="I145" s="488"/>
      <c r="J145" s="506">
        <v>29462</v>
      </c>
      <c r="K145" s="488">
        <v>30539</v>
      </c>
      <c r="L145" s="506">
        <v>11490</v>
      </c>
      <c r="M145" s="488">
        <v>10715</v>
      </c>
      <c r="N145" s="506">
        <v>30154</v>
      </c>
      <c r="O145" s="488">
        <v>31917</v>
      </c>
      <c r="P145" s="479">
        <f t="shared" si="69"/>
        <v>71106</v>
      </c>
      <c r="Q145" s="480">
        <f t="shared" si="70"/>
        <v>2370.1999999999998</v>
      </c>
      <c r="R145" s="481">
        <f t="shared" si="71"/>
        <v>73171</v>
      </c>
      <c r="S145" s="482">
        <f t="shared" si="72"/>
        <v>2439.0333333333333</v>
      </c>
      <c r="T145" s="506">
        <v>449</v>
      </c>
      <c r="U145" s="557">
        <v>591</v>
      </c>
      <c r="V145" s="479">
        <f t="shared" si="73"/>
        <v>71106</v>
      </c>
      <c r="W145" s="478">
        <f t="shared" si="74"/>
        <v>73171</v>
      </c>
      <c r="X145" s="506"/>
      <c r="Y145" s="488"/>
      <c r="Z145" s="506"/>
      <c r="AA145" s="488"/>
      <c r="AB145" s="506"/>
      <c r="AC145" s="488"/>
      <c r="AD145" s="506"/>
      <c r="AE145" s="507"/>
      <c r="AF145" s="479">
        <f t="shared" si="75"/>
        <v>0</v>
      </c>
      <c r="AG145" s="480">
        <f t="shared" si="76"/>
        <v>0</v>
      </c>
      <c r="AH145" s="481">
        <f t="shared" si="77"/>
        <v>0</v>
      </c>
      <c r="AI145" s="481">
        <f t="shared" si="78"/>
        <v>0</v>
      </c>
      <c r="AJ145" s="487"/>
      <c r="AK145" s="507"/>
      <c r="AL145" s="479">
        <f t="shared" si="79"/>
        <v>0</v>
      </c>
      <c r="AM145" s="482">
        <f t="shared" si="80"/>
        <v>0</v>
      </c>
      <c r="AN145" s="487"/>
      <c r="AO145" s="488"/>
      <c r="AP145" s="487"/>
      <c r="AQ145" s="488"/>
      <c r="AR145" s="487"/>
      <c r="AS145" s="488"/>
      <c r="AT145" s="487"/>
      <c r="AU145" s="488"/>
      <c r="AV145" s="479">
        <f t="shared" si="81"/>
        <v>0</v>
      </c>
      <c r="AW145" s="483">
        <f t="shared" si="82"/>
        <v>0</v>
      </c>
      <c r="AX145" s="481">
        <f t="shared" si="83"/>
        <v>0</v>
      </c>
      <c r="AY145" s="484">
        <f t="shared" si="84"/>
        <v>0</v>
      </c>
      <c r="AZ145" s="485">
        <f t="shared" si="85"/>
        <v>2370.1999999999998</v>
      </c>
      <c r="BA145" s="481">
        <f t="shared" si="86"/>
        <v>2439.0333333333333</v>
      </c>
    </row>
    <row r="146" spans="1:53">
      <c r="A146" s="805" t="s">
        <v>142</v>
      </c>
      <c r="B146" s="553" t="s">
        <v>955</v>
      </c>
      <c r="C146" s="554"/>
      <c r="D146" s="555">
        <v>139010</v>
      </c>
      <c r="E146" s="561">
        <v>9</v>
      </c>
      <c r="F146" s="486" t="s">
        <v>41</v>
      </c>
      <c r="G146" s="552" t="s">
        <v>41</v>
      </c>
      <c r="H146" s="506"/>
      <c r="I146" s="488"/>
      <c r="J146" s="506">
        <v>38421</v>
      </c>
      <c r="K146" s="488">
        <v>26413</v>
      </c>
      <c r="L146" s="506">
        <v>17742</v>
      </c>
      <c r="M146" s="488">
        <v>12800</v>
      </c>
      <c r="N146" s="506">
        <v>30697</v>
      </c>
      <c r="O146" s="488">
        <v>26788</v>
      </c>
      <c r="P146" s="479">
        <f t="shared" si="69"/>
        <v>86860</v>
      </c>
      <c r="Q146" s="480">
        <f t="shared" si="70"/>
        <v>2895.3333333333335</v>
      </c>
      <c r="R146" s="481">
        <f t="shared" si="71"/>
        <v>66001</v>
      </c>
      <c r="S146" s="482">
        <f t="shared" si="72"/>
        <v>2200.0333333333333</v>
      </c>
      <c r="T146" s="506">
        <v>1019</v>
      </c>
      <c r="U146" s="557">
        <v>1327</v>
      </c>
      <c r="V146" s="479">
        <f t="shared" si="73"/>
        <v>86860</v>
      </c>
      <c r="W146" s="478">
        <f t="shared" si="74"/>
        <v>66001</v>
      </c>
      <c r="X146" s="506"/>
      <c r="Y146" s="488"/>
      <c r="Z146" s="506"/>
      <c r="AA146" s="488"/>
      <c r="AB146" s="506"/>
      <c r="AC146" s="488"/>
      <c r="AD146" s="506"/>
      <c r="AE146" s="507"/>
      <c r="AF146" s="479">
        <f t="shared" si="75"/>
        <v>0</v>
      </c>
      <c r="AG146" s="480">
        <f t="shared" si="76"/>
        <v>0</v>
      </c>
      <c r="AH146" s="481">
        <f t="shared" si="77"/>
        <v>0</v>
      </c>
      <c r="AI146" s="481">
        <f t="shared" si="78"/>
        <v>0</v>
      </c>
      <c r="AJ146" s="487"/>
      <c r="AK146" s="507"/>
      <c r="AL146" s="479">
        <f t="shared" si="79"/>
        <v>0</v>
      </c>
      <c r="AM146" s="482">
        <f t="shared" si="80"/>
        <v>0</v>
      </c>
      <c r="AN146" s="487"/>
      <c r="AO146" s="488"/>
      <c r="AP146" s="487"/>
      <c r="AQ146" s="488"/>
      <c r="AR146" s="487"/>
      <c r="AS146" s="488"/>
      <c r="AT146" s="487"/>
      <c r="AU146" s="488"/>
      <c r="AV146" s="479">
        <f t="shared" si="81"/>
        <v>0</v>
      </c>
      <c r="AW146" s="483">
        <f t="shared" si="82"/>
        <v>0</v>
      </c>
      <c r="AX146" s="481">
        <f t="shared" si="83"/>
        <v>0</v>
      </c>
      <c r="AY146" s="484">
        <f t="shared" si="84"/>
        <v>0</v>
      </c>
      <c r="AZ146" s="485">
        <f t="shared" si="85"/>
        <v>2895.3333333333335</v>
      </c>
      <c r="BA146" s="481">
        <f t="shared" si="86"/>
        <v>2200.0333333333333</v>
      </c>
    </row>
    <row r="147" spans="1:53">
      <c r="A147" s="805" t="s">
        <v>142</v>
      </c>
      <c r="B147" s="562" t="s">
        <v>355</v>
      </c>
      <c r="C147" s="559" t="s">
        <v>964</v>
      </c>
      <c r="D147" s="555">
        <v>139250</v>
      </c>
      <c r="E147" s="647">
        <v>7</v>
      </c>
      <c r="F147" s="486" t="s">
        <v>41</v>
      </c>
      <c r="G147" s="552" t="s">
        <v>41</v>
      </c>
      <c r="H147" s="506"/>
      <c r="I147" s="488"/>
      <c r="J147" s="506">
        <v>33273</v>
      </c>
      <c r="K147" s="488">
        <v>32162</v>
      </c>
      <c r="L147" s="506">
        <v>7116</v>
      </c>
      <c r="M147" s="488">
        <v>6292</v>
      </c>
      <c r="N147" s="506">
        <v>34158</v>
      </c>
      <c r="O147" s="488">
        <v>33205</v>
      </c>
      <c r="P147" s="479">
        <f t="shared" si="69"/>
        <v>74547</v>
      </c>
      <c r="Q147" s="480">
        <f t="shared" si="70"/>
        <v>2484.9</v>
      </c>
      <c r="R147" s="481">
        <f t="shared" si="71"/>
        <v>71659</v>
      </c>
      <c r="S147" s="482">
        <f t="shared" si="72"/>
        <v>2388.6333333333332</v>
      </c>
      <c r="T147" s="506">
        <v>1449</v>
      </c>
      <c r="U147" s="557">
        <v>1503</v>
      </c>
      <c r="V147" s="479">
        <f t="shared" si="73"/>
        <v>74547</v>
      </c>
      <c r="W147" s="478">
        <f t="shared" si="74"/>
        <v>71659</v>
      </c>
      <c r="X147" s="506"/>
      <c r="Y147" s="488"/>
      <c r="Z147" s="506"/>
      <c r="AA147" s="488"/>
      <c r="AB147" s="506"/>
      <c r="AC147" s="488"/>
      <c r="AD147" s="506"/>
      <c r="AE147" s="507"/>
      <c r="AF147" s="479">
        <f t="shared" si="75"/>
        <v>0</v>
      </c>
      <c r="AG147" s="480">
        <f t="shared" si="76"/>
        <v>0</v>
      </c>
      <c r="AH147" s="481">
        <f t="shared" si="77"/>
        <v>0</v>
      </c>
      <c r="AI147" s="481">
        <f t="shared" si="78"/>
        <v>0</v>
      </c>
      <c r="AJ147" s="487"/>
      <c r="AK147" s="507"/>
      <c r="AL147" s="479">
        <f t="shared" si="79"/>
        <v>0</v>
      </c>
      <c r="AM147" s="482">
        <f t="shared" si="80"/>
        <v>0</v>
      </c>
      <c r="AN147" s="487"/>
      <c r="AO147" s="488"/>
      <c r="AP147" s="487"/>
      <c r="AQ147" s="488"/>
      <c r="AR147" s="487"/>
      <c r="AS147" s="488"/>
      <c r="AT147" s="487"/>
      <c r="AU147" s="488"/>
      <c r="AV147" s="479">
        <f t="shared" si="81"/>
        <v>0</v>
      </c>
      <c r="AW147" s="483">
        <f t="shared" si="82"/>
        <v>0</v>
      </c>
      <c r="AX147" s="481">
        <f t="shared" si="83"/>
        <v>0</v>
      </c>
      <c r="AY147" s="484">
        <f t="shared" si="84"/>
        <v>0</v>
      </c>
      <c r="AZ147" s="485">
        <f t="shared" si="85"/>
        <v>2484.9</v>
      </c>
      <c r="BA147" s="481">
        <f t="shared" si="86"/>
        <v>2388.6333333333332</v>
      </c>
    </row>
    <row r="148" spans="1:53">
      <c r="A148" s="805" t="s">
        <v>142</v>
      </c>
      <c r="B148" s="562" t="s">
        <v>956</v>
      </c>
      <c r="C148" s="554"/>
      <c r="D148" s="555">
        <v>138691</v>
      </c>
      <c r="E148" s="561">
        <v>9</v>
      </c>
      <c r="F148" s="486" t="s">
        <v>41</v>
      </c>
      <c r="G148" s="552" t="s">
        <v>41</v>
      </c>
      <c r="H148" s="506"/>
      <c r="I148" s="488"/>
      <c r="J148" s="506">
        <v>58391.5</v>
      </c>
      <c r="K148" s="488">
        <v>58671</v>
      </c>
      <c r="L148" s="506">
        <v>27357</v>
      </c>
      <c r="M148" s="488">
        <v>24951</v>
      </c>
      <c r="N148" s="506">
        <v>63513</v>
      </c>
      <c r="O148" s="488">
        <v>61941</v>
      </c>
      <c r="P148" s="479">
        <f t="shared" si="69"/>
        <v>149261.5</v>
      </c>
      <c r="Q148" s="480">
        <f t="shared" si="70"/>
        <v>4975.3833333333332</v>
      </c>
      <c r="R148" s="481">
        <f t="shared" si="71"/>
        <v>145563</v>
      </c>
      <c r="S148" s="482">
        <f t="shared" si="72"/>
        <v>4852.1000000000004</v>
      </c>
      <c r="T148" s="506">
        <v>992.5</v>
      </c>
      <c r="U148" s="557">
        <v>1064</v>
      </c>
      <c r="V148" s="479">
        <f t="shared" si="73"/>
        <v>149261.5</v>
      </c>
      <c r="W148" s="478">
        <f t="shared" si="74"/>
        <v>145563</v>
      </c>
      <c r="X148" s="506"/>
      <c r="Y148" s="488"/>
      <c r="Z148" s="506"/>
      <c r="AA148" s="488"/>
      <c r="AB148" s="506"/>
      <c r="AC148" s="488"/>
      <c r="AD148" s="506"/>
      <c r="AE148" s="507"/>
      <c r="AF148" s="479">
        <f t="shared" si="75"/>
        <v>0</v>
      </c>
      <c r="AG148" s="480">
        <f t="shared" si="76"/>
        <v>0</v>
      </c>
      <c r="AH148" s="481">
        <f t="shared" si="77"/>
        <v>0</v>
      </c>
      <c r="AI148" s="481">
        <f t="shared" si="78"/>
        <v>0</v>
      </c>
      <c r="AJ148" s="487"/>
      <c r="AK148" s="507"/>
      <c r="AL148" s="479">
        <f t="shared" si="79"/>
        <v>0</v>
      </c>
      <c r="AM148" s="482">
        <f t="shared" si="80"/>
        <v>0</v>
      </c>
      <c r="AN148" s="487"/>
      <c r="AO148" s="488"/>
      <c r="AP148" s="487"/>
      <c r="AQ148" s="488"/>
      <c r="AR148" s="487"/>
      <c r="AS148" s="488"/>
      <c r="AT148" s="487"/>
      <c r="AU148" s="488"/>
      <c r="AV148" s="479">
        <f t="shared" si="81"/>
        <v>0</v>
      </c>
      <c r="AW148" s="483">
        <f t="shared" si="82"/>
        <v>0</v>
      </c>
      <c r="AX148" s="481">
        <f t="shared" si="83"/>
        <v>0</v>
      </c>
      <c r="AY148" s="484">
        <f t="shared" si="84"/>
        <v>0</v>
      </c>
      <c r="AZ148" s="485">
        <f t="shared" si="85"/>
        <v>4975.3833333333332</v>
      </c>
      <c r="BA148" s="481">
        <f t="shared" si="86"/>
        <v>4852.1000000000004</v>
      </c>
    </row>
    <row r="149" spans="1:53">
      <c r="A149" s="805" t="s">
        <v>142</v>
      </c>
      <c r="B149" s="558" t="s">
        <v>957</v>
      </c>
      <c r="C149" s="559"/>
      <c r="D149" s="555">
        <v>139621</v>
      </c>
      <c r="E149" s="561">
        <v>9</v>
      </c>
      <c r="F149" s="486" t="s">
        <v>41</v>
      </c>
      <c r="G149" s="552" t="s">
        <v>41</v>
      </c>
      <c r="H149" s="506"/>
      <c r="I149" s="488"/>
      <c r="J149" s="506">
        <v>35314</v>
      </c>
      <c r="K149" s="488">
        <v>30504</v>
      </c>
      <c r="L149" s="506">
        <v>6147</v>
      </c>
      <c r="M149" s="488">
        <v>5889</v>
      </c>
      <c r="N149" s="506">
        <v>33696</v>
      </c>
      <c r="O149" s="488">
        <v>32862</v>
      </c>
      <c r="P149" s="479">
        <f t="shared" si="69"/>
        <v>75157</v>
      </c>
      <c r="Q149" s="480">
        <f t="shared" si="70"/>
        <v>2505.2333333333331</v>
      </c>
      <c r="R149" s="481">
        <f t="shared" si="71"/>
        <v>69255</v>
      </c>
      <c r="S149" s="482">
        <f t="shared" si="72"/>
        <v>2308.5</v>
      </c>
      <c r="T149" s="506">
        <v>323</v>
      </c>
      <c r="U149" s="557">
        <v>407</v>
      </c>
      <c r="V149" s="479">
        <f t="shared" si="73"/>
        <v>75157</v>
      </c>
      <c r="W149" s="478">
        <f t="shared" si="74"/>
        <v>69255</v>
      </c>
      <c r="X149" s="506"/>
      <c r="Y149" s="488"/>
      <c r="Z149" s="506"/>
      <c r="AA149" s="488"/>
      <c r="AB149" s="506"/>
      <c r="AC149" s="488"/>
      <c r="AD149" s="506"/>
      <c r="AE149" s="507"/>
      <c r="AF149" s="479">
        <f t="shared" si="75"/>
        <v>0</v>
      </c>
      <c r="AG149" s="480">
        <f t="shared" si="76"/>
        <v>0</v>
      </c>
      <c r="AH149" s="481">
        <f t="shared" si="77"/>
        <v>0</v>
      </c>
      <c r="AI149" s="481">
        <f t="shared" si="78"/>
        <v>0</v>
      </c>
      <c r="AJ149" s="487"/>
      <c r="AK149" s="507"/>
      <c r="AL149" s="479">
        <f t="shared" si="79"/>
        <v>0</v>
      </c>
      <c r="AM149" s="482">
        <f t="shared" si="80"/>
        <v>0</v>
      </c>
      <c r="AN149" s="487"/>
      <c r="AO149" s="488"/>
      <c r="AP149" s="487"/>
      <c r="AQ149" s="488"/>
      <c r="AR149" s="487"/>
      <c r="AS149" s="488"/>
      <c r="AT149" s="487"/>
      <c r="AU149" s="488"/>
      <c r="AV149" s="479">
        <f t="shared" si="81"/>
        <v>0</v>
      </c>
      <c r="AW149" s="483">
        <f t="shared" si="82"/>
        <v>0</v>
      </c>
      <c r="AX149" s="481">
        <f t="shared" si="83"/>
        <v>0</v>
      </c>
      <c r="AY149" s="484">
        <f t="shared" si="84"/>
        <v>0</v>
      </c>
      <c r="AZ149" s="485">
        <f t="shared" si="85"/>
        <v>2505.2333333333331</v>
      </c>
      <c r="BA149" s="481">
        <f t="shared" si="86"/>
        <v>2308.5</v>
      </c>
    </row>
    <row r="150" spans="1:53">
      <c r="A150" s="805" t="s">
        <v>142</v>
      </c>
      <c r="B150" s="553" t="s">
        <v>356</v>
      </c>
      <c r="C150" s="554"/>
      <c r="D150" s="555">
        <v>139700</v>
      </c>
      <c r="E150" s="563">
        <v>9</v>
      </c>
      <c r="F150" s="486" t="s">
        <v>41</v>
      </c>
      <c r="G150" s="552" t="s">
        <v>41</v>
      </c>
      <c r="H150" s="506"/>
      <c r="I150" s="488"/>
      <c r="J150" s="506">
        <v>55157</v>
      </c>
      <c r="K150" s="488">
        <v>52423</v>
      </c>
      <c r="L150" s="506">
        <v>13296</v>
      </c>
      <c r="M150" s="488">
        <v>12122</v>
      </c>
      <c r="N150" s="506">
        <v>56389</v>
      </c>
      <c r="O150" s="488">
        <v>56753</v>
      </c>
      <c r="P150" s="479">
        <f t="shared" si="69"/>
        <v>124842</v>
      </c>
      <c r="Q150" s="480">
        <f t="shared" si="70"/>
        <v>4161.3999999999996</v>
      </c>
      <c r="R150" s="481">
        <f t="shared" si="71"/>
        <v>121298</v>
      </c>
      <c r="S150" s="482">
        <f t="shared" si="72"/>
        <v>4043.2666666666669</v>
      </c>
      <c r="T150" s="506">
        <v>1585</v>
      </c>
      <c r="U150" s="557">
        <v>1718</v>
      </c>
      <c r="V150" s="479">
        <f t="shared" si="73"/>
        <v>124842</v>
      </c>
      <c r="W150" s="478">
        <f t="shared" si="74"/>
        <v>121298</v>
      </c>
      <c r="X150" s="506"/>
      <c r="Y150" s="488"/>
      <c r="Z150" s="506"/>
      <c r="AA150" s="488"/>
      <c r="AB150" s="506"/>
      <c r="AC150" s="488"/>
      <c r="AD150" s="506"/>
      <c r="AE150" s="507"/>
      <c r="AF150" s="479">
        <f t="shared" si="75"/>
        <v>0</v>
      </c>
      <c r="AG150" s="480">
        <f t="shared" si="76"/>
        <v>0</v>
      </c>
      <c r="AH150" s="481">
        <f t="shared" si="77"/>
        <v>0</v>
      </c>
      <c r="AI150" s="481">
        <f t="shared" si="78"/>
        <v>0</v>
      </c>
      <c r="AJ150" s="487"/>
      <c r="AK150" s="507"/>
      <c r="AL150" s="479">
        <f t="shared" si="79"/>
        <v>0</v>
      </c>
      <c r="AM150" s="482">
        <f t="shared" si="80"/>
        <v>0</v>
      </c>
      <c r="AN150" s="487"/>
      <c r="AO150" s="488"/>
      <c r="AP150" s="487"/>
      <c r="AQ150" s="488"/>
      <c r="AR150" s="487"/>
      <c r="AS150" s="488"/>
      <c r="AT150" s="487"/>
      <c r="AU150" s="488"/>
      <c r="AV150" s="479">
        <f t="shared" si="81"/>
        <v>0</v>
      </c>
      <c r="AW150" s="483">
        <f t="shared" si="82"/>
        <v>0</v>
      </c>
      <c r="AX150" s="481">
        <f t="shared" si="83"/>
        <v>0</v>
      </c>
      <c r="AY150" s="484">
        <f t="shared" si="84"/>
        <v>0</v>
      </c>
      <c r="AZ150" s="485">
        <f t="shared" si="85"/>
        <v>4161.3999999999996</v>
      </c>
      <c r="BA150" s="481">
        <f t="shared" si="86"/>
        <v>4043.2666666666669</v>
      </c>
    </row>
    <row r="151" spans="1:53">
      <c r="A151" s="805" t="s">
        <v>142</v>
      </c>
      <c r="B151" s="810" t="s">
        <v>961</v>
      </c>
      <c r="C151" s="554"/>
      <c r="D151" s="809">
        <v>482699</v>
      </c>
      <c r="E151" s="563">
        <v>9</v>
      </c>
      <c r="F151" s="486" t="s">
        <v>41</v>
      </c>
      <c r="G151" s="552" t="s">
        <v>41</v>
      </c>
      <c r="H151" s="506"/>
      <c r="I151" s="488"/>
      <c r="J151" s="813">
        <v>34953</v>
      </c>
      <c r="K151" s="814">
        <v>31315</v>
      </c>
      <c r="L151" s="813">
        <v>8119</v>
      </c>
      <c r="M151" s="814">
        <v>6793</v>
      </c>
      <c r="N151" s="813">
        <v>35781</v>
      </c>
      <c r="O151" s="488">
        <v>29953</v>
      </c>
      <c r="P151" s="479">
        <f t="shared" si="69"/>
        <v>78853</v>
      </c>
      <c r="Q151" s="480">
        <f t="shared" si="70"/>
        <v>2628.4333333333334</v>
      </c>
      <c r="R151" s="481">
        <f t="shared" si="71"/>
        <v>68061</v>
      </c>
      <c r="S151" s="482">
        <f t="shared" si="72"/>
        <v>2268.6999999999998</v>
      </c>
      <c r="T151" s="813">
        <v>2153</v>
      </c>
      <c r="U151" s="557">
        <v>2107</v>
      </c>
      <c r="V151" s="479">
        <f t="shared" si="73"/>
        <v>78853</v>
      </c>
      <c r="W151" s="478">
        <f t="shared" si="74"/>
        <v>68061</v>
      </c>
      <c r="X151" s="506"/>
      <c r="Y151" s="488"/>
      <c r="Z151" s="506"/>
      <c r="AA151" s="488"/>
      <c r="AB151" s="506"/>
      <c r="AC151" s="488"/>
      <c r="AD151" s="506"/>
      <c r="AE151" s="507"/>
      <c r="AF151" s="479">
        <f t="shared" si="75"/>
        <v>0</v>
      </c>
      <c r="AG151" s="480">
        <f t="shared" si="76"/>
        <v>0</v>
      </c>
      <c r="AH151" s="481">
        <f t="shared" si="77"/>
        <v>0</v>
      </c>
      <c r="AI151" s="481">
        <f t="shared" si="78"/>
        <v>0</v>
      </c>
      <c r="AJ151" s="487"/>
      <c r="AK151" s="507"/>
      <c r="AL151" s="479">
        <f t="shared" si="79"/>
        <v>0</v>
      </c>
      <c r="AM151" s="482">
        <f t="shared" si="80"/>
        <v>0</v>
      </c>
      <c r="AN151" s="487"/>
      <c r="AO151" s="488"/>
      <c r="AP151" s="815"/>
      <c r="AQ151" s="814"/>
      <c r="AR151" s="815"/>
      <c r="AS151" s="814"/>
      <c r="AT151" s="815"/>
      <c r="AU151" s="488"/>
      <c r="AV151" s="479">
        <f t="shared" si="81"/>
        <v>0</v>
      </c>
      <c r="AW151" s="483">
        <f t="shared" si="82"/>
        <v>0</v>
      </c>
      <c r="AX151" s="481">
        <f t="shared" si="83"/>
        <v>0</v>
      </c>
      <c r="AY151" s="484">
        <f t="shared" si="84"/>
        <v>0</v>
      </c>
      <c r="AZ151" s="485">
        <f t="shared" si="85"/>
        <v>2628.4333333333334</v>
      </c>
      <c r="BA151" s="481">
        <f t="shared" si="86"/>
        <v>2268.6999999999998</v>
      </c>
    </row>
    <row r="152" spans="1:53">
      <c r="A152" s="564" t="s">
        <v>142</v>
      </c>
      <c r="B152" s="565" t="s">
        <v>357</v>
      </c>
      <c r="C152" s="494"/>
      <c r="D152" s="566">
        <v>138682</v>
      </c>
      <c r="E152" s="499">
        <v>12</v>
      </c>
      <c r="F152" s="486" t="s">
        <v>41</v>
      </c>
      <c r="G152" s="529" t="s">
        <v>41</v>
      </c>
      <c r="H152" s="506"/>
      <c r="I152" s="488"/>
      <c r="J152" s="506">
        <v>46658</v>
      </c>
      <c r="K152" s="488">
        <v>37567</v>
      </c>
      <c r="L152" s="506">
        <v>31614</v>
      </c>
      <c r="M152" s="488">
        <v>33683</v>
      </c>
      <c r="N152" s="506">
        <v>42038</v>
      </c>
      <c r="O152" s="488">
        <v>40952</v>
      </c>
      <c r="P152" s="479">
        <f t="shared" si="69"/>
        <v>120310</v>
      </c>
      <c r="Q152" s="480">
        <f t="shared" si="70"/>
        <v>4010.3333333333335</v>
      </c>
      <c r="R152" s="481">
        <f t="shared" si="71"/>
        <v>112202</v>
      </c>
      <c r="S152" s="482">
        <f t="shared" si="72"/>
        <v>3740.0666666666666</v>
      </c>
      <c r="T152" s="506">
        <v>691</v>
      </c>
      <c r="U152" s="507">
        <v>1373</v>
      </c>
      <c r="V152" s="479">
        <f t="shared" si="73"/>
        <v>120310</v>
      </c>
      <c r="W152" s="478">
        <f t="shared" si="74"/>
        <v>112202</v>
      </c>
      <c r="X152" s="506"/>
      <c r="Y152" s="488"/>
      <c r="Z152" s="506"/>
      <c r="AA152" s="488"/>
      <c r="AB152" s="506"/>
      <c r="AC152" s="488"/>
      <c r="AD152" s="506"/>
      <c r="AE152" s="507"/>
      <c r="AF152" s="479">
        <f t="shared" si="75"/>
        <v>0</v>
      </c>
      <c r="AG152" s="480">
        <f t="shared" si="76"/>
        <v>0</v>
      </c>
      <c r="AH152" s="481">
        <f t="shared" si="77"/>
        <v>0</v>
      </c>
      <c r="AI152" s="481">
        <f t="shared" si="78"/>
        <v>0</v>
      </c>
      <c r="AJ152" s="487"/>
      <c r="AK152" s="507"/>
      <c r="AL152" s="479">
        <f t="shared" si="79"/>
        <v>0</v>
      </c>
      <c r="AM152" s="482">
        <f t="shared" si="80"/>
        <v>0</v>
      </c>
      <c r="AN152" s="487"/>
      <c r="AO152" s="488"/>
      <c r="AP152" s="487"/>
      <c r="AQ152" s="488"/>
      <c r="AR152" s="487"/>
      <c r="AS152" s="488"/>
      <c r="AT152" s="487"/>
      <c r="AU152" s="488"/>
      <c r="AV152" s="479">
        <f t="shared" si="81"/>
        <v>0</v>
      </c>
      <c r="AW152" s="483">
        <f t="shared" si="82"/>
        <v>0</v>
      </c>
      <c r="AX152" s="481">
        <f t="shared" si="83"/>
        <v>0</v>
      </c>
      <c r="AY152" s="484">
        <f t="shared" si="84"/>
        <v>0</v>
      </c>
      <c r="AZ152" s="485">
        <f t="shared" si="85"/>
        <v>4010.3333333333335</v>
      </c>
      <c r="BA152" s="481">
        <f t="shared" si="86"/>
        <v>3740.0666666666666</v>
      </c>
    </row>
    <row r="153" spans="1:53">
      <c r="A153" s="567" t="s">
        <v>142</v>
      </c>
      <c r="B153" s="568" t="s">
        <v>358</v>
      </c>
      <c r="C153" s="494"/>
      <c r="D153" s="569">
        <v>366447</v>
      </c>
      <c r="E153" s="504">
        <v>12</v>
      </c>
      <c r="F153" s="486" t="s">
        <v>41</v>
      </c>
      <c r="G153" s="529" t="s">
        <v>41</v>
      </c>
      <c r="H153" s="506"/>
      <c r="I153" s="488"/>
      <c r="J153" s="506">
        <v>13256</v>
      </c>
      <c r="K153" s="488">
        <v>12434</v>
      </c>
      <c r="L153" s="506">
        <v>8121</v>
      </c>
      <c r="M153" s="488">
        <v>7085</v>
      </c>
      <c r="N153" s="506">
        <v>12799</v>
      </c>
      <c r="O153" s="488">
        <v>11493</v>
      </c>
      <c r="P153" s="479">
        <f t="shared" si="69"/>
        <v>34176</v>
      </c>
      <c r="Q153" s="480">
        <f t="shared" si="70"/>
        <v>1139.2</v>
      </c>
      <c r="R153" s="481">
        <f t="shared" si="71"/>
        <v>31012</v>
      </c>
      <c r="S153" s="482">
        <f t="shared" si="72"/>
        <v>1033.7333333333333</v>
      </c>
      <c r="T153" s="506">
        <v>1618</v>
      </c>
      <c r="U153" s="507">
        <v>2273</v>
      </c>
      <c r="V153" s="479">
        <f t="shared" si="73"/>
        <v>34176</v>
      </c>
      <c r="W153" s="478">
        <f t="shared" si="74"/>
        <v>31012</v>
      </c>
      <c r="X153" s="506"/>
      <c r="Y153" s="488"/>
      <c r="Z153" s="506"/>
      <c r="AA153" s="488"/>
      <c r="AB153" s="506"/>
      <c r="AC153" s="488"/>
      <c r="AD153" s="506"/>
      <c r="AE153" s="507"/>
      <c r="AF153" s="479">
        <f t="shared" si="75"/>
        <v>0</v>
      </c>
      <c r="AG153" s="480">
        <f t="shared" si="76"/>
        <v>0</v>
      </c>
      <c r="AH153" s="481">
        <f t="shared" si="77"/>
        <v>0</v>
      </c>
      <c r="AI153" s="481">
        <f t="shared" si="78"/>
        <v>0</v>
      </c>
      <c r="AJ153" s="487"/>
      <c r="AK153" s="507"/>
      <c r="AL153" s="479">
        <f t="shared" si="79"/>
        <v>0</v>
      </c>
      <c r="AM153" s="482">
        <f t="shared" si="80"/>
        <v>0</v>
      </c>
      <c r="AN153" s="487"/>
      <c r="AO153" s="488"/>
      <c r="AP153" s="487"/>
      <c r="AQ153" s="488"/>
      <c r="AR153" s="487"/>
      <c r="AS153" s="488"/>
      <c r="AT153" s="487"/>
      <c r="AU153" s="488"/>
      <c r="AV153" s="479">
        <f t="shared" si="81"/>
        <v>0</v>
      </c>
      <c r="AW153" s="483">
        <f t="shared" si="82"/>
        <v>0</v>
      </c>
      <c r="AX153" s="481">
        <f t="shared" si="83"/>
        <v>0</v>
      </c>
      <c r="AY153" s="484">
        <f t="shared" si="84"/>
        <v>0</v>
      </c>
      <c r="AZ153" s="485">
        <f t="shared" si="85"/>
        <v>1139.2</v>
      </c>
      <c r="BA153" s="481">
        <f t="shared" si="86"/>
        <v>1033.7333333333333</v>
      </c>
    </row>
    <row r="154" spans="1:53">
      <c r="A154" s="564" t="s">
        <v>142</v>
      </c>
      <c r="B154" s="565" t="s">
        <v>359</v>
      </c>
      <c r="C154" s="494"/>
      <c r="D154" s="566">
        <v>246813</v>
      </c>
      <c r="E154" s="499">
        <v>12</v>
      </c>
      <c r="F154" s="486" t="s">
        <v>41</v>
      </c>
      <c r="G154" s="529" t="s">
        <v>41</v>
      </c>
      <c r="H154" s="506"/>
      <c r="I154" s="488"/>
      <c r="J154" s="506">
        <v>39077</v>
      </c>
      <c r="K154" s="488">
        <v>36826</v>
      </c>
      <c r="L154" s="506">
        <v>19011</v>
      </c>
      <c r="M154" s="488">
        <v>18302</v>
      </c>
      <c r="N154" s="506">
        <v>40269</v>
      </c>
      <c r="O154" s="488">
        <v>38659</v>
      </c>
      <c r="P154" s="479">
        <f t="shared" si="69"/>
        <v>98357</v>
      </c>
      <c r="Q154" s="480">
        <f t="shared" si="70"/>
        <v>3278.5666666666666</v>
      </c>
      <c r="R154" s="481">
        <f t="shared" si="71"/>
        <v>93787</v>
      </c>
      <c r="S154" s="482">
        <f t="shared" si="72"/>
        <v>3126.2333333333331</v>
      </c>
      <c r="T154" s="506">
        <v>1795</v>
      </c>
      <c r="U154" s="507">
        <v>2225</v>
      </c>
      <c r="V154" s="479">
        <f t="shared" si="73"/>
        <v>98357</v>
      </c>
      <c r="W154" s="478">
        <f t="shared" si="74"/>
        <v>93787</v>
      </c>
      <c r="X154" s="506"/>
      <c r="Y154" s="488"/>
      <c r="Z154" s="506"/>
      <c r="AA154" s="488"/>
      <c r="AB154" s="506"/>
      <c r="AC154" s="488"/>
      <c r="AD154" s="506"/>
      <c r="AE154" s="507"/>
      <c r="AF154" s="479">
        <f t="shared" si="75"/>
        <v>0</v>
      </c>
      <c r="AG154" s="480">
        <f t="shared" si="76"/>
        <v>0</v>
      </c>
      <c r="AH154" s="481">
        <f t="shared" si="77"/>
        <v>0</v>
      </c>
      <c r="AI154" s="481">
        <f t="shared" si="78"/>
        <v>0</v>
      </c>
      <c r="AJ154" s="487"/>
      <c r="AK154" s="507"/>
      <c r="AL154" s="479">
        <f t="shared" si="79"/>
        <v>0</v>
      </c>
      <c r="AM154" s="482">
        <f t="shared" si="80"/>
        <v>0</v>
      </c>
      <c r="AN154" s="487"/>
      <c r="AO154" s="488"/>
      <c r="AP154" s="487"/>
      <c r="AQ154" s="488"/>
      <c r="AR154" s="487"/>
      <c r="AS154" s="488"/>
      <c r="AT154" s="487"/>
      <c r="AU154" s="488"/>
      <c r="AV154" s="479">
        <f t="shared" si="81"/>
        <v>0</v>
      </c>
      <c r="AW154" s="483">
        <f t="shared" si="82"/>
        <v>0</v>
      </c>
      <c r="AX154" s="481">
        <f t="shared" si="83"/>
        <v>0</v>
      </c>
      <c r="AY154" s="484">
        <f t="shared" si="84"/>
        <v>0</v>
      </c>
      <c r="AZ154" s="485">
        <f t="shared" si="85"/>
        <v>3278.5666666666666</v>
      </c>
      <c r="BA154" s="481">
        <f t="shared" si="86"/>
        <v>3126.2333333333331</v>
      </c>
    </row>
    <row r="155" spans="1:53">
      <c r="A155" s="564" t="s">
        <v>142</v>
      </c>
      <c r="B155" s="565" t="s">
        <v>360</v>
      </c>
      <c r="C155" s="494"/>
      <c r="D155" s="566">
        <v>138840</v>
      </c>
      <c r="E155" s="499">
        <v>12</v>
      </c>
      <c r="F155" s="486" t="s">
        <v>41</v>
      </c>
      <c r="G155" s="529" t="s">
        <v>41</v>
      </c>
      <c r="H155" s="506"/>
      <c r="I155" s="488"/>
      <c r="J155" s="506">
        <v>41643</v>
      </c>
      <c r="K155" s="488">
        <v>49866</v>
      </c>
      <c r="L155" s="506">
        <v>30304</v>
      </c>
      <c r="M155" s="488">
        <v>34214</v>
      </c>
      <c r="N155" s="506">
        <v>46356</v>
      </c>
      <c r="O155" s="488">
        <v>46369</v>
      </c>
      <c r="P155" s="479">
        <f t="shared" si="69"/>
        <v>118303</v>
      </c>
      <c r="Q155" s="480">
        <f t="shared" si="70"/>
        <v>3943.4333333333334</v>
      </c>
      <c r="R155" s="481">
        <f t="shared" si="71"/>
        <v>130449</v>
      </c>
      <c r="S155" s="482">
        <f t="shared" si="72"/>
        <v>4348.3</v>
      </c>
      <c r="T155" s="506">
        <v>2772</v>
      </c>
      <c r="U155" s="507">
        <v>2394</v>
      </c>
      <c r="V155" s="479">
        <f t="shared" si="73"/>
        <v>118303</v>
      </c>
      <c r="W155" s="478">
        <f t="shared" si="74"/>
        <v>130449</v>
      </c>
      <c r="X155" s="506"/>
      <c r="Y155" s="488"/>
      <c r="Z155" s="506"/>
      <c r="AA155" s="488"/>
      <c r="AB155" s="506"/>
      <c r="AC155" s="488"/>
      <c r="AD155" s="506"/>
      <c r="AE155" s="507"/>
      <c r="AF155" s="479">
        <f t="shared" si="75"/>
        <v>0</v>
      </c>
      <c r="AG155" s="480">
        <f t="shared" si="76"/>
        <v>0</v>
      </c>
      <c r="AH155" s="481">
        <f t="shared" si="77"/>
        <v>0</v>
      </c>
      <c r="AI155" s="481">
        <f t="shared" si="78"/>
        <v>0</v>
      </c>
      <c r="AJ155" s="487"/>
      <c r="AK155" s="507"/>
      <c r="AL155" s="479">
        <f t="shared" si="79"/>
        <v>0</v>
      </c>
      <c r="AM155" s="482">
        <f t="shared" si="80"/>
        <v>0</v>
      </c>
      <c r="AN155" s="487"/>
      <c r="AO155" s="488"/>
      <c r="AP155" s="487"/>
      <c r="AQ155" s="488"/>
      <c r="AR155" s="487"/>
      <c r="AS155" s="488"/>
      <c r="AT155" s="487"/>
      <c r="AU155" s="488"/>
      <c r="AV155" s="479">
        <f t="shared" si="81"/>
        <v>0</v>
      </c>
      <c r="AW155" s="483">
        <f t="shared" si="82"/>
        <v>0</v>
      </c>
      <c r="AX155" s="481">
        <f t="shared" si="83"/>
        <v>0</v>
      </c>
      <c r="AY155" s="484">
        <f t="shared" si="84"/>
        <v>0</v>
      </c>
      <c r="AZ155" s="485">
        <f t="shared" si="85"/>
        <v>3943.4333333333334</v>
      </c>
      <c r="BA155" s="481">
        <f t="shared" si="86"/>
        <v>4348.3</v>
      </c>
    </row>
    <row r="156" spans="1:53">
      <c r="A156" s="564" t="s">
        <v>142</v>
      </c>
      <c r="B156" s="565" t="s">
        <v>361</v>
      </c>
      <c r="C156" s="494"/>
      <c r="D156" s="566">
        <v>138956</v>
      </c>
      <c r="E156" s="499">
        <v>12</v>
      </c>
      <c r="F156" s="486" t="s">
        <v>41</v>
      </c>
      <c r="G156" s="529" t="s">
        <v>41</v>
      </c>
      <c r="H156" s="506"/>
      <c r="I156" s="488"/>
      <c r="J156" s="506">
        <v>39919</v>
      </c>
      <c r="K156" s="488">
        <v>41100</v>
      </c>
      <c r="L156" s="506">
        <v>23353</v>
      </c>
      <c r="M156" s="488">
        <v>23439</v>
      </c>
      <c r="N156" s="506">
        <v>40395</v>
      </c>
      <c r="O156" s="488">
        <v>42510</v>
      </c>
      <c r="P156" s="479">
        <f t="shared" si="69"/>
        <v>103667</v>
      </c>
      <c r="Q156" s="480">
        <f t="shared" si="70"/>
        <v>3455.5666666666666</v>
      </c>
      <c r="R156" s="481">
        <f t="shared" si="71"/>
        <v>107049</v>
      </c>
      <c r="S156" s="482">
        <f t="shared" si="72"/>
        <v>3568.3</v>
      </c>
      <c r="T156" s="506">
        <v>717</v>
      </c>
      <c r="U156" s="507">
        <v>864</v>
      </c>
      <c r="V156" s="479">
        <f t="shared" si="73"/>
        <v>103667</v>
      </c>
      <c r="W156" s="478">
        <f t="shared" si="74"/>
        <v>107049</v>
      </c>
      <c r="X156" s="506"/>
      <c r="Y156" s="488"/>
      <c r="Z156" s="506"/>
      <c r="AA156" s="488"/>
      <c r="AB156" s="506"/>
      <c r="AC156" s="488"/>
      <c r="AD156" s="506"/>
      <c r="AE156" s="507"/>
      <c r="AF156" s="479">
        <f t="shared" si="75"/>
        <v>0</v>
      </c>
      <c r="AG156" s="480">
        <f t="shared" si="76"/>
        <v>0</v>
      </c>
      <c r="AH156" s="481">
        <f t="shared" si="77"/>
        <v>0</v>
      </c>
      <c r="AI156" s="481">
        <f t="shared" si="78"/>
        <v>0</v>
      </c>
      <c r="AJ156" s="487"/>
      <c r="AK156" s="507"/>
      <c r="AL156" s="479">
        <f t="shared" si="79"/>
        <v>0</v>
      </c>
      <c r="AM156" s="482">
        <f t="shared" si="80"/>
        <v>0</v>
      </c>
      <c r="AN156" s="487"/>
      <c r="AO156" s="488"/>
      <c r="AP156" s="487"/>
      <c r="AQ156" s="488"/>
      <c r="AR156" s="487"/>
      <c r="AS156" s="488"/>
      <c r="AT156" s="487"/>
      <c r="AU156" s="488"/>
      <c r="AV156" s="479">
        <f t="shared" si="81"/>
        <v>0</v>
      </c>
      <c r="AW156" s="483">
        <f t="shared" si="82"/>
        <v>0</v>
      </c>
      <c r="AX156" s="481">
        <f t="shared" si="83"/>
        <v>0</v>
      </c>
      <c r="AY156" s="484">
        <f t="shared" si="84"/>
        <v>0</v>
      </c>
      <c r="AZ156" s="485">
        <f t="shared" si="85"/>
        <v>3455.5666666666666</v>
      </c>
      <c r="BA156" s="481">
        <f t="shared" si="86"/>
        <v>3568.3</v>
      </c>
    </row>
    <row r="157" spans="1:53" ht="15.75" customHeight="1">
      <c r="A157" s="564" t="s">
        <v>142</v>
      </c>
      <c r="B157" s="573" t="s">
        <v>362</v>
      </c>
      <c r="C157" s="494"/>
      <c r="D157" s="566">
        <v>483045</v>
      </c>
      <c r="E157" s="499">
        <v>12</v>
      </c>
      <c r="F157" s="486" t="s">
        <v>41</v>
      </c>
      <c r="G157" s="529" t="s">
        <v>41</v>
      </c>
      <c r="H157" s="506"/>
      <c r="I157" s="488"/>
      <c r="J157" s="813">
        <v>84037</v>
      </c>
      <c r="K157" s="814">
        <v>75278</v>
      </c>
      <c r="L157" s="813">
        <v>47484</v>
      </c>
      <c r="M157" s="814">
        <v>48295</v>
      </c>
      <c r="N157" s="813">
        <v>82560</v>
      </c>
      <c r="O157" s="488">
        <v>76462</v>
      </c>
      <c r="P157" s="479">
        <f t="shared" si="69"/>
        <v>214081</v>
      </c>
      <c r="Q157" s="480">
        <f t="shared" si="70"/>
        <v>7136.0333333333338</v>
      </c>
      <c r="R157" s="481">
        <f t="shared" si="71"/>
        <v>200035</v>
      </c>
      <c r="S157" s="482">
        <f t="shared" si="72"/>
        <v>6667.833333333333</v>
      </c>
      <c r="T157" s="813">
        <v>6311</v>
      </c>
      <c r="U157" s="507">
        <v>3743</v>
      </c>
      <c r="V157" s="479">
        <f t="shared" si="73"/>
        <v>214081</v>
      </c>
      <c r="W157" s="478">
        <f t="shared" si="74"/>
        <v>200035</v>
      </c>
      <c r="X157" s="506"/>
      <c r="Y157" s="488"/>
      <c r="Z157" s="506"/>
      <c r="AA157" s="488"/>
      <c r="AB157" s="506"/>
      <c r="AC157" s="488"/>
      <c r="AD157" s="506"/>
      <c r="AE157" s="507"/>
      <c r="AF157" s="479">
        <f t="shared" si="75"/>
        <v>0</v>
      </c>
      <c r="AG157" s="480">
        <f t="shared" si="76"/>
        <v>0</v>
      </c>
      <c r="AH157" s="481">
        <f t="shared" si="77"/>
        <v>0</v>
      </c>
      <c r="AI157" s="481">
        <f t="shared" si="78"/>
        <v>0</v>
      </c>
      <c r="AJ157" s="487"/>
      <c r="AK157" s="507"/>
      <c r="AL157" s="479">
        <f t="shared" si="79"/>
        <v>0</v>
      </c>
      <c r="AM157" s="482">
        <f t="shared" si="80"/>
        <v>0</v>
      </c>
      <c r="AN157" s="487"/>
      <c r="AO157" s="488"/>
      <c r="AP157" s="487"/>
      <c r="AQ157" s="488"/>
      <c r="AR157" s="487"/>
      <c r="AS157" s="488"/>
      <c r="AT157" s="487"/>
      <c r="AU157" s="488"/>
      <c r="AV157" s="479">
        <f t="shared" si="81"/>
        <v>0</v>
      </c>
      <c r="AW157" s="483">
        <f t="shared" si="82"/>
        <v>0</v>
      </c>
      <c r="AX157" s="481">
        <f t="shared" si="83"/>
        <v>0</v>
      </c>
      <c r="AY157" s="484">
        <f t="shared" si="84"/>
        <v>0</v>
      </c>
      <c r="AZ157" s="485">
        <f t="shared" si="85"/>
        <v>7136.0333333333338</v>
      </c>
      <c r="BA157" s="481">
        <f t="shared" si="86"/>
        <v>6667.833333333333</v>
      </c>
    </row>
    <row r="158" spans="1:53">
      <c r="A158" s="564" t="s">
        <v>142</v>
      </c>
      <c r="B158" s="570" t="s">
        <v>363</v>
      </c>
      <c r="C158" s="494"/>
      <c r="D158" s="566">
        <v>140331</v>
      </c>
      <c r="E158" s="499">
        <v>12</v>
      </c>
      <c r="F158" s="486" t="s">
        <v>41</v>
      </c>
      <c r="G158" s="529" t="s">
        <v>41</v>
      </c>
      <c r="H158" s="506"/>
      <c r="I158" s="488"/>
      <c r="J158" s="506">
        <v>96352</v>
      </c>
      <c r="K158" s="488">
        <v>94219</v>
      </c>
      <c r="L158" s="506">
        <v>51143</v>
      </c>
      <c r="M158" s="488">
        <v>43548</v>
      </c>
      <c r="N158" s="506">
        <v>99832</v>
      </c>
      <c r="O158" s="488">
        <v>91267</v>
      </c>
      <c r="P158" s="479">
        <f t="shared" si="69"/>
        <v>247327</v>
      </c>
      <c r="Q158" s="480">
        <f t="shared" si="70"/>
        <v>8244.2333333333336</v>
      </c>
      <c r="R158" s="481">
        <f t="shared" si="71"/>
        <v>229034</v>
      </c>
      <c r="S158" s="482">
        <f t="shared" si="72"/>
        <v>7634.4666666666662</v>
      </c>
      <c r="T158" s="506">
        <v>2537</v>
      </c>
      <c r="U158" s="507">
        <v>4068</v>
      </c>
      <c r="V158" s="479">
        <f t="shared" si="73"/>
        <v>247327</v>
      </c>
      <c r="W158" s="478">
        <f t="shared" si="74"/>
        <v>229034</v>
      </c>
      <c r="X158" s="506"/>
      <c r="Y158" s="488"/>
      <c r="Z158" s="506"/>
      <c r="AA158" s="488"/>
      <c r="AB158" s="506"/>
      <c r="AC158" s="488"/>
      <c r="AD158" s="506"/>
      <c r="AE158" s="507"/>
      <c r="AF158" s="479">
        <f t="shared" si="75"/>
        <v>0</v>
      </c>
      <c r="AG158" s="480">
        <f t="shared" si="76"/>
        <v>0</v>
      </c>
      <c r="AH158" s="481">
        <f t="shared" si="77"/>
        <v>0</v>
      </c>
      <c r="AI158" s="481">
        <f t="shared" si="78"/>
        <v>0</v>
      </c>
      <c r="AJ158" s="487"/>
      <c r="AK158" s="507"/>
      <c r="AL158" s="479">
        <f t="shared" si="79"/>
        <v>0</v>
      </c>
      <c r="AM158" s="482">
        <f t="shared" si="80"/>
        <v>0</v>
      </c>
      <c r="AN158" s="487"/>
      <c r="AO158" s="488"/>
      <c r="AP158" s="487"/>
      <c r="AQ158" s="488"/>
      <c r="AR158" s="487"/>
      <c r="AS158" s="488"/>
      <c r="AT158" s="487"/>
      <c r="AU158" s="488"/>
      <c r="AV158" s="479">
        <f t="shared" si="81"/>
        <v>0</v>
      </c>
      <c r="AW158" s="483">
        <f t="shared" si="82"/>
        <v>0</v>
      </c>
      <c r="AX158" s="481">
        <f t="shared" si="83"/>
        <v>0</v>
      </c>
      <c r="AY158" s="484">
        <f t="shared" si="84"/>
        <v>0</v>
      </c>
      <c r="AZ158" s="485">
        <f t="shared" si="85"/>
        <v>8244.2333333333336</v>
      </c>
      <c r="BA158" s="481">
        <f t="shared" si="86"/>
        <v>7634.4666666666662</v>
      </c>
    </row>
    <row r="159" spans="1:53">
      <c r="A159" s="564" t="s">
        <v>142</v>
      </c>
      <c r="B159" s="565" t="s">
        <v>364</v>
      </c>
      <c r="C159" s="494"/>
      <c r="D159" s="566">
        <v>139357</v>
      </c>
      <c r="E159" s="499">
        <v>12</v>
      </c>
      <c r="F159" s="486" t="s">
        <v>41</v>
      </c>
      <c r="G159" s="529" t="s">
        <v>41</v>
      </c>
      <c r="H159" s="506"/>
      <c r="I159" s="488"/>
      <c r="J159" s="506">
        <v>33136</v>
      </c>
      <c r="K159" s="488">
        <v>36498</v>
      </c>
      <c r="L159" s="506">
        <v>22208</v>
      </c>
      <c r="M159" s="488">
        <v>23841</v>
      </c>
      <c r="N159" s="506">
        <v>38583</v>
      </c>
      <c r="O159" s="488">
        <v>34980</v>
      </c>
      <c r="P159" s="479">
        <f t="shared" si="69"/>
        <v>93927</v>
      </c>
      <c r="Q159" s="480">
        <f t="shared" si="70"/>
        <v>3130.9</v>
      </c>
      <c r="R159" s="481">
        <f t="shared" si="71"/>
        <v>95319</v>
      </c>
      <c r="S159" s="482">
        <f t="shared" si="72"/>
        <v>3177.3</v>
      </c>
      <c r="T159" s="506">
        <v>1283</v>
      </c>
      <c r="U159" s="507">
        <v>2968</v>
      </c>
      <c r="V159" s="479">
        <f t="shared" si="73"/>
        <v>93927</v>
      </c>
      <c r="W159" s="478">
        <f t="shared" si="74"/>
        <v>95319</v>
      </c>
      <c r="X159" s="506"/>
      <c r="Y159" s="488"/>
      <c r="Z159" s="506"/>
      <c r="AA159" s="488"/>
      <c r="AB159" s="506"/>
      <c r="AC159" s="488"/>
      <c r="AD159" s="506"/>
      <c r="AE159" s="507"/>
      <c r="AF159" s="479">
        <f t="shared" si="75"/>
        <v>0</v>
      </c>
      <c r="AG159" s="480">
        <f t="shared" si="76"/>
        <v>0</v>
      </c>
      <c r="AH159" s="481">
        <f t="shared" si="77"/>
        <v>0</v>
      </c>
      <c r="AI159" s="481">
        <f t="shared" si="78"/>
        <v>0</v>
      </c>
      <c r="AJ159" s="487"/>
      <c r="AK159" s="507"/>
      <c r="AL159" s="479">
        <f t="shared" si="79"/>
        <v>0</v>
      </c>
      <c r="AM159" s="482">
        <f t="shared" si="80"/>
        <v>0</v>
      </c>
      <c r="AN159" s="487"/>
      <c r="AO159" s="488"/>
      <c r="AP159" s="487"/>
      <c r="AQ159" s="488"/>
      <c r="AR159" s="487"/>
      <c r="AS159" s="488"/>
      <c r="AT159" s="487"/>
      <c r="AU159" s="488"/>
      <c r="AV159" s="479">
        <f t="shared" si="81"/>
        <v>0</v>
      </c>
      <c r="AW159" s="483">
        <f t="shared" si="82"/>
        <v>0</v>
      </c>
      <c r="AX159" s="481">
        <f t="shared" si="83"/>
        <v>0</v>
      </c>
      <c r="AY159" s="484">
        <f t="shared" si="84"/>
        <v>0</v>
      </c>
      <c r="AZ159" s="485">
        <f t="shared" si="85"/>
        <v>3130.9</v>
      </c>
      <c r="BA159" s="481">
        <f t="shared" si="86"/>
        <v>3177.3</v>
      </c>
    </row>
    <row r="160" spans="1:53">
      <c r="A160" s="564" t="s">
        <v>142</v>
      </c>
      <c r="B160" s="570" t="s">
        <v>365</v>
      </c>
      <c r="C160" s="494"/>
      <c r="D160" s="566">
        <v>139384</v>
      </c>
      <c r="E160" s="499">
        <v>12</v>
      </c>
      <c r="F160" s="486" t="s">
        <v>41</v>
      </c>
      <c r="G160" s="529" t="s">
        <v>41</v>
      </c>
      <c r="H160" s="506"/>
      <c r="I160" s="488"/>
      <c r="J160" s="506">
        <v>55703</v>
      </c>
      <c r="K160" s="488">
        <v>53628</v>
      </c>
      <c r="L160" s="506">
        <v>28077</v>
      </c>
      <c r="M160" s="488">
        <v>27588</v>
      </c>
      <c r="N160" s="506">
        <v>57185</v>
      </c>
      <c r="O160" s="488">
        <v>56004</v>
      </c>
      <c r="P160" s="479">
        <f t="shared" si="69"/>
        <v>140965</v>
      </c>
      <c r="Q160" s="480">
        <f t="shared" si="70"/>
        <v>4698.833333333333</v>
      </c>
      <c r="R160" s="481">
        <f t="shared" si="71"/>
        <v>137220</v>
      </c>
      <c r="S160" s="482">
        <f t="shared" si="72"/>
        <v>4574</v>
      </c>
      <c r="T160" s="506">
        <v>5457</v>
      </c>
      <c r="U160" s="507">
        <v>8133</v>
      </c>
      <c r="V160" s="479">
        <f t="shared" si="73"/>
        <v>140965</v>
      </c>
      <c r="W160" s="478">
        <f t="shared" si="74"/>
        <v>137220</v>
      </c>
      <c r="X160" s="506"/>
      <c r="Y160" s="488"/>
      <c r="Z160" s="506"/>
      <c r="AA160" s="488"/>
      <c r="AB160" s="506"/>
      <c r="AC160" s="488"/>
      <c r="AD160" s="506"/>
      <c r="AE160" s="507"/>
      <c r="AF160" s="479">
        <f t="shared" si="75"/>
        <v>0</v>
      </c>
      <c r="AG160" s="480">
        <f t="shared" si="76"/>
        <v>0</v>
      </c>
      <c r="AH160" s="481">
        <f t="shared" si="77"/>
        <v>0</v>
      </c>
      <c r="AI160" s="481">
        <f t="shared" si="78"/>
        <v>0</v>
      </c>
      <c r="AJ160" s="487"/>
      <c r="AK160" s="507"/>
      <c r="AL160" s="479">
        <f t="shared" si="79"/>
        <v>0</v>
      </c>
      <c r="AM160" s="482">
        <f t="shared" si="80"/>
        <v>0</v>
      </c>
      <c r="AN160" s="487"/>
      <c r="AO160" s="488"/>
      <c r="AP160" s="487"/>
      <c r="AQ160" s="488"/>
      <c r="AR160" s="487"/>
      <c r="AS160" s="488"/>
      <c r="AT160" s="487"/>
      <c r="AU160" s="488"/>
      <c r="AV160" s="479">
        <f t="shared" si="81"/>
        <v>0</v>
      </c>
      <c r="AW160" s="483">
        <f t="shared" si="82"/>
        <v>0</v>
      </c>
      <c r="AX160" s="481">
        <f t="shared" si="83"/>
        <v>0</v>
      </c>
      <c r="AY160" s="484">
        <f t="shared" si="84"/>
        <v>0</v>
      </c>
      <c r="AZ160" s="485">
        <f t="shared" si="85"/>
        <v>4698.833333333333</v>
      </c>
      <c r="BA160" s="481">
        <f t="shared" si="86"/>
        <v>4574</v>
      </c>
    </row>
    <row r="161" spans="1:53">
      <c r="A161" s="564" t="s">
        <v>142</v>
      </c>
      <c r="B161" s="570" t="s">
        <v>366</v>
      </c>
      <c r="C161" s="498"/>
      <c r="D161" s="566">
        <v>244446</v>
      </c>
      <c r="E161" s="499">
        <v>12</v>
      </c>
      <c r="F161" s="486" t="s">
        <v>41</v>
      </c>
      <c r="G161" s="529" t="s">
        <v>41</v>
      </c>
      <c r="H161" s="506"/>
      <c r="I161" s="488"/>
      <c r="J161" s="506">
        <v>32747</v>
      </c>
      <c r="K161" s="488">
        <v>39943</v>
      </c>
      <c r="L161" s="506">
        <v>21520</v>
      </c>
      <c r="M161" s="488">
        <v>27608</v>
      </c>
      <c r="N161" s="506">
        <v>37317</v>
      </c>
      <c r="O161" s="488">
        <v>39540</v>
      </c>
      <c r="P161" s="479">
        <f t="shared" si="69"/>
        <v>91584</v>
      </c>
      <c r="Q161" s="480">
        <f t="shared" si="70"/>
        <v>3052.8</v>
      </c>
      <c r="R161" s="481">
        <f t="shared" si="71"/>
        <v>107091</v>
      </c>
      <c r="S161" s="482">
        <f t="shared" si="72"/>
        <v>3569.7</v>
      </c>
      <c r="T161" s="506">
        <v>2980</v>
      </c>
      <c r="U161" s="507">
        <v>4057</v>
      </c>
      <c r="V161" s="479">
        <f t="shared" si="73"/>
        <v>91584</v>
      </c>
      <c r="W161" s="478">
        <f t="shared" si="74"/>
        <v>107091</v>
      </c>
      <c r="X161" s="506"/>
      <c r="Y161" s="488"/>
      <c r="Z161" s="506"/>
      <c r="AA161" s="488"/>
      <c r="AB161" s="506"/>
      <c r="AC161" s="488"/>
      <c r="AD161" s="506"/>
      <c r="AE161" s="507"/>
      <c r="AF161" s="479">
        <f t="shared" si="75"/>
        <v>0</v>
      </c>
      <c r="AG161" s="480">
        <f t="shared" si="76"/>
        <v>0</v>
      </c>
      <c r="AH161" s="481">
        <f t="shared" si="77"/>
        <v>0</v>
      </c>
      <c r="AI161" s="481">
        <f t="shared" si="78"/>
        <v>0</v>
      </c>
      <c r="AJ161" s="487"/>
      <c r="AK161" s="507"/>
      <c r="AL161" s="479">
        <f t="shared" si="79"/>
        <v>0</v>
      </c>
      <c r="AM161" s="482">
        <f t="shared" si="80"/>
        <v>0</v>
      </c>
      <c r="AN161" s="487"/>
      <c r="AO161" s="488"/>
      <c r="AP161" s="487"/>
      <c r="AQ161" s="488"/>
      <c r="AR161" s="487"/>
      <c r="AS161" s="488"/>
      <c r="AT161" s="487"/>
      <c r="AU161" s="488"/>
      <c r="AV161" s="479">
        <f t="shared" si="81"/>
        <v>0</v>
      </c>
      <c r="AW161" s="483">
        <f t="shared" si="82"/>
        <v>0</v>
      </c>
      <c r="AX161" s="481">
        <f t="shared" si="83"/>
        <v>0</v>
      </c>
      <c r="AY161" s="484">
        <f t="shared" si="84"/>
        <v>0</v>
      </c>
      <c r="AZ161" s="485">
        <f t="shared" si="85"/>
        <v>3052.8</v>
      </c>
      <c r="BA161" s="481">
        <f t="shared" si="86"/>
        <v>3569.7</v>
      </c>
    </row>
    <row r="162" spans="1:53">
      <c r="A162" s="567" t="s">
        <v>142</v>
      </c>
      <c r="B162" s="565" t="s">
        <v>367</v>
      </c>
      <c r="C162" s="494"/>
      <c r="D162" s="566">
        <v>140012</v>
      </c>
      <c r="E162" s="499">
        <v>12</v>
      </c>
      <c r="F162" s="486" t="s">
        <v>41</v>
      </c>
      <c r="G162" s="529" t="s">
        <v>41</v>
      </c>
      <c r="H162" s="506"/>
      <c r="I162" s="488"/>
      <c r="J162" s="506">
        <v>63543</v>
      </c>
      <c r="K162" s="488">
        <v>64176</v>
      </c>
      <c r="L162" s="506">
        <v>30033</v>
      </c>
      <c r="M162" s="488">
        <v>27610</v>
      </c>
      <c r="N162" s="506">
        <v>59948</v>
      </c>
      <c r="O162" s="488">
        <v>63356</v>
      </c>
      <c r="P162" s="479">
        <f t="shared" si="69"/>
        <v>153524</v>
      </c>
      <c r="Q162" s="480">
        <f t="shared" si="70"/>
        <v>5117.4666666666662</v>
      </c>
      <c r="R162" s="481">
        <f t="shared" si="71"/>
        <v>155142</v>
      </c>
      <c r="S162" s="482">
        <f t="shared" si="72"/>
        <v>5171.3999999999996</v>
      </c>
      <c r="T162" s="506">
        <v>1489</v>
      </c>
      <c r="U162" s="507">
        <v>3442</v>
      </c>
      <c r="V162" s="479">
        <f t="shared" si="73"/>
        <v>153524</v>
      </c>
      <c r="W162" s="478">
        <f t="shared" si="74"/>
        <v>155142</v>
      </c>
      <c r="X162" s="506"/>
      <c r="Y162" s="488"/>
      <c r="Z162" s="506"/>
      <c r="AA162" s="488"/>
      <c r="AB162" s="506"/>
      <c r="AC162" s="488"/>
      <c r="AD162" s="506"/>
      <c r="AE162" s="507"/>
      <c r="AF162" s="479">
        <f t="shared" si="75"/>
        <v>0</v>
      </c>
      <c r="AG162" s="480">
        <f t="shared" si="76"/>
        <v>0</v>
      </c>
      <c r="AH162" s="481">
        <f t="shared" si="77"/>
        <v>0</v>
      </c>
      <c r="AI162" s="481">
        <f t="shared" si="78"/>
        <v>0</v>
      </c>
      <c r="AJ162" s="487"/>
      <c r="AK162" s="507"/>
      <c r="AL162" s="479">
        <f t="shared" si="79"/>
        <v>0</v>
      </c>
      <c r="AM162" s="482">
        <f t="shared" si="80"/>
        <v>0</v>
      </c>
      <c r="AN162" s="487"/>
      <c r="AO162" s="488"/>
      <c r="AP162" s="487"/>
      <c r="AQ162" s="488"/>
      <c r="AR162" s="487"/>
      <c r="AS162" s="488"/>
      <c r="AT162" s="487"/>
      <c r="AU162" s="488"/>
      <c r="AV162" s="479">
        <f t="shared" si="81"/>
        <v>0</v>
      </c>
      <c r="AW162" s="483">
        <f t="shared" si="82"/>
        <v>0</v>
      </c>
      <c r="AX162" s="481">
        <f t="shared" si="83"/>
        <v>0</v>
      </c>
      <c r="AY162" s="484">
        <f t="shared" si="84"/>
        <v>0</v>
      </c>
      <c r="AZ162" s="485">
        <f t="shared" si="85"/>
        <v>5117.4666666666662</v>
      </c>
      <c r="BA162" s="481">
        <f t="shared" si="86"/>
        <v>5171.3999999999996</v>
      </c>
    </row>
    <row r="163" spans="1:53">
      <c r="A163" s="567" t="s">
        <v>142</v>
      </c>
      <c r="B163" s="565" t="s">
        <v>368</v>
      </c>
      <c r="C163" s="494"/>
      <c r="D163" s="566">
        <v>140243</v>
      </c>
      <c r="E163" s="499">
        <v>12</v>
      </c>
      <c r="F163" s="486" t="s">
        <v>41</v>
      </c>
      <c r="G163" s="529" t="s">
        <v>41</v>
      </c>
      <c r="H163" s="506"/>
      <c r="I163" s="488"/>
      <c r="J163" s="506">
        <v>31058</v>
      </c>
      <c r="K163" s="488">
        <v>27625</v>
      </c>
      <c r="L163" s="506">
        <v>16364</v>
      </c>
      <c r="M163" s="488">
        <v>15194</v>
      </c>
      <c r="N163" s="506">
        <v>29072</v>
      </c>
      <c r="O163" s="488">
        <v>31237</v>
      </c>
      <c r="P163" s="479">
        <f t="shared" si="69"/>
        <v>76494</v>
      </c>
      <c r="Q163" s="480">
        <f t="shared" si="70"/>
        <v>2549.8000000000002</v>
      </c>
      <c r="R163" s="481">
        <f t="shared" si="71"/>
        <v>74056</v>
      </c>
      <c r="S163" s="482">
        <f t="shared" si="72"/>
        <v>2468.5333333333333</v>
      </c>
      <c r="T163" s="506">
        <v>1988</v>
      </c>
      <c r="U163" s="507">
        <v>2985</v>
      </c>
      <c r="V163" s="479">
        <f t="shared" si="73"/>
        <v>76494</v>
      </c>
      <c r="W163" s="478">
        <f t="shared" si="74"/>
        <v>74056</v>
      </c>
      <c r="X163" s="506"/>
      <c r="Y163" s="488"/>
      <c r="Z163" s="506"/>
      <c r="AA163" s="488"/>
      <c r="AB163" s="506"/>
      <c r="AC163" s="488"/>
      <c r="AD163" s="506"/>
      <c r="AE163" s="507"/>
      <c r="AF163" s="479">
        <f t="shared" si="75"/>
        <v>0</v>
      </c>
      <c r="AG163" s="480">
        <f t="shared" si="76"/>
        <v>0</v>
      </c>
      <c r="AH163" s="481">
        <f t="shared" si="77"/>
        <v>0</v>
      </c>
      <c r="AI163" s="481">
        <f t="shared" si="78"/>
        <v>0</v>
      </c>
      <c r="AJ163" s="487"/>
      <c r="AK163" s="507"/>
      <c r="AL163" s="479">
        <f t="shared" si="79"/>
        <v>0</v>
      </c>
      <c r="AM163" s="482">
        <f t="shared" si="80"/>
        <v>0</v>
      </c>
      <c r="AN163" s="487"/>
      <c r="AO163" s="488"/>
      <c r="AP163" s="487"/>
      <c r="AQ163" s="488"/>
      <c r="AR163" s="487"/>
      <c r="AS163" s="488"/>
      <c r="AT163" s="487"/>
      <c r="AU163" s="488"/>
      <c r="AV163" s="479">
        <f t="shared" si="81"/>
        <v>0</v>
      </c>
      <c r="AW163" s="483">
        <f t="shared" si="82"/>
        <v>0</v>
      </c>
      <c r="AX163" s="481">
        <f t="shared" si="83"/>
        <v>0</v>
      </c>
      <c r="AY163" s="484">
        <f t="shared" si="84"/>
        <v>0</v>
      </c>
      <c r="AZ163" s="485">
        <f t="shared" si="85"/>
        <v>2549.8000000000002</v>
      </c>
      <c r="BA163" s="481">
        <f t="shared" si="86"/>
        <v>2468.5333333333333</v>
      </c>
    </row>
    <row r="164" spans="1:53">
      <c r="A164" s="567" t="s">
        <v>142</v>
      </c>
      <c r="B164" s="565" t="s">
        <v>369</v>
      </c>
      <c r="C164" s="494"/>
      <c r="D164" s="566">
        <v>140599</v>
      </c>
      <c r="E164" s="499">
        <v>12</v>
      </c>
      <c r="F164" s="486" t="s">
        <v>41</v>
      </c>
      <c r="G164" s="529" t="s">
        <v>41</v>
      </c>
      <c r="H164" s="506"/>
      <c r="I164" s="488"/>
      <c r="J164" s="506">
        <v>18687</v>
      </c>
      <c r="K164" s="488">
        <v>16067</v>
      </c>
      <c r="L164" s="506">
        <v>10288</v>
      </c>
      <c r="M164" s="488">
        <v>9717</v>
      </c>
      <c r="N164" s="506">
        <v>18459</v>
      </c>
      <c r="O164" s="488">
        <v>18730</v>
      </c>
      <c r="P164" s="479">
        <f t="shared" si="69"/>
        <v>47434</v>
      </c>
      <c r="Q164" s="480">
        <f t="shared" si="70"/>
        <v>1581.1333333333334</v>
      </c>
      <c r="R164" s="481">
        <f t="shared" si="71"/>
        <v>44514</v>
      </c>
      <c r="S164" s="482">
        <f t="shared" si="72"/>
        <v>1483.8</v>
      </c>
      <c r="T164" s="506">
        <v>3695</v>
      </c>
      <c r="U164" s="507">
        <v>4808</v>
      </c>
      <c r="V164" s="479">
        <f t="shared" si="73"/>
        <v>47434</v>
      </c>
      <c r="W164" s="478">
        <f t="shared" si="74"/>
        <v>44514</v>
      </c>
      <c r="X164" s="506"/>
      <c r="Y164" s="488"/>
      <c r="Z164" s="506"/>
      <c r="AA164" s="488"/>
      <c r="AB164" s="506"/>
      <c r="AC164" s="488"/>
      <c r="AD164" s="506"/>
      <c r="AE164" s="507"/>
      <c r="AF164" s="479">
        <f t="shared" si="75"/>
        <v>0</v>
      </c>
      <c r="AG164" s="480">
        <f t="shared" si="76"/>
        <v>0</v>
      </c>
      <c r="AH164" s="481">
        <f t="shared" si="77"/>
        <v>0</v>
      </c>
      <c r="AI164" s="481">
        <f t="shared" si="78"/>
        <v>0</v>
      </c>
      <c r="AJ164" s="487"/>
      <c r="AK164" s="507"/>
      <c r="AL164" s="479">
        <f t="shared" si="79"/>
        <v>0</v>
      </c>
      <c r="AM164" s="482">
        <f t="shared" si="80"/>
        <v>0</v>
      </c>
      <c r="AN164" s="487"/>
      <c r="AO164" s="488"/>
      <c r="AP164" s="487"/>
      <c r="AQ164" s="488"/>
      <c r="AR164" s="487"/>
      <c r="AS164" s="488"/>
      <c r="AT164" s="487"/>
      <c r="AU164" s="488"/>
      <c r="AV164" s="479">
        <f t="shared" si="81"/>
        <v>0</v>
      </c>
      <c r="AW164" s="483">
        <f t="shared" si="82"/>
        <v>0</v>
      </c>
      <c r="AX164" s="481">
        <f t="shared" si="83"/>
        <v>0</v>
      </c>
      <c r="AY164" s="484">
        <f t="shared" si="84"/>
        <v>0</v>
      </c>
      <c r="AZ164" s="485">
        <f t="shared" si="85"/>
        <v>1581.1333333333334</v>
      </c>
      <c r="BA164" s="481">
        <f t="shared" si="86"/>
        <v>1483.8</v>
      </c>
    </row>
    <row r="165" spans="1:53">
      <c r="A165" s="567" t="s">
        <v>142</v>
      </c>
      <c r="B165" s="565" t="s">
        <v>370</v>
      </c>
      <c r="C165" s="494"/>
      <c r="D165" s="566">
        <v>140678</v>
      </c>
      <c r="E165" s="499">
        <v>12</v>
      </c>
      <c r="F165" s="486" t="s">
        <v>41</v>
      </c>
      <c r="G165" s="529" t="s">
        <v>41</v>
      </c>
      <c r="H165" s="506"/>
      <c r="I165" s="488"/>
      <c r="J165" s="506">
        <v>23490</v>
      </c>
      <c r="K165" s="488">
        <v>22101</v>
      </c>
      <c r="L165" s="506">
        <v>13314</v>
      </c>
      <c r="M165" s="488">
        <v>13541</v>
      </c>
      <c r="N165" s="506">
        <v>23899</v>
      </c>
      <c r="O165" s="488">
        <v>24061</v>
      </c>
      <c r="P165" s="479">
        <f t="shared" si="69"/>
        <v>60703</v>
      </c>
      <c r="Q165" s="480">
        <f t="shared" si="70"/>
        <v>2023.4333333333334</v>
      </c>
      <c r="R165" s="481">
        <f t="shared" si="71"/>
        <v>59703</v>
      </c>
      <c r="S165" s="482">
        <f t="shared" si="72"/>
        <v>1990.1</v>
      </c>
      <c r="T165" s="506">
        <v>603.5</v>
      </c>
      <c r="U165" s="507">
        <v>1424</v>
      </c>
      <c r="V165" s="479">
        <f t="shared" si="73"/>
        <v>60703</v>
      </c>
      <c r="W165" s="478">
        <f t="shared" si="74"/>
        <v>59703</v>
      </c>
      <c r="X165" s="506"/>
      <c r="Y165" s="488"/>
      <c r="Z165" s="506"/>
      <c r="AA165" s="488"/>
      <c r="AB165" s="506"/>
      <c r="AC165" s="488"/>
      <c r="AD165" s="506"/>
      <c r="AE165" s="507"/>
      <c r="AF165" s="479">
        <f t="shared" si="75"/>
        <v>0</v>
      </c>
      <c r="AG165" s="480">
        <f t="shared" si="76"/>
        <v>0</v>
      </c>
      <c r="AH165" s="481">
        <f t="shared" si="77"/>
        <v>0</v>
      </c>
      <c r="AI165" s="481">
        <f t="shared" si="78"/>
        <v>0</v>
      </c>
      <c r="AJ165" s="487"/>
      <c r="AK165" s="507"/>
      <c r="AL165" s="479">
        <f t="shared" si="79"/>
        <v>0</v>
      </c>
      <c r="AM165" s="482">
        <f t="shared" si="80"/>
        <v>0</v>
      </c>
      <c r="AN165" s="487"/>
      <c r="AO165" s="488"/>
      <c r="AP165" s="487"/>
      <c r="AQ165" s="488"/>
      <c r="AR165" s="487"/>
      <c r="AS165" s="488"/>
      <c r="AT165" s="487"/>
      <c r="AU165" s="488"/>
      <c r="AV165" s="479">
        <f t="shared" si="81"/>
        <v>0</v>
      </c>
      <c r="AW165" s="483">
        <f t="shared" si="82"/>
        <v>0</v>
      </c>
      <c r="AX165" s="481">
        <f t="shared" si="83"/>
        <v>0</v>
      </c>
      <c r="AY165" s="484">
        <f t="shared" si="84"/>
        <v>0</v>
      </c>
      <c r="AZ165" s="485">
        <f t="shared" si="85"/>
        <v>2023.4333333333334</v>
      </c>
      <c r="BA165" s="481">
        <f t="shared" si="86"/>
        <v>1990.1</v>
      </c>
    </row>
    <row r="166" spans="1:53">
      <c r="A166" s="571" t="s">
        <v>142</v>
      </c>
      <c r="B166" s="570" t="s">
        <v>371</v>
      </c>
      <c r="C166" s="498"/>
      <c r="D166" s="566">
        <v>420431</v>
      </c>
      <c r="E166" s="499">
        <v>12</v>
      </c>
      <c r="F166" s="486" t="s">
        <v>41</v>
      </c>
      <c r="G166" s="529" t="s">
        <v>41</v>
      </c>
      <c r="H166" s="506"/>
      <c r="I166" s="488"/>
      <c r="J166" s="506">
        <v>16603</v>
      </c>
      <c r="K166" s="488">
        <v>16015</v>
      </c>
      <c r="L166" s="506">
        <v>10310</v>
      </c>
      <c r="M166" s="488">
        <v>11327</v>
      </c>
      <c r="N166" s="506">
        <v>15920</v>
      </c>
      <c r="O166" s="488">
        <v>15934</v>
      </c>
      <c r="P166" s="479">
        <f t="shared" si="69"/>
        <v>42833</v>
      </c>
      <c r="Q166" s="480">
        <f t="shared" si="70"/>
        <v>1427.7666666666667</v>
      </c>
      <c r="R166" s="481">
        <f t="shared" si="71"/>
        <v>43276</v>
      </c>
      <c r="S166" s="482">
        <f t="shared" si="72"/>
        <v>1442.5333333333333</v>
      </c>
      <c r="T166" s="506">
        <v>4036</v>
      </c>
      <c r="U166" s="507">
        <v>4749</v>
      </c>
      <c r="V166" s="479">
        <f t="shared" si="73"/>
        <v>42833</v>
      </c>
      <c r="W166" s="478">
        <f t="shared" si="74"/>
        <v>43276</v>
      </c>
      <c r="X166" s="506"/>
      <c r="Y166" s="488"/>
      <c r="Z166" s="506"/>
      <c r="AA166" s="488"/>
      <c r="AB166" s="506"/>
      <c r="AC166" s="488"/>
      <c r="AD166" s="506"/>
      <c r="AE166" s="507"/>
      <c r="AF166" s="479">
        <f t="shared" si="75"/>
        <v>0</v>
      </c>
      <c r="AG166" s="480">
        <f t="shared" si="76"/>
        <v>0</v>
      </c>
      <c r="AH166" s="481">
        <f t="shared" si="77"/>
        <v>0</v>
      </c>
      <c r="AI166" s="481">
        <f t="shared" si="78"/>
        <v>0</v>
      </c>
      <c r="AJ166" s="487"/>
      <c r="AK166" s="507"/>
      <c r="AL166" s="479">
        <f t="shared" si="79"/>
        <v>0</v>
      </c>
      <c r="AM166" s="482">
        <f t="shared" si="80"/>
        <v>0</v>
      </c>
      <c r="AN166" s="487"/>
      <c r="AO166" s="488"/>
      <c r="AP166" s="487"/>
      <c r="AQ166" s="488"/>
      <c r="AR166" s="487"/>
      <c r="AS166" s="488"/>
      <c r="AT166" s="487"/>
      <c r="AU166" s="488"/>
      <c r="AV166" s="479">
        <f t="shared" si="81"/>
        <v>0</v>
      </c>
      <c r="AW166" s="483">
        <f t="shared" si="82"/>
        <v>0</v>
      </c>
      <c r="AX166" s="481">
        <f t="shared" si="83"/>
        <v>0</v>
      </c>
      <c r="AY166" s="484">
        <f t="shared" si="84"/>
        <v>0</v>
      </c>
      <c r="AZ166" s="485">
        <f t="shared" si="85"/>
        <v>1427.7666666666667</v>
      </c>
      <c r="BA166" s="481">
        <f t="shared" si="86"/>
        <v>1442.5333333333333</v>
      </c>
    </row>
    <row r="167" spans="1:53" ht="15.75" customHeight="1">
      <c r="A167" s="572" t="s">
        <v>142</v>
      </c>
      <c r="B167" s="565" t="s">
        <v>372</v>
      </c>
      <c r="C167" s="494"/>
      <c r="D167" s="566">
        <v>366465</v>
      </c>
      <c r="E167" s="499">
        <v>12</v>
      </c>
      <c r="F167" s="486" t="s">
        <v>41</v>
      </c>
      <c r="G167" s="529" t="s">
        <v>41</v>
      </c>
      <c r="H167" s="506"/>
      <c r="I167" s="488"/>
      <c r="J167" s="506">
        <v>21910</v>
      </c>
      <c r="K167" s="488">
        <v>22354</v>
      </c>
      <c r="L167" s="506">
        <v>14115</v>
      </c>
      <c r="M167" s="488">
        <v>14732</v>
      </c>
      <c r="N167" s="506">
        <v>22469</v>
      </c>
      <c r="O167" s="488">
        <v>22323</v>
      </c>
      <c r="P167" s="479">
        <f t="shared" si="69"/>
        <v>58494</v>
      </c>
      <c r="Q167" s="480">
        <f t="shared" si="70"/>
        <v>1949.8</v>
      </c>
      <c r="R167" s="481">
        <f t="shared" si="71"/>
        <v>59409</v>
      </c>
      <c r="S167" s="482">
        <f t="shared" si="72"/>
        <v>1980.3</v>
      </c>
      <c r="T167" s="506">
        <v>1241</v>
      </c>
      <c r="U167" s="507">
        <v>814</v>
      </c>
      <c r="V167" s="479">
        <f t="shared" si="73"/>
        <v>58494</v>
      </c>
      <c r="W167" s="478">
        <f t="shared" si="74"/>
        <v>59409</v>
      </c>
      <c r="X167" s="506"/>
      <c r="Y167" s="488"/>
      <c r="Z167" s="506"/>
      <c r="AA167" s="488"/>
      <c r="AB167" s="506"/>
      <c r="AC167" s="488"/>
      <c r="AD167" s="506"/>
      <c r="AE167" s="507"/>
      <c r="AF167" s="479">
        <f t="shared" si="75"/>
        <v>0</v>
      </c>
      <c r="AG167" s="480">
        <f t="shared" si="76"/>
        <v>0</v>
      </c>
      <c r="AH167" s="481">
        <f t="shared" si="77"/>
        <v>0</v>
      </c>
      <c r="AI167" s="481">
        <f t="shared" si="78"/>
        <v>0</v>
      </c>
      <c r="AJ167" s="487"/>
      <c r="AK167" s="507"/>
      <c r="AL167" s="479">
        <f t="shared" si="79"/>
        <v>0</v>
      </c>
      <c r="AM167" s="482">
        <f t="shared" si="80"/>
        <v>0</v>
      </c>
      <c r="AN167" s="487"/>
      <c r="AO167" s="488"/>
      <c r="AP167" s="487"/>
      <c r="AQ167" s="488"/>
      <c r="AR167" s="487"/>
      <c r="AS167" s="488"/>
      <c r="AT167" s="487"/>
      <c r="AU167" s="488"/>
      <c r="AV167" s="479">
        <f t="shared" si="81"/>
        <v>0</v>
      </c>
      <c r="AW167" s="483">
        <f t="shared" si="82"/>
        <v>0</v>
      </c>
      <c r="AX167" s="481">
        <f t="shared" si="83"/>
        <v>0</v>
      </c>
      <c r="AY167" s="484">
        <f t="shared" si="84"/>
        <v>0</v>
      </c>
      <c r="AZ167" s="485">
        <f t="shared" si="85"/>
        <v>1949.8</v>
      </c>
      <c r="BA167" s="481">
        <f t="shared" si="86"/>
        <v>1980.3</v>
      </c>
    </row>
    <row r="168" spans="1:53" ht="15.75" customHeight="1">
      <c r="A168" s="572" t="s">
        <v>142</v>
      </c>
      <c r="B168" s="565" t="s">
        <v>373</v>
      </c>
      <c r="C168" s="649" t="s">
        <v>615</v>
      </c>
      <c r="D168" s="566">
        <v>248776</v>
      </c>
      <c r="E168" s="499">
        <v>12</v>
      </c>
      <c r="F168" s="486" t="s">
        <v>41</v>
      </c>
      <c r="G168" s="529" t="s">
        <v>41</v>
      </c>
      <c r="H168" s="506"/>
      <c r="I168" s="488"/>
      <c r="J168" s="506">
        <v>11217</v>
      </c>
      <c r="K168" s="488">
        <v>10527</v>
      </c>
      <c r="L168" s="506">
        <v>7073</v>
      </c>
      <c r="M168" s="488">
        <v>6182</v>
      </c>
      <c r="N168" s="506">
        <v>12148</v>
      </c>
      <c r="O168" s="488">
        <v>10697</v>
      </c>
      <c r="P168" s="479">
        <f t="shared" si="69"/>
        <v>30438</v>
      </c>
      <c r="Q168" s="480">
        <f t="shared" si="70"/>
        <v>1014.6</v>
      </c>
      <c r="R168" s="481">
        <f t="shared" si="71"/>
        <v>27406</v>
      </c>
      <c r="S168" s="482">
        <f t="shared" si="72"/>
        <v>913.5333333333333</v>
      </c>
      <c r="T168" s="506">
        <v>1218</v>
      </c>
      <c r="U168" s="507">
        <v>1927</v>
      </c>
      <c r="V168" s="479">
        <f t="shared" si="73"/>
        <v>30438</v>
      </c>
      <c r="W168" s="478">
        <f t="shared" si="74"/>
        <v>27406</v>
      </c>
      <c r="X168" s="506"/>
      <c r="Y168" s="488"/>
      <c r="Z168" s="506"/>
      <c r="AA168" s="488"/>
      <c r="AB168" s="506"/>
      <c r="AC168" s="488"/>
      <c r="AD168" s="506"/>
      <c r="AE168" s="507"/>
      <c r="AF168" s="479">
        <f t="shared" si="75"/>
        <v>0</v>
      </c>
      <c r="AG168" s="480">
        <f t="shared" si="76"/>
        <v>0</v>
      </c>
      <c r="AH168" s="481">
        <f t="shared" si="77"/>
        <v>0</v>
      </c>
      <c r="AI168" s="481">
        <f t="shared" si="78"/>
        <v>0</v>
      </c>
      <c r="AJ168" s="487"/>
      <c r="AK168" s="507"/>
      <c r="AL168" s="479">
        <f t="shared" si="79"/>
        <v>0</v>
      </c>
      <c r="AM168" s="482">
        <f t="shared" si="80"/>
        <v>0</v>
      </c>
      <c r="AN168" s="487"/>
      <c r="AO168" s="488"/>
      <c r="AP168" s="487"/>
      <c r="AQ168" s="488"/>
      <c r="AR168" s="487"/>
      <c r="AS168" s="488"/>
      <c r="AT168" s="487"/>
      <c r="AU168" s="488"/>
      <c r="AV168" s="479">
        <f t="shared" si="81"/>
        <v>0</v>
      </c>
      <c r="AW168" s="483">
        <f t="shared" si="82"/>
        <v>0</v>
      </c>
      <c r="AX168" s="481">
        <f t="shared" si="83"/>
        <v>0</v>
      </c>
      <c r="AY168" s="484">
        <f t="shared" si="84"/>
        <v>0</v>
      </c>
      <c r="AZ168" s="485">
        <f t="shared" si="85"/>
        <v>1014.6</v>
      </c>
      <c r="BA168" s="481">
        <f t="shared" si="86"/>
        <v>913.5333333333333</v>
      </c>
    </row>
    <row r="169" spans="1:53" ht="15.75" customHeight="1">
      <c r="A169" s="572" t="s">
        <v>142</v>
      </c>
      <c r="B169" s="565" t="s">
        <v>374</v>
      </c>
      <c r="C169" s="494"/>
      <c r="D169" s="566">
        <v>140942</v>
      </c>
      <c r="E169" s="499">
        <v>12</v>
      </c>
      <c r="F169" s="486" t="s">
        <v>41</v>
      </c>
      <c r="G169" s="529" t="s">
        <v>41</v>
      </c>
      <c r="H169" s="506"/>
      <c r="I169" s="488"/>
      <c r="J169" s="506">
        <v>40843</v>
      </c>
      <c r="K169" s="488">
        <v>43013</v>
      </c>
      <c r="L169" s="506">
        <v>25235</v>
      </c>
      <c r="M169" s="488">
        <v>23174</v>
      </c>
      <c r="N169" s="506">
        <v>44130</v>
      </c>
      <c r="O169" s="488">
        <v>44428</v>
      </c>
      <c r="P169" s="479">
        <f t="shared" si="69"/>
        <v>110208</v>
      </c>
      <c r="Q169" s="480">
        <f t="shared" si="70"/>
        <v>3673.6</v>
      </c>
      <c r="R169" s="481">
        <f t="shared" si="71"/>
        <v>110615</v>
      </c>
      <c r="S169" s="482">
        <f t="shared" si="72"/>
        <v>3687.1666666666665</v>
      </c>
      <c r="T169" s="506">
        <v>1356</v>
      </c>
      <c r="U169" s="507">
        <v>1903</v>
      </c>
      <c r="V169" s="479">
        <f t="shared" si="73"/>
        <v>110208</v>
      </c>
      <c r="W169" s="478">
        <f t="shared" si="74"/>
        <v>110615</v>
      </c>
      <c r="X169" s="506"/>
      <c r="Y169" s="488"/>
      <c r="Z169" s="506"/>
      <c r="AA169" s="488"/>
      <c r="AB169" s="506"/>
      <c r="AC169" s="488"/>
      <c r="AD169" s="506"/>
      <c r="AE169" s="507"/>
      <c r="AF169" s="479">
        <f t="shared" si="75"/>
        <v>0</v>
      </c>
      <c r="AG169" s="480">
        <f t="shared" si="76"/>
        <v>0</v>
      </c>
      <c r="AH169" s="481">
        <f t="shared" si="77"/>
        <v>0</v>
      </c>
      <c r="AI169" s="481">
        <f t="shared" si="78"/>
        <v>0</v>
      </c>
      <c r="AJ169" s="487"/>
      <c r="AK169" s="507"/>
      <c r="AL169" s="479">
        <f t="shared" si="79"/>
        <v>0</v>
      </c>
      <c r="AM169" s="482">
        <f t="shared" si="80"/>
        <v>0</v>
      </c>
      <c r="AN169" s="487"/>
      <c r="AO169" s="488"/>
      <c r="AP169" s="487"/>
      <c r="AQ169" s="488"/>
      <c r="AR169" s="487"/>
      <c r="AS169" s="488"/>
      <c r="AT169" s="487"/>
      <c r="AU169" s="488"/>
      <c r="AV169" s="479">
        <f t="shared" si="81"/>
        <v>0</v>
      </c>
      <c r="AW169" s="483">
        <f t="shared" si="82"/>
        <v>0</v>
      </c>
      <c r="AX169" s="481">
        <f t="shared" si="83"/>
        <v>0</v>
      </c>
      <c r="AY169" s="484">
        <f t="shared" si="84"/>
        <v>0</v>
      </c>
      <c r="AZ169" s="485">
        <f t="shared" si="85"/>
        <v>3673.6</v>
      </c>
      <c r="BA169" s="481">
        <f t="shared" si="86"/>
        <v>3687.1666666666665</v>
      </c>
    </row>
    <row r="170" spans="1:53" ht="15.75" customHeight="1">
      <c r="A170" s="572" t="s">
        <v>142</v>
      </c>
      <c r="B170" s="565" t="s">
        <v>375</v>
      </c>
      <c r="C170" s="494"/>
      <c r="D170" s="566">
        <v>141006</v>
      </c>
      <c r="E170" s="499">
        <v>12</v>
      </c>
      <c r="F170" s="486" t="s">
        <v>41</v>
      </c>
      <c r="G170" s="529" t="s">
        <v>41</v>
      </c>
      <c r="H170" s="506"/>
      <c r="I170" s="488"/>
      <c r="J170" s="506">
        <v>20930</v>
      </c>
      <c r="K170" s="488">
        <v>18395</v>
      </c>
      <c r="L170" s="506">
        <v>9300</v>
      </c>
      <c r="M170" s="488">
        <v>10404</v>
      </c>
      <c r="N170" s="506">
        <v>19249.7</v>
      </c>
      <c r="O170" s="488">
        <v>19401</v>
      </c>
      <c r="P170" s="479">
        <f t="shared" si="69"/>
        <v>49479.7</v>
      </c>
      <c r="Q170" s="480">
        <f t="shared" si="70"/>
        <v>1649.3233333333333</v>
      </c>
      <c r="R170" s="481">
        <f t="shared" si="71"/>
        <v>48200</v>
      </c>
      <c r="S170" s="482">
        <f t="shared" si="72"/>
        <v>1606.6666666666667</v>
      </c>
      <c r="T170" s="506">
        <v>1573.3</v>
      </c>
      <c r="U170" s="507">
        <v>2103</v>
      </c>
      <c r="V170" s="479">
        <f t="shared" si="73"/>
        <v>49479.7</v>
      </c>
      <c r="W170" s="478">
        <f t="shared" si="74"/>
        <v>48200</v>
      </c>
      <c r="X170" s="506"/>
      <c r="Y170" s="488"/>
      <c r="Z170" s="506"/>
      <c r="AA170" s="488"/>
      <c r="AB170" s="506"/>
      <c r="AC170" s="488"/>
      <c r="AD170" s="506"/>
      <c r="AE170" s="507"/>
      <c r="AF170" s="479">
        <f t="shared" si="75"/>
        <v>0</v>
      </c>
      <c r="AG170" s="480">
        <f t="shared" si="76"/>
        <v>0</v>
      </c>
      <c r="AH170" s="481">
        <f t="shared" si="77"/>
        <v>0</v>
      </c>
      <c r="AI170" s="481">
        <f t="shared" si="78"/>
        <v>0</v>
      </c>
      <c r="AJ170" s="487"/>
      <c r="AK170" s="507"/>
      <c r="AL170" s="479">
        <f t="shared" si="79"/>
        <v>0</v>
      </c>
      <c r="AM170" s="482">
        <f t="shared" si="80"/>
        <v>0</v>
      </c>
      <c r="AN170" s="487"/>
      <c r="AO170" s="488"/>
      <c r="AP170" s="487"/>
      <c r="AQ170" s="488"/>
      <c r="AR170" s="487"/>
      <c r="AS170" s="488"/>
      <c r="AT170" s="487"/>
      <c r="AU170" s="488"/>
      <c r="AV170" s="479">
        <f t="shared" si="81"/>
        <v>0</v>
      </c>
      <c r="AW170" s="483">
        <f t="shared" si="82"/>
        <v>0</v>
      </c>
      <c r="AX170" s="481">
        <f t="shared" si="83"/>
        <v>0</v>
      </c>
      <c r="AY170" s="484">
        <f t="shared" si="84"/>
        <v>0</v>
      </c>
      <c r="AZ170" s="485">
        <f t="shared" si="85"/>
        <v>1649.3233333333333</v>
      </c>
      <c r="BA170" s="481">
        <f t="shared" si="86"/>
        <v>1606.6666666666667</v>
      </c>
    </row>
    <row r="171" spans="1:53" ht="15.75" customHeight="1">
      <c r="A171" s="572" t="s">
        <v>142</v>
      </c>
      <c r="B171" s="570" t="s">
        <v>376</v>
      </c>
      <c r="C171" s="494"/>
      <c r="D171" s="566">
        <v>368911</v>
      </c>
      <c r="E171" s="499">
        <v>12</v>
      </c>
      <c r="F171" s="486" t="s">
        <v>41</v>
      </c>
      <c r="G171" s="529" t="s">
        <v>41</v>
      </c>
      <c r="H171" s="506"/>
      <c r="I171" s="488"/>
      <c r="J171" s="506">
        <v>16006</v>
      </c>
      <c r="K171" s="488">
        <v>14910</v>
      </c>
      <c r="L171" s="506">
        <v>9030</v>
      </c>
      <c r="M171" s="488">
        <v>8497</v>
      </c>
      <c r="N171" s="506">
        <v>15706</v>
      </c>
      <c r="O171" s="488">
        <v>13976</v>
      </c>
      <c r="P171" s="479">
        <f t="shared" si="69"/>
        <v>40742</v>
      </c>
      <c r="Q171" s="480">
        <f t="shared" si="70"/>
        <v>1358.0666666666666</v>
      </c>
      <c r="R171" s="481">
        <f t="shared" si="71"/>
        <v>37383</v>
      </c>
      <c r="S171" s="482">
        <f t="shared" si="72"/>
        <v>1246.0999999999999</v>
      </c>
      <c r="T171" s="506">
        <v>2270</v>
      </c>
      <c r="U171" s="507">
        <v>2228</v>
      </c>
      <c r="V171" s="479">
        <f t="shared" si="73"/>
        <v>40742</v>
      </c>
      <c r="W171" s="478">
        <f t="shared" si="74"/>
        <v>37383</v>
      </c>
      <c r="X171" s="506"/>
      <c r="Y171" s="488"/>
      <c r="Z171" s="506"/>
      <c r="AA171" s="488"/>
      <c r="AB171" s="506"/>
      <c r="AC171" s="488"/>
      <c r="AD171" s="506"/>
      <c r="AE171" s="507"/>
      <c r="AF171" s="479">
        <f t="shared" si="75"/>
        <v>0</v>
      </c>
      <c r="AG171" s="480">
        <f t="shared" si="76"/>
        <v>0</v>
      </c>
      <c r="AH171" s="481">
        <f t="shared" si="77"/>
        <v>0</v>
      </c>
      <c r="AI171" s="481">
        <f t="shared" si="78"/>
        <v>0</v>
      </c>
      <c r="AJ171" s="487"/>
      <c r="AK171" s="507"/>
      <c r="AL171" s="479">
        <f t="shared" si="79"/>
        <v>0</v>
      </c>
      <c r="AM171" s="482">
        <f t="shared" si="80"/>
        <v>0</v>
      </c>
      <c r="AN171" s="487"/>
      <c r="AO171" s="488"/>
      <c r="AP171" s="487"/>
      <c r="AQ171" s="488"/>
      <c r="AR171" s="487"/>
      <c r="AS171" s="488"/>
      <c r="AT171" s="487"/>
      <c r="AU171" s="488"/>
      <c r="AV171" s="479">
        <f t="shared" si="81"/>
        <v>0</v>
      </c>
      <c r="AW171" s="483">
        <f t="shared" si="82"/>
        <v>0</v>
      </c>
      <c r="AX171" s="481">
        <f t="shared" si="83"/>
        <v>0</v>
      </c>
      <c r="AY171" s="484">
        <f t="shared" si="84"/>
        <v>0</v>
      </c>
      <c r="AZ171" s="485">
        <f t="shared" si="85"/>
        <v>1358.0666666666666</v>
      </c>
      <c r="BA171" s="481">
        <f t="shared" si="86"/>
        <v>1246.0999999999999</v>
      </c>
    </row>
    <row r="172" spans="1:53" ht="15.75" customHeight="1">
      <c r="A172" s="572" t="s">
        <v>142</v>
      </c>
      <c r="B172" s="568" t="s">
        <v>377</v>
      </c>
      <c r="C172" s="494"/>
      <c r="D172" s="566">
        <v>139986</v>
      </c>
      <c r="E172" s="504">
        <v>12</v>
      </c>
      <c r="F172" s="486" t="s">
        <v>41</v>
      </c>
      <c r="G172" s="529" t="s">
        <v>41</v>
      </c>
      <c r="H172" s="506"/>
      <c r="I172" s="488"/>
      <c r="J172" s="506">
        <v>50196</v>
      </c>
      <c r="K172" s="488">
        <v>50053</v>
      </c>
      <c r="L172" s="506">
        <v>22700</v>
      </c>
      <c r="M172" s="488">
        <v>23295</v>
      </c>
      <c r="N172" s="506">
        <v>52330</v>
      </c>
      <c r="O172" s="488">
        <v>49685</v>
      </c>
      <c r="P172" s="479">
        <f t="shared" si="69"/>
        <v>125226</v>
      </c>
      <c r="Q172" s="480">
        <f t="shared" si="70"/>
        <v>4174.2</v>
      </c>
      <c r="R172" s="481">
        <f t="shared" si="71"/>
        <v>123033</v>
      </c>
      <c r="S172" s="482">
        <f t="shared" si="72"/>
        <v>4101.1000000000004</v>
      </c>
      <c r="T172" s="506">
        <v>1938</v>
      </c>
      <c r="U172" s="507">
        <v>2503</v>
      </c>
      <c r="V172" s="479">
        <f t="shared" si="73"/>
        <v>125226</v>
      </c>
      <c r="W172" s="478">
        <f t="shared" si="74"/>
        <v>123033</v>
      </c>
      <c r="X172" s="506"/>
      <c r="Y172" s="488"/>
      <c r="Z172" s="506"/>
      <c r="AA172" s="488"/>
      <c r="AB172" s="506"/>
      <c r="AC172" s="488"/>
      <c r="AD172" s="506"/>
      <c r="AE172" s="507"/>
      <c r="AF172" s="479">
        <f t="shared" si="75"/>
        <v>0</v>
      </c>
      <c r="AG172" s="480">
        <f t="shared" si="76"/>
        <v>0</v>
      </c>
      <c r="AH172" s="481">
        <f t="shared" si="77"/>
        <v>0</v>
      </c>
      <c r="AI172" s="481">
        <f t="shared" si="78"/>
        <v>0</v>
      </c>
      <c r="AJ172" s="487"/>
      <c r="AK172" s="507"/>
      <c r="AL172" s="479">
        <f t="shared" si="79"/>
        <v>0</v>
      </c>
      <c r="AM172" s="482">
        <f t="shared" si="80"/>
        <v>0</v>
      </c>
      <c r="AN172" s="487"/>
      <c r="AO172" s="488"/>
      <c r="AP172" s="487"/>
      <c r="AQ172" s="488"/>
      <c r="AR172" s="487"/>
      <c r="AS172" s="488"/>
      <c r="AT172" s="487"/>
      <c r="AU172" s="488"/>
      <c r="AV172" s="479">
        <f t="shared" si="81"/>
        <v>0</v>
      </c>
      <c r="AW172" s="483">
        <f t="shared" si="82"/>
        <v>0</v>
      </c>
      <c r="AX172" s="481">
        <f t="shared" si="83"/>
        <v>0</v>
      </c>
      <c r="AY172" s="484">
        <f t="shared" si="84"/>
        <v>0</v>
      </c>
      <c r="AZ172" s="485">
        <f t="shared" si="85"/>
        <v>4174.2</v>
      </c>
      <c r="BA172" s="481">
        <f t="shared" si="86"/>
        <v>4101.1000000000004</v>
      </c>
    </row>
    <row r="173" spans="1:53" ht="15.75" customHeight="1">
      <c r="A173" s="572" t="s">
        <v>142</v>
      </c>
      <c r="B173" s="570" t="s">
        <v>378</v>
      </c>
      <c r="C173" s="494"/>
      <c r="D173" s="566">
        <v>141158</v>
      </c>
      <c r="E173" s="499">
        <v>12</v>
      </c>
      <c r="F173" s="486" t="s">
        <v>41</v>
      </c>
      <c r="G173" s="529" t="s">
        <v>41</v>
      </c>
      <c r="H173" s="506"/>
      <c r="I173" s="488"/>
      <c r="J173" s="506">
        <v>14546</v>
      </c>
      <c r="K173" s="488">
        <v>13723</v>
      </c>
      <c r="L173" s="506">
        <v>8470</v>
      </c>
      <c r="M173" s="488">
        <v>8231</v>
      </c>
      <c r="N173" s="506">
        <v>13749</v>
      </c>
      <c r="O173" s="488">
        <v>13117</v>
      </c>
      <c r="P173" s="479">
        <f t="shared" si="69"/>
        <v>36765</v>
      </c>
      <c r="Q173" s="480">
        <f t="shared" si="70"/>
        <v>1225.5</v>
      </c>
      <c r="R173" s="481">
        <f t="shared" si="71"/>
        <v>35071</v>
      </c>
      <c r="S173" s="482">
        <f t="shared" si="72"/>
        <v>1169.0333333333333</v>
      </c>
      <c r="T173" s="506">
        <v>2339.3000000000002</v>
      </c>
      <c r="U173" s="507">
        <v>2967.4</v>
      </c>
      <c r="V173" s="479">
        <f t="shared" si="73"/>
        <v>36765</v>
      </c>
      <c r="W173" s="478">
        <f t="shared" si="74"/>
        <v>35071</v>
      </c>
      <c r="X173" s="506"/>
      <c r="Y173" s="488"/>
      <c r="Z173" s="506"/>
      <c r="AA173" s="488"/>
      <c r="AB173" s="506"/>
      <c r="AC173" s="488"/>
      <c r="AD173" s="506"/>
      <c r="AE173" s="507"/>
      <c r="AF173" s="479">
        <f t="shared" si="75"/>
        <v>0</v>
      </c>
      <c r="AG173" s="480">
        <f t="shared" si="76"/>
        <v>0</v>
      </c>
      <c r="AH173" s="481">
        <f t="shared" si="77"/>
        <v>0</v>
      </c>
      <c r="AI173" s="481">
        <f t="shared" si="78"/>
        <v>0</v>
      </c>
      <c r="AJ173" s="487"/>
      <c r="AK173" s="507"/>
      <c r="AL173" s="479">
        <f t="shared" si="79"/>
        <v>0</v>
      </c>
      <c r="AM173" s="482">
        <f t="shared" si="80"/>
        <v>0</v>
      </c>
      <c r="AN173" s="487"/>
      <c r="AO173" s="488"/>
      <c r="AP173" s="487"/>
      <c r="AQ173" s="488"/>
      <c r="AR173" s="487"/>
      <c r="AS173" s="488"/>
      <c r="AT173" s="487"/>
      <c r="AU173" s="488"/>
      <c r="AV173" s="479">
        <f t="shared" si="81"/>
        <v>0</v>
      </c>
      <c r="AW173" s="483">
        <f t="shared" si="82"/>
        <v>0</v>
      </c>
      <c r="AX173" s="481">
        <f t="shared" si="83"/>
        <v>0</v>
      </c>
      <c r="AY173" s="484">
        <f t="shared" si="84"/>
        <v>0</v>
      </c>
      <c r="AZ173" s="485">
        <f t="shared" si="85"/>
        <v>1225.5</v>
      </c>
      <c r="BA173" s="481">
        <f t="shared" si="86"/>
        <v>1169.0333333333333</v>
      </c>
    </row>
    <row r="174" spans="1:53" ht="15.75" customHeight="1">
      <c r="A174" s="571" t="s">
        <v>142</v>
      </c>
      <c r="B174" s="570" t="s">
        <v>379</v>
      </c>
      <c r="C174" s="494"/>
      <c r="D174" s="566">
        <v>139278</v>
      </c>
      <c r="E174" s="499">
        <v>12</v>
      </c>
      <c r="F174" s="486" t="s">
        <v>41</v>
      </c>
      <c r="G174" s="529" t="s">
        <v>41</v>
      </c>
      <c r="H174" s="506"/>
      <c r="I174" s="488"/>
      <c r="J174" s="506">
        <v>59203</v>
      </c>
      <c r="K174" s="488">
        <v>57449</v>
      </c>
      <c r="L174" s="506">
        <v>27351</v>
      </c>
      <c r="M174" s="488">
        <v>27544</v>
      </c>
      <c r="N174" s="506">
        <v>58238</v>
      </c>
      <c r="O174" s="488">
        <v>62029</v>
      </c>
      <c r="P174" s="479">
        <f t="shared" si="69"/>
        <v>144792</v>
      </c>
      <c r="Q174" s="480">
        <f t="shared" si="70"/>
        <v>4826.3999999999996</v>
      </c>
      <c r="R174" s="481">
        <f t="shared" si="71"/>
        <v>147022</v>
      </c>
      <c r="S174" s="482">
        <f t="shared" si="72"/>
        <v>4900.7333333333336</v>
      </c>
      <c r="T174" s="506">
        <v>6971</v>
      </c>
      <c r="U174" s="507">
        <v>9058</v>
      </c>
      <c r="V174" s="479">
        <f t="shared" si="73"/>
        <v>144792</v>
      </c>
      <c r="W174" s="478">
        <f t="shared" si="74"/>
        <v>147022</v>
      </c>
      <c r="X174" s="506"/>
      <c r="Y174" s="488"/>
      <c r="Z174" s="506"/>
      <c r="AA174" s="488"/>
      <c r="AB174" s="506"/>
      <c r="AC174" s="488"/>
      <c r="AD174" s="506"/>
      <c r="AE174" s="507"/>
      <c r="AF174" s="479">
        <f t="shared" si="75"/>
        <v>0</v>
      </c>
      <c r="AG174" s="480">
        <f t="shared" si="76"/>
        <v>0</v>
      </c>
      <c r="AH174" s="481">
        <f t="shared" si="77"/>
        <v>0</v>
      </c>
      <c r="AI174" s="481">
        <f t="shared" si="78"/>
        <v>0</v>
      </c>
      <c r="AJ174" s="487"/>
      <c r="AK174" s="507"/>
      <c r="AL174" s="479">
        <f t="shared" si="79"/>
        <v>0</v>
      </c>
      <c r="AM174" s="482">
        <f t="shared" si="80"/>
        <v>0</v>
      </c>
      <c r="AN174" s="487"/>
      <c r="AO174" s="488"/>
      <c r="AP174" s="487"/>
      <c r="AQ174" s="488"/>
      <c r="AR174" s="487"/>
      <c r="AS174" s="488"/>
      <c r="AT174" s="487"/>
      <c r="AU174" s="488"/>
      <c r="AV174" s="479">
        <f t="shared" si="81"/>
        <v>0</v>
      </c>
      <c r="AW174" s="483">
        <f t="shared" si="82"/>
        <v>0</v>
      </c>
      <c r="AX174" s="481">
        <f t="shared" si="83"/>
        <v>0</v>
      </c>
      <c r="AY174" s="484">
        <f t="shared" si="84"/>
        <v>0</v>
      </c>
      <c r="AZ174" s="485">
        <f t="shared" si="85"/>
        <v>4826.3999999999996</v>
      </c>
      <c r="BA174" s="481">
        <f t="shared" si="86"/>
        <v>4900.7333333333336</v>
      </c>
    </row>
    <row r="175" spans="1:53" ht="15.75" customHeight="1">
      <c r="A175" s="572" t="s">
        <v>142</v>
      </c>
      <c r="B175" s="568" t="s">
        <v>380</v>
      </c>
      <c r="C175" s="494"/>
      <c r="D175" s="566">
        <v>141255</v>
      </c>
      <c r="E175" s="504">
        <v>12</v>
      </c>
      <c r="F175" s="486" t="s">
        <v>41</v>
      </c>
      <c r="G175" s="529" t="s">
        <v>41</v>
      </c>
      <c r="H175" s="506"/>
      <c r="I175" s="488"/>
      <c r="J175" s="506">
        <v>39061</v>
      </c>
      <c r="K175" s="488">
        <v>37016</v>
      </c>
      <c r="L175" s="506">
        <v>21641</v>
      </c>
      <c r="M175" s="488">
        <v>19779</v>
      </c>
      <c r="N175" s="506">
        <v>38740</v>
      </c>
      <c r="O175" s="488">
        <v>36797</v>
      </c>
      <c r="P175" s="479">
        <f t="shared" si="69"/>
        <v>99442</v>
      </c>
      <c r="Q175" s="480">
        <f t="shared" si="70"/>
        <v>3314.7333333333331</v>
      </c>
      <c r="R175" s="481">
        <f t="shared" si="71"/>
        <v>93592</v>
      </c>
      <c r="S175" s="482">
        <f t="shared" si="72"/>
        <v>3119.7333333333331</v>
      </c>
      <c r="T175" s="506">
        <v>3295</v>
      </c>
      <c r="U175" s="507">
        <v>5063</v>
      </c>
      <c r="V175" s="479">
        <f t="shared" si="73"/>
        <v>99442</v>
      </c>
      <c r="W175" s="478">
        <f t="shared" si="74"/>
        <v>93592</v>
      </c>
      <c r="X175" s="506"/>
      <c r="Y175" s="488"/>
      <c r="Z175" s="506"/>
      <c r="AA175" s="488"/>
      <c r="AB175" s="506"/>
      <c r="AC175" s="488"/>
      <c r="AD175" s="506"/>
      <c r="AE175" s="507"/>
      <c r="AF175" s="479">
        <f t="shared" si="75"/>
        <v>0</v>
      </c>
      <c r="AG175" s="480">
        <f t="shared" si="76"/>
        <v>0</v>
      </c>
      <c r="AH175" s="481">
        <f t="shared" si="77"/>
        <v>0</v>
      </c>
      <c r="AI175" s="481">
        <f t="shared" si="78"/>
        <v>0</v>
      </c>
      <c r="AJ175" s="487"/>
      <c r="AK175" s="507"/>
      <c r="AL175" s="479">
        <f t="shared" si="79"/>
        <v>0</v>
      </c>
      <c r="AM175" s="482">
        <f t="shared" si="80"/>
        <v>0</v>
      </c>
      <c r="AN175" s="487"/>
      <c r="AO175" s="488"/>
      <c r="AP175" s="487"/>
      <c r="AQ175" s="488"/>
      <c r="AR175" s="487"/>
      <c r="AS175" s="488"/>
      <c r="AT175" s="487"/>
      <c r="AU175" s="488"/>
      <c r="AV175" s="479">
        <f t="shared" si="81"/>
        <v>0</v>
      </c>
      <c r="AW175" s="483">
        <f t="shared" si="82"/>
        <v>0</v>
      </c>
      <c r="AX175" s="481">
        <f t="shared" si="83"/>
        <v>0</v>
      </c>
      <c r="AY175" s="484">
        <f t="shared" si="84"/>
        <v>0</v>
      </c>
      <c r="AZ175" s="485">
        <f t="shared" si="85"/>
        <v>3314.7333333333331</v>
      </c>
      <c r="BA175" s="481">
        <f t="shared" si="86"/>
        <v>3119.7333333333331</v>
      </c>
    </row>
    <row r="176" spans="1:53" ht="15.75" customHeight="1">
      <c r="A176" s="536" t="s">
        <v>219</v>
      </c>
      <c r="B176" s="537" t="s">
        <v>681</v>
      </c>
      <c r="C176" s="651"/>
      <c r="D176" s="680">
        <v>157085</v>
      </c>
      <c r="E176" s="539">
        <v>1</v>
      </c>
      <c r="F176" s="486" t="s">
        <v>41</v>
      </c>
      <c r="G176" s="529"/>
      <c r="H176" s="506"/>
      <c r="I176" s="488"/>
      <c r="J176" s="506">
        <v>254226</v>
      </c>
      <c r="K176" s="812">
        <v>265699</v>
      </c>
      <c r="L176" s="506">
        <v>26786</v>
      </c>
      <c r="M176" s="812">
        <v>25543</v>
      </c>
      <c r="N176" s="506">
        <v>287886</v>
      </c>
      <c r="O176" s="812">
        <v>297245</v>
      </c>
      <c r="P176" s="479">
        <f t="shared" si="69"/>
        <v>568898</v>
      </c>
      <c r="Q176" s="480">
        <f t="shared" si="70"/>
        <v>18963.266666666666</v>
      </c>
      <c r="R176" s="481">
        <f t="shared" si="71"/>
        <v>588487</v>
      </c>
      <c r="S176" s="482">
        <f t="shared" si="72"/>
        <v>19616.233333333334</v>
      </c>
      <c r="T176" s="506">
        <v>67</v>
      </c>
      <c r="U176" s="507">
        <v>59</v>
      </c>
      <c r="V176" s="479">
        <f t="shared" si="73"/>
        <v>568898</v>
      </c>
      <c r="W176" s="478">
        <f t="shared" si="74"/>
        <v>588487</v>
      </c>
      <c r="X176" s="506"/>
      <c r="Y176" s="488"/>
      <c r="Z176" s="506"/>
      <c r="AA176" s="488"/>
      <c r="AB176" s="506"/>
      <c r="AC176" s="488"/>
      <c r="AD176" s="506"/>
      <c r="AE176" s="507"/>
      <c r="AF176" s="479">
        <f t="shared" si="75"/>
        <v>0</v>
      </c>
      <c r="AG176" s="480">
        <f t="shared" si="76"/>
        <v>0</v>
      </c>
      <c r="AH176" s="481">
        <f t="shared" si="77"/>
        <v>0</v>
      </c>
      <c r="AI176" s="481">
        <f t="shared" si="78"/>
        <v>0</v>
      </c>
      <c r="AJ176" s="487"/>
      <c r="AK176" s="507"/>
      <c r="AL176" s="479">
        <f t="shared" si="79"/>
        <v>0</v>
      </c>
      <c r="AM176" s="482">
        <f t="shared" si="80"/>
        <v>0</v>
      </c>
      <c r="AN176" s="487"/>
      <c r="AO176" s="488"/>
      <c r="AP176" s="487">
        <v>38218</v>
      </c>
      <c r="AQ176" s="812">
        <v>38968</v>
      </c>
      <c r="AR176" s="487">
        <v>6445</v>
      </c>
      <c r="AS176" s="812">
        <v>5558</v>
      </c>
      <c r="AT176" s="487">
        <v>41006</v>
      </c>
      <c r="AU176" s="812">
        <v>39409</v>
      </c>
      <c r="AV176" s="479">
        <f t="shared" si="81"/>
        <v>85669</v>
      </c>
      <c r="AW176" s="483">
        <f t="shared" si="82"/>
        <v>3569.5416666666665</v>
      </c>
      <c r="AX176" s="481">
        <f t="shared" si="83"/>
        <v>83935</v>
      </c>
      <c r="AY176" s="484">
        <f t="shared" si="84"/>
        <v>3497.2916666666665</v>
      </c>
      <c r="AZ176" s="485">
        <f t="shared" si="85"/>
        <v>22532.808333333334</v>
      </c>
      <c r="BA176" s="481">
        <f t="shared" si="86"/>
        <v>23113.525000000001</v>
      </c>
    </row>
    <row r="177" spans="1:53" ht="15.75" customHeight="1">
      <c r="A177" s="536" t="s">
        <v>219</v>
      </c>
      <c r="B177" s="537" t="s">
        <v>682</v>
      </c>
      <c r="C177" s="651"/>
      <c r="D177" s="680">
        <v>157289</v>
      </c>
      <c r="E177" s="539">
        <v>1</v>
      </c>
      <c r="F177" s="486" t="s">
        <v>41</v>
      </c>
      <c r="G177" s="529"/>
      <c r="H177" s="506"/>
      <c r="I177" s="488"/>
      <c r="J177" s="506">
        <v>172938</v>
      </c>
      <c r="K177" s="812">
        <v>174943</v>
      </c>
      <c r="L177" s="506">
        <v>33151</v>
      </c>
      <c r="M177" s="812">
        <v>34804</v>
      </c>
      <c r="N177" s="506">
        <v>192741</v>
      </c>
      <c r="O177" s="812">
        <v>195044</v>
      </c>
      <c r="P177" s="479">
        <f t="shared" si="69"/>
        <v>398830</v>
      </c>
      <c r="Q177" s="480">
        <f t="shared" si="70"/>
        <v>13294.333333333334</v>
      </c>
      <c r="R177" s="481">
        <f t="shared" si="71"/>
        <v>404791</v>
      </c>
      <c r="S177" s="482">
        <f t="shared" si="72"/>
        <v>13493.033333333333</v>
      </c>
      <c r="T177" s="506">
        <v>1485</v>
      </c>
      <c r="U177" s="507">
        <v>1701</v>
      </c>
      <c r="V177" s="479">
        <f t="shared" si="73"/>
        <v>398830</v>
      </c>
      <c r="W177" s="478">
        <f t="shared" si="74"/>
        <v>404791</v>
      </c>
      <c r="X177" s="506"/>
      <c r="Y177" s="488"/>
      <c r="Z177" s="506"/>
      <c r="AA177" s="488"/>
      <c r="AB177" s="506"/>
      <c r="AC177" s="488"/>
      <c r="AD177" s="506"/>
      <c r="AE177" s="507"/>
      <c r="AF177" s="479">
        <f t="shared" si="75"/>
        <v>0</v>
      </c>
      <c r="AG177" s="480">
        <f t="shared" si="76"/>
        <v>0</v>
      </c>
      <c r="AH177" s="481">
        <f t="shared" si="77"/>
        <v>0</v>
      </c>
      <c r="AI177" s="481">
        <f t="shared" si="78"/>
        <v>0</v>
      </c>
      <c r="AJ177" s="487"/>
      <c r="AK177" s="507"/>
      <c r="AL177" s="479">
        <f t="shared" si="79"/>
        <v>0</v>
      </c>
      <c r="AM177" s="482">
        <f t="shared" si="80"/>
        <v>0</v>
      </c>
      <c r="AN177" s="487"/>
      <c r="AO177" s="488"/>
      <c r="AP177" s="487">
        <v>32598</v>
      </c>
      <c r="AQ177" s="812">
        <v>32120</v>
      </c>
      <c r="AR177" s="487">
        <v>10649</v>
      </c>
      <c r="AS177" s="812">
        <v>10485</v>
      </c>
      <c r="AT177" s="487">
        <v>32939</v>
      </c>
      <c r="AU177" s="812">
        <v>33089</v>
      </c>
      <c r="AV177" s="479">
        <f t="shared" si="81"/>
        <v>76186</v>
      </c>
      <c r="AW177" s="483">
        <f t="shared" si="82"/>
        <v>3174.4166666666665</v>
      </c>
      <c r="AX177" s="481">
        <f t="shared" si="83"/>
        <v>75694</v>
      </c>
      <c r="AY177" s="484">
        <f t="shared" si="84"/>
        <v>3153.9166666666665</v>
      </c>
      <c r="AZ177" s="485">
        <f t="shared" si="85"/>
        <v>16468.75</v>
      </c>
      <c r="BA177" s="481">
        <f t="shared" si="86"/>
        <v>16646.95</v>
      </c>
    </row>
    <row r="178" spans="1:53" ht="15.75" customHeight="1">
      <c r="A178" s="536" t="s">
        <v>219</v>
      </c>
      <c r="B178" s="537" t="s">
        <v>683</v>
      </c>
      <c r="C178" s="651"/>
      <c r="D178" s="680">
        <v>156620</v>
      </c>
      <c r="E178" s="539">
        <v>3</v>
      </c>
      <c r="F178" s="486" t="s">
        <v>41</v>
      </c>
      <c r="G178" s="529"/>
      <c r="H178" s="506"/>
      <c r="I178" s="488"/>
      <c r="J178" s="506">
        <v>161687</v>
      </c>
      <c r="K178" s="812">
        <v>162793</v>
      </c>
      <c r="L178" s="506">
        <v>21855</v>
      </c>
      <c r="M178" s="812">
        <v>20177</v>
      </c>
      <c r="N178" s="506">
        <v>177480</v>
      </c>
      <c r="O178" s="812">
        <v>174732</v>
      </c>
      <c r="P178" s="479">
        <f t="shared" si="69"/>
        <v>361022</v>
      </c>
      <c r="Q178" s="480">
        <f t="shared" si="70"/>
        <v>12034.066666666668</v>
      </c>
      <c r="R178" s="481">
        <f t="shared" si="71"/>
        <v>357702</v>
      </c>
      <c r="S178" s="482">
        <f t="shared" si="72"/>
        <v>11923.4</v>
      </c>
      <c r="T178" s="506">
        <v>3279</v>
      </c>
      <c r="U178" s="507">
        <v>3872</v>
      </c>
      <c r="V178" s="479">
        <f t="shared" si="73"/>
        <v>361022</v>
      </c>
      <c r="W178" s="478">
        <f t="shared" si="74"/>
        <v>357702</v>
      </c>
      <c r="X178" s="506"/>
      <c r="Y178" s="488"/>
      <c r="Z178" s="506"/>
      <c r="AA178" s="488"/>
      <c r="AB178" s="506"/>
      <c r="AC178" s="488"/>
      <c r="AD178" s="506"/>
      <c r="AE178" s="507"/>
      <c r="AF178" s="479">
        <f t="shared" si="75"/>
        <v>0</v>
      </c>
      <c r="AG178" s="480">
        <f t="shared" si="76"/>
        <v>0</v>
      </c>
      <c r="AH178" s="481">
        <f t="shared" si="77"/>
        <v>0</v>
      </c>
      <c r="AI178" s="481">
        <f t="shared" si="78"/>
        <v>0</v>
      </c>
      <c r="AJ178" s="487"/>
      <c r="AK178" s="507"/>
      <c r="AL178" s="479">
        <f t="shared" si="79"/>
        <v>0</v>
      </c>
      <c r="AM178" s="482">
        <f t="shared" si="80"/>
        <v>0</v>
      </c>
      <c r="AN178" s="487"/>
      <c r="AO178" s="488"/>
      <c r="AP178" s="487">
        <v>13582</v>
      </c>
      <c r="AQ178" s="812">
        <v>14248</v>
      </c>
      <c r="AR178" s="487">
        <v>8883</v>
      </c>
      <c r="AS178" s="812">
        <v>8272</v>
      </c>
      <c r="AT178" s="487">
        <v>13409</v>
      </c>
      <c r="AU178" s="812">
        <v>14998</v>
      </c>
      <c r="AV178" s="479">
        <f t="shared" si="81"/>
        <v>35874</v>
      </c>
      <c r="AW178" s="483">
        <f t="shared" si="82"/>
        <v>1494.75</v>
      </c>
      <c r="AX178" s="481">
        <f t="shared" si="83"/>
        <v>37518</v>
      </c>
      <c r="AY178" s="484">
        <f t="shared" si="84"/>
        <v>1563.25</v>
      </c>
      <c r="AZ178" s="485">
        <f t="shared" si="85"/>
        <v>13528.816666666668</v>
      </c>
      <c r="BA178" s="481">
        <f t="shared" si="86"/>
        <v>13486.65</v>
      </c>
    </row>
    <row r="179" spans="1:53" ht="15" customHeight="1">
      <c r="A179" s="536" t="s">
        <v>219</v>
      </c>
      <c r="B179" s="681" t="s">
        <v>684</v>
      </c>
      <c r="C179" s="651"/>
      <c r="D179" s="680">
        <v>157386</v>
      </c>
      <c r="E179" s="539">
        <v>3</v>
      </c>
      <c r="F179" s="486" t="s">
        <v>41</v>
      </c>
      <c r="G179" s="529"/>
      <c r="H179" s="506"/>
      <c r="I179" s="488"/>
      <c r="J179" s="506">
        <v>86320</v>
      </c>
      <c r="K179" s="812">
        <v>88754</v>
      </c>
      <c r="L179" s="506">
        <v>8272</v>
      </c>
      <c r="M179" s="812">
        <v>7532</v>
      </c>
      <c r="N179" s="506">
        <v>102105</v>
      </c>
      <c r="O179" s="812">
        <v>106682</v>
      </c>
      <c r="P179" s="479">
        <f t="shared" si="69"/>
        <v>196697</v>
      </c>
      <c r="Q179" s="480">
        <f t="shared" si="70"/>
        <v>6556.5666666666666</v>
      </c>
      <c r="R179" s="481">
        <f t="shared" si="71"/>
        <v>202968</v>
      </c>
      <c r="S179" s="482">
        <f t="shared" si="72"/>
        <v>6765.6</v>
      </c>
      <c r="T179" s="506">
        <v>14347</v>
      </c>
      <c r="U179" s="507">
        <v>14763</v>
      </c>
      <c r="V179" s="479">
        <f t="shared" si="73"/>
        <v>196697</v>
      </c>
      <c r="W179" s="478">
        <f t="shared" si="74"/>
        <v>202968</v>
      </c>
      <c r="X179" s="506"/>
      <c r="Y179" s="488"/>
      <c r="Z179" s="506"/>
      <c r="AA179" s="488"/>
      <c r="AB179" s="506"/>
      <c r="AC179" s="488"/>
      <c r="AD179" s="506"/>
      <c r="AE179" s="507"/>
      <c r="AF179" s="479">
        <f t="shared" si="75"/>
        <v>0</v>
      </c>
      <c r="AG179" s="480">
        <f t="shared" si="76"/>
        <v>0</v>
      </c>
      <c r="AH179" s="481">
        <f t="shared" si="77"/>
        <v>0</v>
      </c>
      <c r="AI179" s="481">
        <f t="shared" si="78"/>
        <v>0</v>
      </c>
      <c r="AJ179" s="487"/>
      <c r="AK179" s="507"/>
      <c r="AL179" s="479">
        <f t="shared" si="79"/>
        <v>0</v>
      </c>
      <c r="AM179" s="482">
        <f t="shared" si="80"/>
        <v>0</v>
      </c>
      <c r="AN179" s="487"/>
      <c r="AO179" s="488"/>
      <c r="AP179" s="487">
        <v>8898</v>
      </c>
      <c r="AQ179" s="812">
        <v>8231</v>
      </c>
      <c r="AR179" s="487">
        <v>5108</v>
      </c>
      <c r="AS179" s="812">
        <v>3913</v>
      </c>
      <c r="AT179" s="487">
        <v>8740</v>
      </c>
      <c r="AU179" s="812">
        <v>7537</v>
      </c>
      <c r="AV179" s="479">
        <f t="shared" si="81"/>
        <v>22746</v>
      </c>
      <c r="AW179" s="483">
        <f t="shared" si="82"/>
        <v>947.75</v>
      </c>
      <c r="AX179" s="481">
        <f t="shared" si="83"/>
        <v>19681</v>
      </c>
      <c r="AY179" s="484">
        <f t="shared" si="84"/>
        <v>820.04166666666663</v>
      </c>
      <c r="AZ179" s="485">
        <f t="shared" si="85"/>
        <v>7504.3166666666666</v>
      </c>
      <c r="BA179" s="481">
        <f t="shared" si="86"/>
        <v>7585.6416666666673</v>
      </c>
    </row>
    <row r="180" spans="1:53" ht="15" customHeight="1">
      <c r="A180" s="536" t="s">
        <v>219</v>
      </c>
      <c r="B180" s="537" t="s">
        <v>685</v>
      </c>
      <c r="C180" s="651"/>
      <c r="D180" s="680">
        <v>157401</v>
      </c>
      <c r="E180" s="539">
        <v>3</v>
      </c>
      <c r="F180" s="486" t="s">
        <v>41</v>
      </c>
      <c r="G180" s="529"/>
      <c r="H180" s="506"/>
      <c r="I180" s="488"/>
      <c r="J180" s="506">
        <v>104296</v>
      </c>
      <c r="K180" s="812">
        <v>106205</v>
      </c>
      <c r="L180" s="506">
        <v>8560</v>
      </c>
      <c r="M180" s="812">
        <v>8915</v>
      </c>
      <c r="N180" s="506">
        <v>114877</v>
      </c>
      <c r="O180" s="812">
        <v>116521</v>
      </c>
      <c r="P180" s="479">
        <f t="shared" si="69"/>
        <v>227733</v>
      </c>
      <c r="Q180" s="480">
        <f t="shared" si="70"/>
        <v>7591.1</v>
      </c>
      <c r="R180" s="481">
        <f t="shared" si="71"/>
        <v>231641</v>
      </c>
      <c r="S180" s="482">
        <f t="shared" si="72"/>
        <v>7721.3666666666668</v>
      </c>
      <c r="T180" s="506">
        <v>3537</v>
      </c>
      <c r="U180" s="507">
        <v>4432</v>
      </c>
      <c r="V180" s="479">
        <f t="shared" si="73"/>
        <v>227733</v>
      </c>
      <c r="W180" s="478">
        <f t="shared" si="74"/>
        <v>231641</v>
      </c>
      <c r="X180" s="506"/>
      <c r="Y180" s="488"/>
      <c r="Z180" s="506"/>
      <c r="AA180" s="488"/>
      <c r="AB180" s="506"/>
      <c r="AC180" s="488"/>
      <c r="AD180" s="506"/>
      <c r="AE180" s="507"/>
      <c r="AF180" s="479">
        <f t="shared" si="75"/>
        <v>0</v>
      </c>
      <c r="AG180" s="480">
        <f t="shared" si="76"/>
        <v>0</v>
      </c>
      <c r="AH180" s="481">
        <f t="shared" si="77"/>
        <v>0</v>
      </c>
      <c r="AI180" s="481">
        <f t="shared" si="78"/>
        <v>0</v>
      </c>
      <c r="AJ180" s="487"/>
      <c r="AK180" s="507"/>
      <c r="AL180" s="479">
        <f t="shared" si="79"/>
        <v>0</v>
      </c>
      <c r="AM180" s="482">
        <f t="shared" si="80"/>
        <v>0</v>
      </c>
      <c r="AN180" s="487"/>
      <c r="AO180" s="488"/>
      <c r="AP180" s="487">
        <v>12678</v>
      </c>
      <c r="AQ180" s="812">
        <v>12234</v>
      </c>
      <c r="AR180" s="487">
        <v>5524</v>
      </c>
      <c r="AS180" s="812">
        <v>5266</v>
      </c>
      <c r="AT180" s="487">
        <v>12623</v>
      </c>
      <c r="AU180" s="812">
        <v>11820</v>
      </c>
      <c r="AV180" s="479">
        <f t="shared" si="81"/>
        <v>30825</v>
      </c>
      <c r="AW180" s="483">
        <f t="shared" si="82"/>
        <v>1284.375</v>
      </c>
      <c r="AX180" s="481">
        <f t="shared" si="83"/>
        <v>29320</v>
      </c>
      <c r="AY180" s="484">
        <f t="shared" si="84"/>
        <v>1221.6666666666667</v>
      </c>
      <c r="AZ180" s="485">
        <f t="shared" si="85"/>
        <v>8875.4750000000004</v>
      </c>
      <c r="BA180" s="481">
        <f t="shared" si="86"/>
        <v>8943.0333333333328</v>
      </c>
    </row>
    <row r="181" spans="1:53" ht="15.75" customHeight="1">
      <c r="A181" s="536" t="s">
        <v>219</v>
      </c>
      <c r="B181" s="537" t="s">
        <v>686</v>
      </c>
      <c r="C181" s="651"/>
      <c r="D181" s="680">
        <v>157951</v>
      </c>
      <c r="E181" s="539">
        <v>3</v>
      </c>
      <c r="F181" s="486" t="s">
        <v>41</v>
      </c>
      <c r="G181" s="529"/>
      <c r="H181" s="506"/>
      <c r="I181" s="488"/>
      <c r="J181" s="506">
        <v>209719</v>
      </c>
      <c r="K181" s="812">
        <v>205547</v>
      </c>
      <c r="L181" s="506">
        <v>24669</v>
      </c>
      <c r="M181" s="812">
        <v>23331</v>
      </c>
      <c r="N181" s="506">
        <v>222559</v>
      </c>
      <c r="O181" s="812">
        <v>215275</v>
      </c>
      <c r="P181" s="479">
        <f t="shared" si="69"/>
        <v>456947</v>
      </c>
      <c r="Q181" s="480">
        <f t="shared" si="70"/>
        <v>15231.566666666668</v>
      </c>
      <c r="R181" s="481">
        <f t="shared" si="71"/>
        <v>444153</v>
      </c>
      <c r="S181" s="482">
        <f t="shared" si="72"/>
        <v>14805.1</v>
      </c>
      <c r="T181" s="506">
        <v>13475</v>
      </c>
      <c r="U181" s="507">
        <v>13779</v>
      </c>
      <c r="V181" s="479">
        <f t="shared" si="73"/>
        <v>456947</v>
      </c>
      <c r="W181" s="478">
        <f t="shared" si="74"/>
        <v>444153</v>
      </c>
      <c r="X181" s="506"/>
      <c r="Y181" s="488"/>
      <c r="Z181" s="506"/>
      <c r="AA181" s="488"/>
      <c r="AB181" s="506"/>
      <c r="AC181" s="488"/>
      <c r="AD181" s="506"/>
      <c r="AE181" s="507"/>
      <c r="AF181" s="479">
        <f t="shared" si="75"/>
        <v>0</v>
      </c>
      <c r="AG181" s="480">
        <f t="shared" si="76"/>
        <v>0</v>
      </c>
      <c r="AH181" s="481">
        <f t="shared" si="77"/>
        <v>0</v>
      </c>
      <c r="AI181" s="481">
        <f t="shared" si="78"/>
        <v>0</v>
      </c>
      <c r="AJ181" s="487"/>
      <c r="AK181" s="507"/>
      <c r="AL181" s="479">
        <f t="shared" si="79"/>
        <v>0</v>
      </c>
      <c r="AM181" s="482">
        <f t="shared" si="80"/>
        <v>0</v>
      </c>
      <c r="AN181" s="487"/>
      <c r="AO181" s="488"/>
      <c r="AP181" s="487">
        <v>19888</v>
      </c>
      <c r="AQ181" s="812">
        <v>18706</v>
      </c>
      <c r="AR181" s="487">
        <v>8973</v>
      </c>
      <c r="AS181" s="812">
        <v>8571</v>
      </c>
      <c r="AT181" s="487">
        <v>18908</v>
      </c>
      <c r="AU181" s="812">
        <v>18747</v>
      </c>
      <c r="AV181" s="479">
        <f t="shared" si="81"/>
        <v>47769</v>
      </c>
      <c r="AW181" s="483">
        <f t="shared" si="82"/>
        <v>1990.375</v>
      </c>
      <c r="AX181" s="481">
        <f t="shared" si="83"/>
        <v>46024</v>
      </c>
      <c r="AY181" s="484">
        <f t="shared" si="84"/>
        <v>1917.6666666666667</v>
      </c>
      <c r="AZ181" s="485">
        <f t="shared" si="85"/>
        <v>17221.941666666666</v>
      </c>
      <c r="BA181" s="481">
        <f t="shared" si="86"/>
        <v>16722.766666666666</v>
      </c>
    </row>
    <row r="182" spans="1:53" ht="15.75" customHeight="1">
      <c r="A182" s="536" t="s">
        <v>219</v>
      </c>
      <c r="B182" s="681" t="s">
        <v>687</v>
      </c>
      <c r="C182" s="651"/>
      <c r="D182" s="680">
        <v>157058</v>
      </c>
      <c r="E182" s="539">
        <v>4</v>
      </c>
      <c r="F182" s="486" t="s">
        <v>41</v>
      </c>
      <c r="G182" s="529"/>
      <c r="H182" s="506"/>
      <c r="I182" s="488"/>
      <c r="J182" s="506">
        <v>28955</v>
      </c>
      <c r="K182" s="812">
        <v>27319</v>
      </c>
      <c r="L182" s="506">
        <v>3801</v>
      </c>
      <c r="M182" s="812">
        <v>3490</v>
      </c>
      <c r="N182" s="506">
        <v>27941</v>
      </c>
      <c r="O182" s="812">
        <v>29036</v>
      </c>
      <c r="P182" s="479">
        <f t="shared" si="69"/>
        <v>60697</v>
      </c>
      <c r="Q182" s="480">
        <f t="shared" si="70"/>
        <v>2023.2333333333333</v>
      </c>
      <c r="R182" s="481">
        <f t="shared" si="71"/>
        <v>59845</v>
      </c>
      <c r="S182" s="482">
        <f t="shared" si="72"/>
        <v>1994.8333333333333</v>
      </c>
      <c r="T182" s="506">
        <v>1436</v>
      </c>
      <c r="U182" s="507">
        <v>2484</v>
      </c>
      <c r="V182" s="479">
        <f t="shared" si="73"/>
        <v>60697</v>
      </c>
      <c r="W182" s="478">
        <f t="shared" si="74"/>
        <v>59845</v>
      </c>
      <c r="X182" s="506"/>
      <c r="Y182" s="488"/>
      <c r="Z182" s="506"/>
      <c r="AA182" s="488"/>
      <c r="AB182" s="506"/>
      <c r="AC182" s="488"/>
      <c r="AD182" s="506"/>
      <c r="AE182" s="507"/>
      <c r="AF182" s="479">
        <f t="shared" si="75"/>
        <v>0</v>
      </c>
      <c r="AG182" s="480">
        <f t="shared" si="76"/>
        <v>0</v>
      </c>
      <c r="AH182" s="481">
        <f t="shared" si="77"/>
        <v>0</v>
      </c>
      <c r="AI182" s="481">
        <f t="shared" si="78"/>
        <v>0</v>
      </c>
      <c r="AJ182" s="487"/>
      <c r="AK182" s="507"/>
      <c r="AL182" s="479">
        <f t="shared" si="79"/>
        <v>0</v>
      </c>
      <c r="AM182" s="482">
        <f t="shared" si="80"/>
        <v>0</v>
      </c>
      <c r="AN182" s="487"/>
      <c r="AO182" s="488"/>
      <c r="AP182" s="487">
        <v>1600</v>
      </c>
      <c r="AQ182" s="812">
        <v>1321</v>
      </c>
      <c r="AR182" s="487">
        <v>397</v>
      </c>
      <c r="AS182" s="812">
        <v>153</v>
      </c>
      <c r="AT182" s="487">
        <v>1676</v>
      </c>
      <c r="AU182" s="812">
        <v>1164</v>
      </c>
      <c r="AV182" s="479">
        <f t="shared" si="81"/>
        <v>3673</v>
      </c>
      <c r="AW182" s="483">
        <f t="shared" si="82"/>
        <v>153.04166666666666</v>
      </c>
      <c r="AX182" s="481">
        <f t="shared" si="83"/>
        <v>2638</v>
      </c>
      <c r="AY182" s="484">
        <f t="shared" si="84"/>
        <v>109.91666666666667</v>
      </c>
      <c r="AZ182" s="485">
        <f t="shared" si="85"/>
        <v>2176.2750000000001</v>
      </c>
      <c r="BA182" s="481">
        <f t="shared" si="86"/>
        <v>2104.75</v>
      </c>
    </row>
    <row r="183" spans="1:53" ht="15.75" customHeight="1">
      <c r="A183" s="536" t="s">
        <v>219</v>
      </c>
      <c r="B183" s="537" t="s">
        <v>688</v>
      </c>
      <c r="C183" s="651" t="s">
        <v>705</v>
      </c>
      <c r="D183" s="680">
        <v>157447</v>
      </c>
      <c r="E183" s="539">
        <v>4</v>
      </c>
      <c r="F183" s="486" t="s">
        <v>41</v>
      </c>
      <c r="G183" s="529"/>
      <c r="H183" s="506"/>
      <c r="I183" s="488"/>
      <c r="J183" s="506">
        <v>149607</v>
      </c>
      <c r="K183" s="812">
        <v>147488</v>
      </c>
      <c r="L183" s="506">
        <v>19078</v>
      </c>
      <c r="M183" s="812">
        <v>18551</v>
      </c>
      <c r="N183" s="506">
        <v>163225</v>
      </c>
      <c r="O183" s="812">
        <v>161227</v>
      </c>
      <c r="P183" s="479">
        <f t="shared" si="69"/>
        <v>331910</v>
      </c>
      <c r="Q183" s="480">
        <f t="shared" si="70"/>
        <v>11063.666666666666</v>
      </c>
      <c r="R183" s="481">
        <f t="shared" si="71"/>
        <v>327266</v>
      </c>
      <c r="S183" s="482">
        <f t="shared" si="72"/>
        <v>10908.866666666667</v>
      </c>
      <c r="T183" s="506">
        <v>4064</v>
      </c>
      <c r="U183" s="507">
        <v>4199</v>
      </c>
      <c r="V183" s="479">
        <f t="shared" si="73"/>
        <v>331910</v>
      </c>
      <c r="W183" s="478">
        <f t="shared" si="74"/>
        <v>327266</v>
      </c>
      <c r="X183" s="506"/>
      <c r="Y183" s="488"/>
      <c r="Z183" s="506"/>
      <c r="AA183" s="488"/>
      <c r="AB183" s="506"/>
      <c r="AC183" s="488"/>
      <c r="AD183" s="506"/>
      <c r="AE183" s="507"/>
      <c r="AF183" s="479">
        <f t="shared" si="75"/>
        <v>0</v>
      </c>
      <c r="AG183" s="480">
        <f t="shared" si="76"/>
        <v>0</v>
      </c>
      <c r="AH183" s="481">
        <f t="shared" si="77"/>
        <v>0</v>
      </c>
      <c r="AI183" s="481">
        <f t="shared" si="78"/>
        <v>0</v>
      </c>
      <c r="AJ183" s="487"/>
      <c r="AK183" s="507"/>
      <c r="AL183" s="479">
        <f t="shared" si="79"/>
        <v>0</v>
      </c>
      <c r="AM183" s="482">
        <f t="shared" si="80"/>
        <v>0</v>
      </c>
      <c r="AN183" s="487"/>
      <c r="AO183" s="488"/>
      <c r="AP183" s="487">
        <v>16877</v>
      </c>
      <c r="AQ183" s="812">
        <v>16904</v>
      </c>
      <c r="AR183" s="487">
        <v>5830</v>
      </c>
      <c r="AS183" s="812">
        <v>5750</v>
      </c>
      <c r="AT183" s="487">
        <v>17085</v>
      </c>
      <c r="AU183" s="812">
        <v>16359</v>
      </c>
      <c r="AV183" s="479">
        <f t="shared" si="81"/>
        <v>39792</v>
      </c>
      <c r="AW183" s="483">
        <f t="shared" si="82"/>
        <v>1658</v>
      </c>
      <c r="AX183" s="481">
        <f t="shared" si="83"/>
        <v>39013</v>
      </c>
      <c r="AY183" s="484">
        <f t="shared" si="84"/>
        <v>1625.5416666666667</v>
      </c>
      <c r="AZ183" s="485">
        <f t="shared" si="85"/>
        <v>12721.666666666666</v>
      </c>
      <c r="BA183" s="481">
        <f t="shared" si="86"/>
        <v>12534.408333333333</v>
      </c>
    </row>
    <row r="184" spans="1:53" ht="15.75" customHeight="1">
      <c r="A184" s="536" t="s">
        <v>219</v>
      </c>
      <c r="B184" s="537" t="s">
        <v>689</v>
      </c>
      <c r="C184" s="653"/>
      <c r="D184" s="652">
        <v>157173</v>
      </c>
      <c r="E184" s="646">
        <v>8</v>
      </c>
      <c r="F184" s="486" t="s">
        <v>41</v>
      </c>
      <c r="G184" s="529"/>
      <c r="H184" s="506"/>
      <c r="I184" s="488"/>
      <c r="J184" s="506">
        <v>118051</v>
      </c>
      <c r="K184" s="488">
        <v>108236</v>
      </c>
      <c r="L184" s="506">
        <v>23850</v>
      </c>
      <c r="M184" s="488">
        <v>20882</v>
      </c>
      <c r="N184" s="506">
        <v>124714</v>
      </c>
      <c r="O184" s="488">
        <v>111652</v>
      </c>
      <c r="P184" s="479">
        <f t="shared" si="69"/>
        <v>266615</v>
      </c>
      <c r="Q184" s="480">
        <f t="shared" si="70"/>
        <v>8887.1666666666661</v>
      </c>
      <c r="R184" s="481">
        <f t="shared" si="71"/>
        <v>240770</v>
      </c>
      <c r="S184" s="482">
        <f t="shared" si="72"/>
        <v>8025.666666666667</v>
      </c>
      <c r="T184" s="506">
        <v>7826</v>
      </c>
      <c r="U184" s="507">
        <v>8675</v>
      </c>
      <c r="V184" s="479">
        <f t="shared" si="73"/>
        <v>266615</v>
      </c>
      <c r="W184" s="478">
        <f t="shared" si="74"/>
        <v>240770</v>
      </c>
      <c r="X184" s="506"/>
      <c r="Y184" s="488"/>
      <c r="Z184" s="506"/>
      <c r="AA184" s="488"/>
      <c r="AB184" s="506"/>
      <c r="AC184" s="488"/>
      <c r="AD184" s="506"/>
      <c r="AE184" s="507"/>
      <c r="AF184" s="479">
        <f t="shared" si="75"/>
        <v>0</v>
      </c>
      <c r="AG184" s="480">
        <f t="shared" si="76"/>
        <v>0</v>
      </c>
      <c r="AH184" s="481">
        <f t="shared" si="77"/>
        <v>0</v>
      </c>
      <c r="AI184" s="481">
        <f t="shared" si="78"/>
        <v>0</v>
      </c>
      <c r="AJ184" s="487"/>
      <c r="AK184" s="507"/>
      <c r="AL184" s="479">
        <f t="shared" si="79"/>
        <v>0</v>
      </c>
      <c r="AM184" s="482">
        <f t="shared" si="80"/>
        <v>0</v>
      </c>
      <c r="AN184" s="487"/>
      <c r="AO184" s="488"/>
      <c r="AP184" s="487"/>
      <c r="AQ184" s="488"/>
      <c r="AR184" s="487"/>
      <c r="AS184" s="488"/>
      <c r="AT184" s="487"/>
      <c r="AU184" s="488"/>
      <c r="AV184" s="479">
        <f t="shared" si="81"/>
        <v>0</v>
      </c>
      <c r="AW184" s="483">
        <f t="shared" si="82"/>
        <v>0</v>
      </c>
      <c r="AX184" s="481">
        <f t="shared" si="83"/>
        <v>0</v>
      </c>
      <c r="AY184" s="484">
        <f t="shared" si="84"/>
        <v>0</v>
      </c>
      <c r="AZ184" s="485">
        <f t="shared" si="85"/>
        <v>8887.1666666666661</v>
      </c>
      <c r="BA184" s="481">
        <f t="shared" si="86"/>
        <v>8025.666666666667</v>
      </c>
    </row>
    <row r="185" spans="1:53" ht="15.75" customHeight="1">
      <c r="A185" s="536" t="s">
        <v>219</v>
      </c>
      <c r="B185" s="537" t="s">
        <v>690</v>
      </c>
      <c r="C185" s="653"/>
      <c r="D185" s="652">
        <v>156921</v>
      </c>
      <c r="E185" s="646">
        <v>8</v>
      </c>
      <c r="F185" s="486" t="s">
        <v>41</v>
      </c>
      <c r="G185" s="529"/>
      <c r="H185" s="506"/>
      <c r="I185" s="488"/>
      <c r="J185" s="506">
        <v>112521</v>
      </c>
      <c r="K185" s="488">
        <v>104271</v>
      </c>
      <c r="L185" s="506">
        <v>18247</v>
      </c>
      <c r="M185" s="488">
        <v>15108</v>
      </c>
      <c r="N185" s="506">
        <v>115977</v>
      </c>
      <c r="O185" s="488">
        <v>107505</v>
      </c>
      <c r="P185" s="479">
        <f t="shared" si="69"/>
        <v>246745</v>
      </c>
      <c r="Q185" s="480">
        <f t="shared" si="70"/>
        <v>8224.8333333333339</v>
      </c>
      <c r="R185" s="481">
        <f t="shared" si="71"/>
        <v>226884</v>
      </c>
      <c r="S185" s="482">
        <f t="shared" si="72"/>
        <v>7562.8</v>
      </c>
      <c r="T185" s="506">
        <v>9837</v>
      </c>
      <c r="U185" s="507">
        <v>10689</v>
      </c>
      <c r="V185" s="479">
        <f t="shared" si="73"/>
        <v>246745</v>
      </c>
      <c r="W185" s="478">
        <f t="shared" si="74"/>
        <v>226884</v>
      </c>
      <c r="X185" s="506"/>
      <c r="Y185" s="488"/>
      <c r="Z185" s="506"/>
      <c r="AA185" s="488"/>
      <c r="AB185" s="506"/>
      <c r="AC185" s="488"/>
      <c r="AD185" s="506"/>
      <c r="AE185" s="507"/>
      <c r="AF185" s="479">
        <f t="shared" si="75"/>
        <v>0</v>
      </c>
      <c r="AG185" s="480">
        <f t="shared" si="76"/>
        <v>0</v>
      </c>
      <c r="AH185" s="481">
        <f t="shared" si="77"/>
        <v>0</v>
      </c>
      <c r="AI185" s="481">
        <f t="shared" si="78"/>
        <v>0</v>
      </c>
      <c r="AJ185" s="487"/>
      <c r="AK185" s="507"/>
      <c r="AL185" s="479">
        <f t="shared" si="79"/>
        <v>0</v>
      </c>
      <c r="AM185" s="482">
        <f t="shared" si="80"/>
        <v>0</v>
      </c>
      <c r="AN185" s="487"/>
      <c r="AO185" s="488"/>
      <c r="AP185" s="487"/>
      <c r="AQ185" s="488"/>
      <c r="AR185" s="487"/>
      <c r="AS185" s="488"/>
      <c r="AT185" s="487"/>
      <c r="AU185" s="488"/>
      <c r="AV185" s="479">
        <f t="shared" si="81"/>
        <v>0</v>
      </c>
      <c r="AW185" s="483">
        <f t="shared" si="82"/>
        <v>0</v>
      </c>
      <c r="AX185" s="481">
        <f t="shared" si="83"/>
        <v>0</v>
      </c>
      <c r="AY185" s="484">
        <f t="shared" si="84"/>
        <v>0</v>
      </c>
      <c r="AZ185" s="485">
        <f t="shared" si="85"/>
        <v>8224.8333333333339</v>
      </c>
      <c r="BA185" s="481">
        <f t="shared" si="86"/>
        <v>7562.8</v>
      </c>
    </row>
    <row r="186" spans="1:53" ht="15.75" customHeight="1">
      <c r="A186" s="536" t="s">
        <v>219</v>
      </c>
      <c r="B186" s="537" t="s">
        <v>691</v>
      </c>
      <c r="C186" s="653"/>
      <c r="D186" s="652">
        <v>156231</v>
      </c>
      <c r="E186" s="646">
        <v>9</v>
      </c>
      <c r="F186" s="486" t="s">
        <v>41</v>
      </c>
      <c r="G186" s="529"/>
      <c r="H186" s="506"/>
      <c r="I186" s="488"/>
      <c r="J186" s="506">
        <v>32226</v>
      </c>
      <c r="K186" s="488">
        <v>30700</v>
      </c>
      <c r="L186" s="506">
        <v>6956</v>
      </c>
      <c r="M186" s="488">
        <v>5643</v>
      </c>
      <c r="N186" s="506">
        <v>36818</v>
      </c>
      <c r="O186" s="488">
        <v>35829</v>
      </c>
      <c r="P186" s="479">
        <f t="shared" si="69"/>
        <v>76000</v>
      </c>
      <c r="Q186" s="480">
        <f t="shared" si="70"/>
        <v>2533.3333333333335</v>
      </c>
      <c r="R186" s="481">
        <f t="shared" si="71"/>
        <v>72172</v>
      </c>
      <c r="S186" s="482">
        <f t="shared" si="72"/>
        <v>2405.7333333333331</v>
      </c>
      <c r="T186" s="506">
        <v>6733</v>
      </c>
      <c r="U186" s="507">
        <v>4324</v>
      </c>
      <c r="V186" s="479">
        <f t="shared" si="73"/>
        <v>76000</v>
      </c>
      <c r="W186" s="478">
        <f t="shared" si="74"/>
        <v>72172</v>
      </c>
      <c r="X186" s="506"/>
      <c r="Y186" s="488"/>
      <c r="Z186" s="506"/>
      <c r="AA186" s="488"/>
      <c r="AB186" s="506"/>
      <c r="AC186" s="488"/>
      <c r="AD186" s="506"/>
      <c r="AE186" s="507"/>
      <c r="AF186" s="479">
        <f t="shared" si="75"/>
        <v>0</v>
      </c>
      <c r="AG186" s="480">
        <f t="shared" si="76"/>
        <v>0</v>
      </c>
      <c r="AH186" s="481">
        <f t="shared" si="77"/>
        <v>0</v>
      </c>
      <c r="AI186" s="481">
        <f t="shared" si="78"/>
        <v>0</v>
      </c>
      <c r="AJ186" s="487"/>
      <c r="AK186" s="507"/>
      <c r="AL186" s="479">
        <f t="shared" si="79"/>
        <v>0</v>
      </c>
      <c r="AM186" s="482">
        <f t="shared" si="80"/>
        <v>0</v>
      </c>
      <c r="AN186" s="487"/>
      <c r="AO186" s="488"/>
      <c r="AP186" s="487"/>
      <c r="AQ186" s="488"/>
      <c r="AR186" s="487"/>
      <c r="AS186" s="488"/>
      <c r="AT186" s="487"/>
      <c r="AU186" s="488"/>
      <c r="AV186" s="479">
        <f t="shared" si="81"/>
        <v>0</v>
      </c>
      <c r="AW186" s="483">
        <f t="shared" si="82"/>
        <v>0</v>
      </c>
      <c r="AX186" s="481">
        <f t="shared" si="83"/>
        <v>0</v>
      </c>
      <c r="AY186" s="484">
        <f t="shared" si="84"/>
        <v>0</v>
      </c>
      <c r="AZ186" s="485">
        <f t="shared" si="85"/>
        <v>2533.3333333333335</v>
      </c>
      <c r="BA186" s="481">
        <f t="shared" si="86"/>
        <v>2405.7333333333331</v>
      </c>
    </row>
    <row r="187" spans="1:53" ht="15.75" customHeight="1">
      <c r="A187" s="536" t="s">
        <v>219</v>
      </c>
      <c r="B187" s="537" t="s">
        <v>692</v>
      </c>
      <c r="C187" s="653"/>
      <c r="D187" s="682">
        <v>157553</v>
      </c>
      <c r="E187" s="646">
        <v>9</v>
      </c>
      <c r="F187" s="486" t="s">
        <v>41</v>
      </c>
      <c r="G187" s="529"/>
      <c r="H187" s="506"/>
      <c r="I187" s="488"/>
      <c r="J187" s="506">
        <v>36595</v>
      </c>
      <c r="K187" s="488">
        <v>36173</v>
      </c>
      <c r="L187" s="506">
        <v>6122</v>
      </c>
      <c r="M187" s="488">
        <v>4337</v>
      </c>
      <c r="N187" s="506">
        <v>37516</v>
      </c>
      <c r="O187" s="488">
        <v>37914</v>
      </c>
      <c r="P187" s="479">
        <f t="shared" si="69"/>
        <v>80233</v>
      </c>
      <c r="Q187" s="480">
        <f t="shared" si="70"/>
        <v>2674.4333333333334</v>
      </c>
      <c r="R187" s="481">
        <f t="shared" si="71"/>
        <v>78424</v>
      </c>
      <c r="S187" s="482">
        <f t="shared" si="72"/>
        <v>2614.1333333333332</v>
      </c>
      <c r="T187" s="506">
        <v>2386</v>
      </c>
      <c r="U187" s="507">
        <v>2343</v>
      </c>
      <c r="V187" s="479">
        <f t="shared" si="73"/>
        <v>80233</v>
      </c>
      <c r="W187" s="478">
        <f t="shared" si="74"/>
        <v>78424</v>
      </c>
      <c r="X187" s="506"/>
      <c r="Y187" s="488"/>
      <c r="Z187" s="506"/>
      <c r="AA187" s="488"/>
      <c r="AB187" s="506"/>
      <c r="AC187" s="488"/>
      <c r="AD187" s="506"/>
      <c r="AE187" s="507"/>
      <c r="AF187" s="479">
        <f t="shared" si="75"/>
        <v>0</v>
      </c>
      <c r="AG187" s="480">
        <f t="shared" si="76"/>
        <v>0</v>
      </c>
      <c r="AH187" s="481">
        <f t="shared" si="77"/>
        <v>0</v>
      </c>
      <c r="AI187" s="481">
        <f t="shared" si="78"/>
        <v>0</v>
      </c>
      <c r="AJ187" s="487"/>
      <c r="AK187" s="507"/>
      <c r="AL187" s="479">
        <f t="shared" si="79"/>
        <v>0</v>
      </c>
      <c r="AM187" s="482">
        <f t="shared" si="80"/>
        <v>0</v>
      </c>
      <c r="AN187" s="487"/>
      <c r="AO187" s="488"/>
      <c r="AP187" s="487"/>
      <c r="AQ187" s="488"/>
      <c r="AR187" s="487"/>
      <c r="AS187" s="488"/>
      <c r="AT187" s="487"/>
      <c r="AU187" s="488"/>
      <c r="AV187" s="479">
        <f t="shared" si="81"/>
        <v>0</v>
      </c>
      <c r="AW187" s="483">
        <f t="shared" si="82"/>
        <v>0</v>
      </c>
      <c r="AX187" s="481">
        <f t="shared" si="83"/>
        <v>0</v>
      </c>
      <c r="AY187" s="484">
        <f t="shared" si="84"/>
        <v>0</v>
      </c>
      <c r="AZ187" s="485">
        <f t="shared" si="85"/>
        <v>2674.4333333333334</v>
      </c>
      <c r="BA187" s="481">
        <f t="shared" si="86"/>
        <v>2614.1333333333332</v>
      </c>
    </row>
    <row r="188" spans="1:53" ht="15.75" customHeight="1">
      <c r="A188" s="536" t="s">
        <v>219</v>
      </c>
      <c r="B188" s="537" t="s">
        <v>693</v>
      </c>
      <c r="C188" s="653"/>
      <c r="D188" s="682">
        <v>156648</v>
      </c>
      <c r="E188" s="646">
        <v>9</v>
      </c>
      <c r="F188" s="486" t="s">
        <v>41</v>
      </c>
      <c r="G188" s="529"/>
      <c r="H188" s="506"/>
      <c r="I188" s="488"/>
      <c r="J188" s="506">
        <v>53582</v>
      </c>
      <c r="K188" s="488">
        <v>49278</v>
      </c>
      <c r="L188" s="506">
        <v>7876</v>
      </c>
      <c r="M188" s="488">
        <v>7638</v>
      </c>
      <c r="N188" s="506">
        <v>55707</v>
      </c>
      <c r="O188" s="488">
        <v>56759</v>
      </c>
      <c r="P188" s="479">
        <f t="shared" si="69"/>
        <v>117165</v>
      </c>
      <c r="Q188" s="480">
        <f t="shared" si="70"/>
        <v>3905.5</v>
      </c>
      <c r="R188" s="481">
        <f t="shared" si="71"/>
        <v>113675</v>
      </c>
      <c r="S188" s="482">
        <f t="shared" si="72"/>
        <v>3789.1666666666665</v>
      </c>
      <c r="T188" s="506">
        <v>2544</v>
      </c>
      <c r="U188" s="507">
        <v>4064</v>
      </c>
      <c r="V188" s="479">
        <f t="shared" si="73"/>
        <v>117165</v>
      </c>
      <c r="W188" s="478">
        <f t="shared" si="74"/>
        <v>113675</v>
      </c>
      <c r="X188" s="506"/>
      <c r="Y188" s="488"/>
      <c r="Z188" s="506"/>
      <c r="AA188" s="488"/>
      <c r="AB188" s="506"/>
      <c r="AC188" s="488"/>
      <c r="AD188" s="506"/>
      <c r="AE188" s="507"/>
      <c r="AF188" s="479">
        <f t="shared" si="75"/>
        <v>0</v>
      </c>
      <c r="AG188" s="480">
        <f t="shared" si="76"/>
        <v>0</v>
      </c>
      <c r="AH188" s="481">
        <f t="shared" si="77"/>
        <v>0</v>
      </c>
      <c r="AI188" s="481">
        <f t="shared" si="78"/>
        <v>0</v>
      </c>
      <c r="AJ188" s="487"/>
      <c r="AK188" s="507"/>
      <c r="AL188" s="479">
        <f t="shared" si="79"/>
        <v>0</v>
      </c>
      <c r="AM188" s="482">
        <f t="shared" si="80"/>
        <v>0</v>
      </c>
      <c r="AN188" s="487"/>
      <c r="AO188" s="488"/>
      <c r="AP188" s="487"/>
      <c r="AQ188" s="488"/>
      <c r="AR188" s="487"/>
      <c r="AS188" s="488"/>
      <c r="AT188" s="487"/>
      <c r="AU188" s="488"/>
      <c r="AV188" s="479">
        <f t="shared" si="81"/>
        <v>0</v>
      </c>
      <c r="AW188" s="483">
        <f t="shared" si="82"/>
        <v>0</v>
      </c>
      <c r="AX188" s="481">
        <f t="shared" si="83"/>
        <v>0</v>
      </c>
      <c r="AY188" s="484">
        <f t="shared" si="84"/>
        <v>0</v>
      </c>
      <c r="AZ188" s="485">
        <f t="shared" si="85"/>
        <v>3905.5</v>
      </c>
      <c r="BA188" s="481">
        <f t="shared" si="86"/>
        <v>3789.1666666666665</v>
      </c>
    </row>
    <row r="189" spans="1:53" ht="15.75" customHeight="1">
      <c r="A189" s="536" t="s">
        <v>219</v>
      </c>
      <c r="B189" s="681" t="s">
        <v>694</v>
      </c>
      <c r="C189" s="587"/>
      <c r="D189" s="682">
        <v>156790</v>
      </c>
      <c r="E189" s="543">
        <v>9</v>
      </c>
      <c r="F189" s="486" t="s">
        <v>41</v>
      </c>
      <c r="G189" s="529"/>
      <c r="H189" s="506"/>
      <c r="I189" s="488"/>
      <c r="J189" s="506">
        <v>27343</v>
      </c>
      <c r="K189" s="488">
        <v>28311</v>
      </c>
      <c r="L189" s="506">
        <v>4937</v>
      </c>
      <c r="M189" s="488">
        <v>4125</v>
      </c>
      <c r="N189" s="506">
        <v>29360</v>
      </c>
      <c r="O189" s="488">
        <v>30123</v>
      </c>
      <c r="P189" s="479">
        <f t="shared" si="69"/>
        <v>61640</v>
      </c>
      <c r="Q189" s="480">
        <f t="shared" si="70"/>
        <v>2054.6666666666665</v>
      </c>
      <c r="R189" s="481">
        <f t="shared" si="71"/>
        <v>62559</v>
      </c>
      <c r="S189" s="482">
        <f t="shared" si="72"/>
        <v>2085.3000000000002</v>
      </c>
      <c r="T189" s="506">
        <v>2447</v>
      </c>
      <c r="U189" s="507">
        <v>3440</v>
      </c>
      <c r="V189" s="479">
        <f t="shared" si="73"/>
        <v>61640</v>
      </c>
      <c r="W189" s="478">
        <f t="shared" si="74"/>
        <v>62559</v>
      </c>
      <c r="X189" s="506"/>
      <c r="Y189" s="488"/>
      <c r="Z189" s="506"/>
      <c r="AA189" s="488"/>
      <c r="AB189" s="506"/>
      <c r="AC189" s="488"/>
      <c r="AD189" s="506"/>
      <c r="AE189" s="507"/>
      <c r="AF189" s="479">
        <f t="shared" si="75"/>
        <v>0</v>
      </c>
      <c r="AG189" s="480">
        <f t="shared" si="76"/>
        <v>0</v>
      </c>
      <c r="AH189" s="481">
        <f t="shared" si="77"/>
        <v>0</v>
      </c>
      <c r="AI189" s="481">
        <f t="shared" si="78"/>
        <v>0</v>
      </c>
      <c r="AJ189" s="487"/>
      <c r="AK189" s="507"/>
      <c r="AL189" s="479">
        <f t="shared" si="79"/>
        <v>0</v>
      </c>
      <c r="AM189" s="482">
        <f t="shared" si="80"/>
        <v>0</v>
      </c>
      <c r="AN189" s="487"/>
      <c r="AO189" s="488"/>
      <c r="AP189" s="487"/>
      <c r="AQ189" s="488"/>
      <c r="AR189" s="487"/>
      <c r="AS189" s="488"/>
      <c r="AT189" s="487"/>
      <c r="AU189" s="488"/>
      <c r="AV189" s="479">
        <f t="shared" si="81"/>
        <v>0</v>
      </c>
      <c r="AW189" s="483">
        <f t="shared" si="82"/>
        <v>0</v>
      </c>
      <c r="AX189" s="481">
        <f t="shared" si="83"/>
        <v>0</v>
      </c>
      <c r="AY189" s="484">
        <f t="shared" si="84"/>
        <v>0</v>
      </c>
      <c r="AZ189" s="485">
        <f t="shared" si="85"/>
        <v>2054.6666666666665</v>
      </c>
      <c r="BA189" s="481">
        <f t="shared" si="86"/>
        <v>2085.3000000000002</v>
      </c>
    </row>
    <row r="190" spans="1:53" ht="15.75" customHeight="1">
      <c r="A190" s="536" t="s">
        <v>219</v>
      </c>
      <c r="B190" s="681" t="s">
        <v>695</v>
      </c>
      <c r="C190" s="587"/>
      <c r="D190" s="682">
        <v>156860</v>
      </c>
      <c r="E190" s="539">
        <v>9</v>
      </c>
      <c r="F190" s="486" t="s">
        <v>41</v>
      </c>
      <c r="G190" s="529"/>
      <c r="H190" s="506"/>
      <c r="I190" s="488"/>
      <c r="J190" s="506">
        <v>33696</v>
      </c>
      <c r="K190" s="488">
        <v>30108</v>
      </c>
      <c r="L190" s="506">
        <v>6330</v>
      </c>
      <c r="M190" s="488">
        <v>6142</v>
      </c>
      <c r="N190" s="506">
        <v>31626</v>
      </c>
      <c r="O190" s="488">
        <v>30347</v>
      </c>
      <c r="P190" s="479">
        <f t="shared" si="69"/>
        <v>71652</v>
      </c>
      <c r="Q190" s="480">
        <f t="shared" si="70"/>
        <v>2388.4</v>
      </c>
      <c r="R190" s="481">
        <f t="shared" si="71"/>
        <v>66597</v>
      </c>
      <c r="S190" s="482">
        <f t="shared" si="72"/>
        <v>2219.9</v>
      </c>
      <c r="T190" s="506">
        <v>2063</v>
      </c>
      <c r="U190" s="507">
        <v>1817</v>
      </c>
      <c r="V190" s="479">
        <f t="shared" si="73"/>
        <v>71652</v>
      </c>
      <c r="W190" s="478">
        <f t="shared" si="74"/>
        <v>66597</v>
      </c>
      <c r="X190" s="506"/>
      <c r="Y190" s="488"/>
      <c r="Z190" s="506"/>
      <c r="AA190" s="488"/>
      <c r="AB190" s="506"/>
      <c r="AC190" s="488"/>
      <c r="AD190" s="506"/>
      <c r="AE190" s="507"/>
      <c r="AF190" s="479">
        <f t="shared" si="75"/>
        <v>0</v>
      </c>
      <c r="AG190" s="480">
        <f t="shared" si="76"/>
        <v>0</v>
      </c>
      <c r="AH190" s="481">
        <f t="shared" si="77"/>
        <v>0</v>
      </c>
      <c r="AI190" s="481">
        <f t="shared" si="78"/>
        <v>0</v>
      </c>
      <c r="AJ190" s="487"/>
      <c r="AK190" s="507"/>
      <c r="AL190" s="479">
        <f t="shared" si="79"/>
        <v>0</v>
      </c>
      <c r="AM190" s="482">
        <f t="shared" si="80"/>
        <v>0</v>
      </c>
      <c r="AN190" s="487"/>
      <c r="AO190" s="488"/>
      <c r="AP190" s="487"/>
      <c r="AQ190" s="488"/>
      <c r="AR190" s="487"/>
      <c r="AS190" s="488"/>
      <c r="AT190" s="487"/>
      <c r="AU190" s="488"/>
      <c r="AV190" s="479">
        <f t="shared" si="81"/>
        <v>0</v>
      </c>
      <c r="AW190" s="483">
        <f t="shared" si="82"/>
        <v>0</v>
      </c>
      <c r="AX190" s="481">
        <f t="shared" si="83"/>
        <v>0</v>
      </c>
      <c r="AY190" s="484">
        <f t="shared" si="84"/>
        <v>0</v>
      </c>
      <c r="AZ190" s="485">
        <f t="shared" si="85"/>
        <v>2388.4</v>
      </c>
      <c r="BA190" s="481">
        <f t="shared" si="86"/>
        <v>2219.9</v>
      </c>
    </row>
    <row r="191" spans="1:53" ht="15.75" customHeight="1">
      <c r="A191" s="536" t="s">
        <v>219</v>
      </c>
      <c r="B191" s="537" t="s">
        <v>696</v>
      </c>
      <c r="C191" s="683"/>
      <c r="D191" s="682">
        <v>157304</v>
      </c>
      <c r="E191" s="684">
        <v>9</v>
      </c>
      <c r="F191" s="486" t="s">
        <v>41</v>
      </c>
      <c r="G191" s="529"/>
      <c r="H191" s="506"/>
      <c r="I191" s="488"/>
      <c r="J191" s="506">
        <v>27044</v>
      </c>
      <c r="K191" s="488">
        <v>28156</v>
      </c>
      <c r="L191" s="506">
        <v>3725</v>
      </c>
      <c r="M191" s="488">
        <v>4330</v>
      </c>
      <c r="N191" s="506">
        <v>30585</v>
      </c>
      <c r="O191" s="488">
        <v>33299</v>
      </c>
      <c r="P191" s="479">
        <f t="shared" si="69"/>
        <v>61354</v>
      </c>
      <c r="Q191" s="480">
        <f t="shared" si="70"/>
        <v>2045.1333333333334</v>
      </c>
      <c r="R191" s="481">
        <f t="shared" si="71"/>
        <v>65785</v>
      </c>
      <c r="S191" s="482">
        <f t="shared" si="72"/>
        <v>2192.8333333333335</v>
      </c>
      <c r="T191" s="506">
        <v>4478</v>
      </c>
      <c r="U191" s="507">
        <v>5481</v>
      </c>
      <c r="V191" s="479">
        <f t="shared" si="73"/>
        <v>61354</v>
      </c>
      <c r="W191" s="478">
        <f t="shared" si="74"/>
        <v>65785</v>
      </c>
      <c r="X191" s="506"/>
      <c r="Y191" s="488"/>
      <c r="Z191" s="506"/>
      <c r="AA191" s="488"/>
      <c r="AB191" s="506"/>
      <c r="AC191" s="488"/>
      <c r="AD191" s="506"/>
      <c r="AE191" s="507"/>
      <c r="AF191" s="479">
        <f t="shared" si="75"/>
        <v>0</v>
      </c>
      <c r="AG191" s="480">
        <f t="shared" si="76"/>
        <v>0</v>
      </c>
      <c r="AH191" s="481">
        <f t="shared" si="77"/>
        <v>0</v>
      </c>
      <c r="AI191" s="481">
        <f t="shared" si="78"/>
        <v>0</v>
      </c>
      <c r="AJ191" s="487"/>
      <c r="AK191" s="507"/>
      <c r="AL191" s="479">
        <f t="shared" si="79"/>
        <v>0</v>
      </c>
      <c r="AM191" s="482">
        <f t="shared" si="80"/>
        <v>0</v>
      </c>
      <c r="AN191" s="487"/>
      <c r="AO191" s="488"/>
      <c r="AP191" s="487"/>
      <c r="AQ191" s="488"/>
      <c r="AR191" s="487"/>
      <c r="AS191" s="488"/>
      <c r="AT191" s="487"/>
      <c r="AU191" s="488"/>
      <c r="AV191" s="479">
        <f t="shared" si="81"/>
        <v>0</v>
      </c>
      <c r="AW191" s="483">
        <f t="shared" si="82"/>
        <v>0</v>
      </c>
      <c r="AX191" s="481">
        <f t="shared" si="83"/>
        <v>0</v>
      </c>
      <c r="AY191" s="484">
        <f t="shared" si="84"/>
        <v>0</v>
      </c>
      <c r="AZ191" s="485">
        <f t="shared" si="85"/>
        <v>2045.1333333333334</v>
      </c>
      <c r="BA191" s="481">
        <f t="shared" si="86"/>
        <v>2192.8333333333335</v>
      </c>
    </row>
    <row r="192" spans="1:53" ht="15.75" customHeight="1">
      <c r="A192" s="536" t="s">
        <v>219</v>
      </c>
      <c r="B192" s="537" t="s">
        <v>697</v>
      </c>
      <c r="C192" s="683"/>
      <c r="D192" s="682">
        <v>157331</v>
      </c>
      <c r="E192" s="684">
        <v>9</v>
      </c>
      <c r="F192" s="486" t="s">
        <v>41</v>
      </c>
      <c r="G192" s="529"/>
      <c r="H192" s="506"/>
      <c r="I192" s="488"/>
      <c r="J192" s="506">
        <v>45378</v>
      </c>
      <c r="K192" s="488">
        <v>39478</v>
      </c>
      <c r="L192" s="506">
        <v>6944</v>
      </c>
      <c r="M192" s="488">
        <v>6764</v>
      </c>
      <c r="N192" s="506">
        <v>42640</v>
      </c>
      <c r="O192" s="488">
        <v>40143</v>
      </c>
      <c r="P192" s="479">
        <f t="shared" si="69"/>
        <v>94962</v>
      </c>
      <c r="Q192" s="480">
        <f t="shared" si="70"/>
        <v>3165.4</v>
      </c>
      <c r="R192" s="481">
        <f t="shared" si="71"/>
        <v>86385</v>
      </c>
      <c r="S192" s="482">
        <f t="shared" si="72"/>
        <v>2879.5</v>
      </c>
      <c r="T192" s="506">
        <v>5506</v>
      </c>
      <c r="U192" s="507">
        <v>3824</v>
      </c>
      <c r="V192" s="479">
        <f t="shared" si="73"/>
        <v>94962</v>
      </c>
      <c r="W192" s="478">
        <f t="shared" si="74"/>
        <v>86385</v>
      </c>
      <c r="X192" s="506"/>
      <c r="Y192" s="488"/>
      <c r="Z192" s="506"/>
      <c r="AA192" s="488"/>
      <c r="AB192" s="506"/>
      <c r="AC192" s="488"/>
      <c r="AD192" s="506"/>
      <c r="AE192" s="507"/>
      <c r="AF192" s="479">
        <f t="shared" si="75"/>
        <v>0</v>
      </c>
      <c r="AG192" s="480">
        <f t="shared" si="76"/>
        <v>0</v>
      </c>
      <c r="AH192" s="481">
        <f t="shared" si="77"/>
        <v>0</v>
      </c>
      <c r="AI192" s="481">
        <f t="shared" si="78"/>
        <v>0</v>
      </c>
      <c r="AJ192" s="487"/>
      <c r="AK192" s="507"/>
      <c r="AL192" s="479">
        <f t="shared" si="79"/>
        <v>0</v>
      </c>
      <c r="AM192" s="482">
        <f t="shared" si="80"/>
        <v>0</v>
      </c>
      <c r="AN192" s="487"/>
      <c r="AO192" s="488"/>
      <c r="AP192" s="487"/>
      <c r="AQ192" s="488"/>
      <c r="AR192" s="487"/>
      <c r="AS192" s="488"/>
      <c r="AT192" s="487"/>
      <c r="AU192" s="488"/>
      <c r="AV192" s="479">
        <f t="shared" si="81"/>
        <v>0</v>
      </c>
      <c r="AW192" s="483">
        <f t="shared" si="82"/>
        <v>0</v>
      </c>
      <c r="AX192" s="481">
        <f t="shared" si="83"/>
        <v>0</v>
      </c>
      <c r="AY192" s="484">
        <f t="shared" si="84"/>
        <v>0</v>
      </c>
      <c r="AZ192" s="485">
        <f t="shared" si="85"/>
        <v>3165.4</v>
      </c>
      <c r="BA192" s="481">
        <f t="shared" si="86"/>
        <v>2879.5</v>
      </c>
    </row>
    <row r="193" spans="1:53">
      <c r="A193" s="536" t="s">
        <v>219</v>
      </c>
      <c r="B193" s="537" t="s">
        <v>698</v>
      </c>
      <c r="C193" s="653"/>
      <c r="D193" s="682">
        <v>247940</v>
      </c>
      <c r="E193" s="646">
        <v>9</v>
      </c>
      <c r="F193" s="486" t="s">
        <v>41</v>
      </c>
      <c r="G193" s="529"/>
      <c r="H193" s="506"/>
      <c r="I193" s="488"/>
      <c r="J193" s="506">
        <v>39349</v>
      </c>
      <c r="K193" s="488">
        <v>35746</v>
      </c>
      <c r="L193" s="506">
        <v>5798</v>
      </c>
      <c r="M193" s="488">
        <v>5085</v>
      </c>
      <c r="N193" s="506">
        <v>41080</v>
      </c>
      <c r="O193" s="488">
        <v>38906</v>
      </c>
      <c r="P193" s="479">
        <f t="shared" si="69"/>
        <v>86227</v>
      </c>
      <c r="Q193" s="480">
        <f t="shared" si="70"/>
        <v>2874.2333333333331</v>
      </c>
      <c r="R193" s="481">
        <f t="shared" si="71"/>
        <v>79737</v>
      </c>
      <c r="S193" s="482">
        <f t="shared" si="72"/>
        <v>2657.9</v>
      </c>
      <c r="T193" s="506">
        <v>7433</v>
      </c>
      <c r="U193" s="507">
        <v>4395</v>
      </c>
      <c r="V193" s="479">
        <f t="shared" si="73"/>
        <v>86227</v>
      </c>
      <c r="W193" s="478">
        <f t="shared" si="74"/>
        <v>79737</v>
      </c>
      <c r="X193" s="506"/>
      <c r="Y193" s="488"/>
      <c r="Z193" s="506"/>
      <c r="AA193" s="488"/>
      <c r="AB193" s="506"/>
      <c r="AC193" s="488"/>
      <c r="AD193" s="506"/>
      <c r="AE193" s="507"/>
      <c r="AF193" s="479">
        <f t="shared" si="75"/>
        <v>0</v>
      </c>
      <c r="AG193" s="480">
        <f t="shared" si="76"/>
        <v>0</v>
      </c>
      <c r="AH193" s="481">
        <f t="shared" si="77"/>
        <v>0</v>
      </c>
      <c r="AI193" s="481">
        <f t="shared" si="78"/>
        <v>0</v>
      </c>
      <c r="AJ193" s="487"/>
      <c r="AK193" s="507"/>
      <c r="AL193" s="479">
        <f t="shared" si="79"/>
        <v>0</v>
      </c>
      <c r="AM193" s="482">
        <f t="shared" si="80"/>
        <v>0</v>
      </c>
      <c r="AN193" s="487"/>
      <c r="AO193" s="488"/>
      <c r="AP193" s="487"/>
      <c r="AQ193" s="488"/>
      <c r="AR193" s="487"/>
      <c r="AS193" s="488"/>
      <c r="AT193" s="487"/>
      <c r="AU193" s="488"/>
      <c r="AV193" s="479">
        <f t="shared" si="81"/>
        <v>0</v>
      </c>
      <c r="AW193" s="483">
        <f t="shared" si="82"/>
        <v>0</v>
      </c>
      <c r="AX193" s="481">
        <f t="shared" si="83"/>
        <v>0</v>
      </c>
      <c r="AY193" s="484">
        <f t="shared" si="84"/>
        <v>0</v>
      </c>
      <c r="AZ193" s="485">
        <f t="shared" si="85"/>
        <v>2874.2333333333331</v>
      </c>
      <c r="BA193" s="481">
        <f t="shared" si="86"/>
        <v>2657.9</v>
      </c>
    </row>
    <row r="194" spans="1:53">
      <c r="A194" s="536" t="s">
        <v>219</v>
      </c>
      <c r="B194" s="537" t="s">
        <v>699</v>
      </c>
      <c r="C194" s="651"/>
      <c r="D194" s="682">
        <v>157711</v>
      </c>
      <c r="E194" s="646">
        <v>9</v>
      </c>
      <c r="F194" s="486" t="s">
        <v>41</v>
      </c>
      <c r="G194" s="529"/>
      <c r="H194" s="506"/>
      <c r="I194" s="488"/>
      <c r="J194" s="506">
        <v>71077</v>
      </c>
      <c r="K194" s="488">
        <v>66285</v>
      </c>
      <c r="L194" s="506">
        <v>8358</v>
      </c>
      <c r="M194" s="488">
        <v>7967</v>
      </c>
      <c r="N194" s="506">
        <v>66292</v>
      </c>
      <c r="O194" s="488">
        <v>68746</v>
      </c>
      <c r="P194" s="479">
        <f t="shared" si="69"/>
        <v>145727</v>
      </c>
      <c r="Q194" s="480">
        <f t="shared" si="70"/>
        <v>4857.5666666666666</v>
      </c>
      <c r="R194" s="481">
        <f t="shared" si="71"/>
        <v>142998</v>
      </c>
      <c r="S194" s="482">
        <f t="shared" si="72"/>
        <v>4766.6000000000004</v>
      </c>
      <c r="T194" s="506">
        <v>5487</v>
      </c>
      <c r="U194" s="507">
        <v>4810</v>
      </c>
      <c r="V194" s="479">
        <f t="shared" si="73"/>
        <v>145727</v>
      </c>
      <c r="W194" s="478">
        <f t="shared" si="74"/>
        <v>142998</v>
      </c>
      <c r="X194" s="506"/>
      <c r="Y194" s="488"/>
      <c r="Z194" s="506"/>
      <c r="AA194" s="488"/>
      <c r="AB194" s="506"/>
      <c r="AC194" s="488"/>
      <c r="AD194" s="506"/>
      <c r="AE194" s="507"/>
      <c r="AF194" s="479">
        <f t="shared" si="75"/>
        <v>0</v>
      </c>
      <c r="AG194" s="480">
        <f t="shared" si="76"/>
        <v>0</v>
      </c>
      <c r="AH194" s="481">
        <f t="shared" si="77"/>
        <v>0</v>
      </c>
      <c r="AI194" s="481">
        <f t="shared" si="78"/>
        <v>0</v>
      </c>
      <c r="AJ194" s="487"/>
      <c r="AK194" s="507"/>
      <c r="AL194" s="479">
        <f t="shared" si="79"/>
        <v>0</v>
      </c>
      <c r="AM194" s="482">
        <f t="shared" si="80"/>
        <v>0</v>
      </c>
      <c r="AN194" s="487"/>
      <c r="AO194" s="488"/>
      <c r="AP194" s="487"/>
      <c r="AQ194" s="488"/>
      <c r="AR194" s="487"/>
      <c r="AS194" s="488"/>
      <c r="AT194" s="487"/>
      <c r="AU194" s="488"/>
      <c r="AV194" s="479">
        <f t="shared" si="81"/>
        <v>0</v>
      </c>
      <c r="AW194" s="483">
        <f t="shared" si="82"/>
        <v>0</v>
      </c>
      <c r="AX194" s="481">
        <f t="shared" si="83"/>
        <v>0</v>
      </c>
      <c r="AY194" s="484">
        <f t="shared" si="84"/>
        <v>0</v>
      </c>
      <c r="AZ194" s="485">
        <f t="shared" si="85"/>
        <v>4857.5666666666666</v>
      </c>
      <c r="BA194" s="481">
        <f t="shared" si="86"/>
        <v>4766.6000000000004</v>
      </c>
    </row>
    <row r="195" spans="1:53">
      <c r="A195" s="536" t="s">
        <v>219</v>
      </c>
      <c r="B195" s="681" t="s">
        <v>700</v>
      </c>
      <c r="C195" s="651"/>
      <c r="D195" s="682">
        <v>157739</v>
      </c>
      <c r="E195" s="646">
        <v>9</v>
      </c>
      <c r="F195" s="486" t="s">
        <v>41</v>
      </c>
      <c r="G195" s="529"/>
      <c r="H195" s="506"/>
      <c r="I195" s="488"/>
      <c r="J195" s="506">
        <v>30732</v>
      </c>
      <c r="K195" s="488">
        <v>30006</v>
      </c>
      <c r="L195" s="506">
        <v>2787</v>
      </c>
      <c r="M195" s="488">
        <v>2563</v>
      </c>
      <c r="N195" s="506">
        <v>33101</v>
      </c>
      <c r="O195" s="488">
        <v>32268</v>
      </c>
      <c r="P195" s="479">
        <f t="shared" si="69"/>
        <v>66620</v>
      </c>
      <c r="Q195" s="480">
        <f t="shared" si="70"/>
        <v>2220.6666666666665</v>
      </c>
      <c r="R195" s="481">
        <f t="shared" si="71"/>
        <v>64837</v>
      </c>
      <c r="S195" s="482">
        <f t="shared" si="72"/>
        <v>2161.2333333333331</v>
      </c>
      <c r="T195" s="506">
        <v>4698</v>
      </c>
      <c r="U195" s="507">
        <v>4526</v>
      </c>
      <c r="V195" s="479">
        <f t="shared" si="73"/>
        <v>66620</v>
      </c>
      <c r="W195" s="478">
        <f t="shared" si="74"/>
        <v>64837</v>
      </c>
      <c r="X195" s="506"/>
      <c r="Y195" s="488"/>
      <c r="Z195" s="506"/>
      <c r="AA195" s="488"/>
      <c r="AB195" s="506"/>
      <c r="AC195" s="488"/>
      <c r="AD195" s="506"/>
      <c r="AE195" s="507"/>
      <c r="AF195" s="479">
        <f t="shared" si="75"/>
        <v>0</v>
      </c>
      <c r="AG195" s="480">
        <f t="shared" si="76"/>
        <v>0</v>
      </c>
      <c r="AH195" s="481">
        <f t="shared" si="77"/>
        <v>0</v>
      </c>
      <c r="AI195" s="481">
        <f t="shared" si="78"/>
        <v>0</v>
      </c>
      <c r="AJ195" s="487"/>
      <c r="AK195" s="507"/>
      <c r="AL195" s="479">
        <f t="shared" si="79"/>
        <v>0</v>
      </c>
      <c r="AM195" s="482">
        <f t="shared" si="80"/>
        <v>0</v>
      </c>
      <c r="AN195" s="487"/>
      <c r="AO195" s="488"/>
      <c r="AP195" s="487"/>
      <c r="AQ195" s="488"/>
      <c r="AR195" s="487"/>
      <c r="AS195" s="488"/>
      <c r="AT195" s="487"/>
      <c r="AU195" s="488"/>
      <c r="AV195" s="479">
        <f t="shared" si="81"/>
        <v>0</v>
      </c>
      <c r="AW195" s="483">
        <f t="shared" si="82"/>
        <v>0</v>
      </c>
      <c r="AX195" s="481">
        <f t="shared" si="83"/>
        <v>0</v>
      </c>
      <c r="AY195" s="484">
        <f t="shared" si="84"/>
        <v>0</v>
      </c>
      <c r="AZ195" s="485">
        <f t="shared" si="85"/>
        <v>2220.6666666666665</v>
      </c>
      <c r="BA195" s="481">
        <f t="shared" si="86"/>
        <v>2161.2333333333331</v>
      </c>
    </row>
    <row r="196" spans="1:53">
      <c r="A196" s="536" t="s">
        <v>219</v>
      </c>
      <c r="B196" s="537" t="s">
        <v>701</v>
      </c>
      <c r="C196" s="653"/>
      <c r="D196" s="682">
        <v>157483</v>
      </c>
      <c r="E196" s="646">
        <v>9</v>
      </c>
      <c r="F196" s="486" t="s">
        <v>41</v>
      </c>
      <c r="G196" s="529"/>
      <c r="H196" s="506"/>
      <c r="I196" s="488"/>
      <c r="J196" s="506">
        <v>53864</v>
      </c>
      <c r="K196" s="488">
        <v>53642</v>
      </c>
      <c r="L196" s="506">
        <v>9873</v>
      </c>
      <c r="M196" s="488">
        <v>10382</v>
      </c>
      <c r="N196" s="506">
        <v>59691</v>
      </c>
      <c r="O196" s="488">
        <v>59398</v>
      </c>
      <c r="P196" s="479">
        <f t="shared" si="69"/>
        <v>123428</v>
      </c>
      <c r="Q196" s="480">
        <f t="shared" si="70"/>
        <v>4114.2666666666664</v>
      </c>
      <c r="R196" s="481">
        <f t="shared" si="71"/>
        <v>123422</v>
      </c>
      <c r="S196" s="482">
        <f t="shared" si="72"/>
        <v>4114.0666666666666</v>
      </c>
      <c r="T196" s="506">
        <v>10212</v>
      </c>
      <c r="U196" s="507">
        <v>11321</v>
      </c>
      <c r="V196" s="479">
        <f t="shared" si="73"/>
        <v>123428</v>
      </c>
      <c r="W196" s="478">
        <f t="shared" si="74"/>
        <v>123422</v>
      </c>
      <c r="X196" s="506"/>
      <c r="Y196" s="488"/>
      <c r="Z196" s="506"/>
      <c r="AA196" s="488"/>
      <c r="AB196" s="506"/>
      <c r="AC196" s="488"/>
      <c r="AD196" s="506"/>
      <c r="AE196" s="507"/>
      <c r="AF196" s="479">
        <f t="shared" si="75"/>
        <v>0</v>
      </c>
      <c r="AG196" s="480">
        <f t="shared" si="76"/>
        <v>0</v>
      </c>
      <c r="AH196" s="481">
        <f t="shared" si="77"/>
        <v>0</v>
      </c>
      <c r="AI196" s="481">
        <f t="shared" si="78"/>
        <v>0</v>
      </c>
      <c r="AJ196" s="487"/>
      <c r="AK196" s="507"/>
      <c r="AL196" s="479">
        <f t="shared" si="79"/>
        <v>0</v>
      </c>
      <c r="AM196" s="482">
        <f t="shared" si="80"/>
        <v>0</v>
      </c>
      <c r="AN196" s="487"/>
      <c r="AO196" s="488"/>
      <c r="AP196" s="487"/>
      <c r="AQ196" s="488"/>
      <c r="AR196" s="487"/>
      <c r="AS196" s="488"/>
      <c r="AT196" s="487"/>
      <c r="AU196" s="488"/>
      <c r="AV196" s="479">
        <f t="shared" si="81"/>
        <v>0</v>
      </c>
      <c r="AW196" s="483">
        <f t="shared" si="82"/>
        <v>0</v>
      </c>
      <c r="AX196" s="481">
        <f t="shared" si="83"/>
        <v>0</v>
      </c>
      <c r="AY196" s="484">
        <f t="shared" si="84"/>
        <v>0</v>
      </c>
      <c r="AZ196" s="485">
        <f t="shared" si="85"/>
        <v>4114.2666666666664</v>
      </c>
      <c r="BA196" s="481">
        <f t="shared" si="86"/>
        <v>4114.0666666666666</v>
      </c>
    </row>
    <row r="197" spans="1:53">
      <c r="A197" s="536" t="s">
        <v>219</v>
      </c>
      <c r="B197" s="537" t="s">
        <v>702</v>
      </c>
      <c r="C197" s="653"/>
      <c r="D197" s="682">
        <v>156851</v>
      </c>
      <c r="E197" s="646">
        <v>10</v>
      </c>
      <c r="F197" s="486" t="s">
        <v>41</v>
      </c>
      <c r="G197" s="529"/>
      <c r="H197" s="506"/>
      <c r="I197" s="488"/>
      <c r="J197" s="506">
        <v>17174</v>
      </c>
      <c r="K197" s="488">
        <v>17962</v>
      </c>
      <c r="L197" s="506">
        <v>2782</v>
      </c>
      <c r="M197" s="488">
        <v>3267</v>
      </c>
      <c r="N197" s="506">
        <v>18257</v>
      </c>
      <c r="O197" s="488">
        <v>17884</v>
      </c>
      <c r="P197" s="479">
        <f t="shared" si="69"/>
        <v>38213</v>
      </c>
      <c r="Q197" s="480">
        <f t="shared" si="70"/>
        <v>1273.7666666666667</v>
      </c>
      <c r="R197" s="481">
        <f t="shared" si="71"/>
        <v>39113</v>
      </c>
      <c r="S197" s="482">
        <f t="shared" si="72"/>
        <v>1303.7666666666667</v>
      </c>
      <c r="T197" s="506">
        <v>1813</v>
      </c>
      <c r="U197" s="507">
        <v>1644</v>
      </c>
      <c r="V197" s="479">
        <f t="shared" si="73"/>
        <v>38213</v>
      </c>
      <c r="W197" s="478">
        <f t="shared" si="74"/>
        <v>39113</v>
      </c>
      <c r="X197" s="506"/>
      <c r="Y197" s="488"/>
      <c r="Z197" s="506"/>
      <c r="AA197" s="488"/>
      <c r="AB197" s="506"/>
      <c r="AC197" s="488"/>
      <c r="AD197" s="506"/>
      <c r="AE197" s="507"/>
      <c r="AF197" s="479">
        <f t="shared" si="75"/>
        <v>0</v>
      </c>
      <c r="AG197" s="480">
        <f t="shared" si="76"/>
        <v>0</v>
      </c>
      <c r="AH197" s="481">
        <f t="shared" si="77"/>
        <v>0</v>
      </c>
      <c r="AI197" s="481">
        <f t="shared" si="78"/>
        <v>0</v>
      </c>
      <c r="AJ197" s="487"/>
      <c r="AK197" s="507"/>
      <c r="AL197" s="479">
        <f t="shared" si="79"/>
        <v>0</v>
      </c>
      <c r="AM197" s="482">
        <f t="shared" si="80"/>
        <v>0</v>
      </c>
      <c r="AN197" s="487"/>
      <c r="AO197" s="488"/>
      <c r="AP197" s="487"/>
      <c r="AQ197" s="488"/>
      <c r="AR197" s="487"/>
      <c r="AS197" s="488"/>
      <c r="AT197" s="487"/>
      <c r="AU197" s="488"/>
      <c r="AV197" s="479">
        <f t="shared" si="81"/>
        <v>0</v>
      </c>
      <c r="AW197" s="483">
        <f t="shared" si="82"/>
        <v>0</v>
      </c>
      <c r="AX197" s="481">
        <f t="shared" si="83"/>
        <v>0</v>
      </c>
      <c r="AY197" s="484">
        <f t="shared" si="84"/>
        <v>0</v>
      </c>
      <c r="AZ197" s="485">
        <f t="shared" si="85"/>
        <v>1273.7666666666667</v>
      </c>
      <c r="BA197" s="481">
        <f t="shared" si="86"/>
        <v>1303.7666666666667</v>
      </c>
    </row>
    <row r="198" spans="1:53">
      <c r="A198" s="588" t="s">
        <v>219</v>
      </c>
      <c r="B198" s="537" t="s">
        <v>703</v>
      </c>
      <c r="C198" s="683"/>
      <c r="D198" s="682">
        <v>157438</v>
      </c>
      <c r="E198" s="684">
        <v>12</v>
      </c>
      <c r="F198" s="486" t="s">
        <v>41</v>
      </c>
      <c r="G198" s="529"/>
      <c r="H198" s="506"/>
      <c r="I198" s="488"/>
      <c r="J198" s="506">
        <v>32686</v>
      </c>
      <c r="K198" s="488">
        <v>32571</v>
      </c>
      <c r="L198" s="506">
        <v>6560</v>
      </c>
      <c r="M198" s="488">
        <v>6431</v>
      </c>
      <c r="N198" s="506">
        <v>33536</v>
      </c>
      <c r="O198" s="488">
        <v>34799</v>
      </c>
      <c r="P198" s="479">
        <f t="shared" si="69"/>
        <v>72782</v>
      </c>
      <c r="Q198" s="480">
        <f t="shared" si="70"/>
        <v>2426.0666666666666</v>
      </c>
      <c r="R198" s="481">
        <f t="shared" si="71"/>
        <v>73801</v>
      </c>
      <c r="S198" s="482">
        <f t="shared" si="72"/>
        <v>2460.0333333333333</v>
      </c>
      <c r="T198" s="506">
        <v>2416</v>
      </c>
      <c r="U198" s="507">
        <v>1828</v>
      </c>
      <c r="V198" s="479">
        <f t="shared" si="73"/>
        <v>72782</v>
      </c>
      <c r="W198" s="478">
        <f t="shared" si="74"/>
        <v>73801</v>
      </c>
      <c r="X198" s="506"/>
      <c r="Y198" s="488"/>
      <c r="Z198" s="506"/>
      <c r="AA198" s="488"/>
      <c r="AB198" s="506"/>
      <c r="AC198" s="488"/>
      <c r="AD198" s="506"/>
      <c r="AE198" s="507"/>
      <c r="AF198" s="479">
        <f t="shared" si="75"/>
        <v>0</v>
      </c>
      <c r="AG198" s="480">
        <f t="shared" si="76"/>
        <v>0</v>
      </c>
      <c r="AH198" s="481">
        <f t="shared" si="77"/>
        <v>0</v>
      </c>
      <c r="AI198" s="481">
        <f t="shared" si="78"/>
        <v>0</v>
      </c>
      <c r="AJ198" s="487"/>
      <c r="AK198" s="507"/>
      <c r="AL198" s="479">
        <f t="shared" si="79"/>
        <v>0</v>
      </c>
      <c r="AM198" s="482">
        <f t="shared" si="80"/>
        <v>0</v>
      </c>
      <c r="AN198" s="487"/>
      <c r="AO198" s="488"/>
      <c r="AP198" s="487"/>
      <c r="AQ198" s="488"/>
      <c r="AR198" s="487"/>
      <c r="AS198" s="488"/>
      <c r="AT198" s="487"/>
      <c r="AU198" s="488"/>
      <c r="AV198" s="479">
        <f t="shared" si="81"/>
        <v>0</v>
      </c>
      <c r="AW198" s="483">
        <f t="shared" si="82"/>
        <v>0</v>
      </c>
      <c r="AX198" s="481">
        <f t="shared" si="83"/>
        <v>0</v>
      </c>
      <c r="AY198" s="484">
        <f t="shared" si="84"/>
        <v>0</v>
      </c>
      <c r="AZ198" s="485">
        <f t="shared" si="85"/>
        <v>2426.0666666666666</v>
      </c>
      <c r="BA198" s="481">
        <f t="shared" si="86"/>
        <v>2460.0333333333333</v>
      </c>
    </row>
    <row r="199" spans="1:53">
      <c r="A199" s="588" t="s">
        <v>219</v>
      </c>
      <c r="B199" s="648" t="s">
        <v>704</v>
      </c>
      <c r="C199" s="653"/>
      <c r="D199" s="682">
        <v>156338</v>
      </c>
      <c r="E199" s="646">
        <v>12</v>
      </c>
      <c r="F199" s="486" t="s">
        <v>41</v>
      </c>
      <c r="G199" s="529"/>
      <c r="H199" s="506"/>
      <c r="I199" s="488"/>
      <c r="J199" s="506">
        <v>33739</v>
      </c>
      <c r="K199" s="488">
        <v>38917</v>
      </c>
      <c r="L199" s="506">
        <v>6299</v>
      </c>
      <c r="M199" s="488">
        <v>6145</v>
      </c>
      <c r="N199" s="506">
        <v>38592</v>
      </c>
      <c r="O199" s="488">
        <v>42453</v>
      </c>
      <c r="P199" s="479">
        <f t="shared" si="69"/>
        <v>78630</v>
      </c>
      <c r="Q199" s="480">
        <f t="shared" si="70"/>
        <v>2621</v>
      </c>
      <c r="R199" s="481">
        <f t="shared" si="71"/>
        <v>87515</v>
      </c>
      <c r="S199" s="482">
        <f t="shared" si="72"/>
        <v>2917.1666666666665</v>
      </c>
      <c r="T199" s="506">
        <v>4202</v>
      </c>
      <c r="U199" s="507">
        <v>5305</v>
      </c>
      <c r="V199" s="479">
        <f t="shared" si="73"/>
        <v>78630</v>
      </c>
      <c r="W199" s="478">
        <f t="shared" si="74"/>
        <v>87515</v>
      </c>
      <c r="X199" s="506"/>
      <c r="Y199" s="488"/>
      <c r="Z199" s="506"/>
      <c r="AA199" s="488"/>
      <c r="AB199" s="506"/>
      <c r="AC199" s="488"/>
      <c r="AD199" s="506"/>
      <c r="AE199" s="507"/>
      <c r="AF199" s="479">
        <f t="shared" si="75"/>
        <v>0</v>
      </c>
      <c r="AG199" s="480">
        <f t="shared" si="76"/>
        <v>0</v>
      </c>
      <c r="AH199" s="481">
        <f t="shared" si="77"/>
        <v>0</v>
      </c>
      <c r="AI199" s="481">
        <f t="shared" si="78"/>
        <v>0</v>
      </c>
      <c r="AJ199" s="487"/>
      <c r="AK199" s="507"/>
      <c r="AL199" s="479">
        <f t="shared" si="79"/>
        <v>0</v>
      </c>
      <c r="AM199" s="482">
        <f t="shared" si="80"/>
        <v>0</v>
      </c>
      <c r="AN199" s="487"/>
      <c r="AO199" s="488"/>
      <c r="AP199" s="487"/>
      <c r="AQ199" s="488"/>
      <c r="AR199" s="487"/>
      <c r="AS199" s="488"/>
      <c r="AT199" s="487"/>
      <c r="AU199" s="488"/>
      <c r="AV199" s="479">
        <f t="shared" si="81"/>
        <v>0</v>
      </c>
      <c r="AW199" s="483">
        <f t="shared" si="82"/>
        <v>0</v>
      </c>
      <c r="AX199" s="481">
        <f t="shared" si="83"/>
        <v>0</v>
      </c>
      <c r="AY199" s="484">
        <f t="shared" si="84"/>
        <v>0</v>
      </c>
      <c r="AZ199" s="485">
        <f t="shared" si="85"/>
        <v>2621</v>
      </c>
      <c r="BA199" s="481">
        <f t="shared" si="86"/>
        <v>2917.1666666666665</v>
      </c>
    </row>
    <row r="200" spans="1:53">
      <c r="A200" s="692" t="s">
        <v>267</v>
      </c>
      <c r="B200" s="693" t="s">
        <v>711</v>
      </c>
      <c r="C200" s="694"/>
      <c r="D200" s="695">
        <v>159391</v>
      </c>
      <c r="E200" s="696">
        <v>1</v>
      </c>
      <c r="F200" s="486" t="s">
        <v>41</v>
      </c>
      <c r="G200" s="529" t="s">
        <v>41</v>
      </c>
      <c r="H200" s="506"/>
      <c r="I200" s="488"/>
      <c r="J200" s="506">
        <v>321021</v>
      </c>
      <c r="K200" s="488">
        <v>318961</v>
      </c>
      <c r="L200" s="506">
        <v>43468</v>
      </c>
      <c r="M200" s="812">
        <v>37954</v>
      </c>
      <c r="N200" s="506">
        <v>360518</v>
      </c>
      <c r="O200" s="507">
        <v>359427</v>
      </c>
      <c r="P200" s="479">
        <f t="shared" ref="P200:P203" si="87">SUM(H200,J200,L200,N200)</f>
        <v>725007</v>
      </c>
      <c r="Q200" s="480">
        <f t="shared" ref="Q200:Q203" si="88">+P200/30</f>
        <v>24166.9</v>
      </c>
      <c r="R200" s="481">
        <f t="shared" ref="R200:R203" si="89">SUM(I200,K200,M200,O200)</f>
        <v>716342</v>
      </c>
      <c r="S200" s="482">
        <f t="shared" ref="S200:S203" si="90">+R200/30</f>
        <v>23878.066666666666</v>
      </c>
      <c r="T200" s="506">
        <v>2047</v>
      </c>
      <c r="U200" s="507">
        <v>3412</v>
      </c>
      <c r="V200" s="479">
        <f t="shared" ref="V200:V207" si="91">IF(ISBLANK(T200),0,P200)</f>
        <v>725007</v>
      </c>
      <c r="W200" s="478">
        <f t="shared" ref="W200:W207" si="92">IF(ISBLANK(U200),0,R200)</f>
        <v>716342</v>
      </c>
      <c r="X200" s="506"/>
      <c r="Y200" s="488"/>
      <c r="Z200" s="506"/>
      <c r="AA200" s="488"/>
      <c r="AB200" s="506"/>
      <c r="AC200" s="488"/>
      <c r="AD200" s="506"/>
      <c r="AE200" s="507"/>
      <c r="AF200" s="479">
        <f t="shared" ref="AF200:AF204" si="93">SUM(X200,Z200,AB200,AD200)</f>
        <v>0</v>
      </c>
      <c r="AG200" s="480">
        <f t="shared" ref="AG200:AG204" si="94">+AF200/900</f>
        <v>0</v>
      </c>
      <c r="AH200" s="481">
        <f t="shared" ref="AH200:AH204" si="95">SUM(Y200,AA200,AC200,AE200)</f>
        <v>0</v>
      </c>
      <c r="AI200" s="481">
        <f t="shared" ref="AI200:AI204" si="96">+AH200/900</f>
        <v>0</v>
      </c>
      <c r="AJ200" s="487"/>
      <c r="AK200" s="507"/>
      <c r="AL200" s="479">
        <f t="shared" ref="AL200:AL206" si="97">IF(ISBLANK(AJ200),0,AF200)</f>
        <v>0</v>
      </c>
      <c r="AM200" s="482">
        <f t="shared" ref="AM200:AM206" si="98">IF(ISBLANK(AK200),0,AH200)</f>
        <v>0</v>
      </c>
      <c r="AN200" s="487"/>
      <c r="AO200" s="488"/>
      <c r="AP200" s="505">
        <v>59001</v>
      </c>
      <c r="AQ200" s="488">
        <v>57433</v>
      </c>
      <c r="AR200" s="505">
        <v>15221</v>
      </c>
      <c r="AS200" s="812">
        <v>15484</v>
      </c>
      <c r="AT200" s="505">
        <v>60662</v>
      </c>
      <c r="AU200" s="812">
        <v>59888</v>
      </c>
      <c r="AV200" s="479">
        <f t="shared" ref="AV200:AV202" si="99">SUM(AN200,AP200,AR200,AT200)</f>
        <v>134884</v>
      </c>
      <c r="AW200" s="483">
        <f t="shared" ref="AW200:AW202" si="100">+AV200/24</f>
        <v>5620.166666666667</v>
      </c>
      <c r="AX200" s="481">
        <f t="shared" ref="AX200:AX202" si="101">SUM(AO200,AQ200,AS200,AU200)</f>
        <v>132805</v>
      </c>
      <c r="AY200" s="484">
        <f t="shared" ref="AY200:AY202" si="102">+AX200/24</f>
        <v>5533.541666666667</v>
      </c>
      <c r="AZ200" s="485">
        <f t="shared" ref="AZ200:AZ202" si="103">SUM(Q200,AG200,AW200)</f>
        <v>29787.066666666669</v>
      </c>
      <c r="BA200" s="481">
        <f t="shared" ref="BA200:BA202" si="104">SUM(S200,AI200,AY200)</f>
        <v>29411.608333333334</v>
      </c>
    </row>
    <row r="201" spans="1:53">
      <c r="A201" s="692" t="s">
        <v>267</v>
      </c>
      <c r="B201" s="693" t="s">
        <v>712</v>
      </c>
      <c r="C201" s="694"/>
      <c r="D201" s="695">
        <v>159647</v>
      </c>
      <c r="E201" s="696">
        <v>2</v>
      </c>
      <c r="F201" s="697" t="s">
        <v>713</v>
      </c>
      <c r="G201" s="698" t="s">
        <v>713</v>
      </c>
      <c r="H201" s="506">
        <v>69068</v>
      </c>
      <c r="I201" s="488">
        <v>66037</v>
      </c>
      <c r="J201" s="506">
        <v>69697</v>
      </c>
      <c r="K201" s="488">
        <v>66465</v>
      </c>
      <c r="L201" s="506">
        <v>16955</v>
      </c>
      <c r="M201" s="488">
        <v>16085</v>
      </c>
      <c r="N201" s="506">
        <v>76434</v>
      </c>
      <c r="O201" s="507">
        <v>78239</v>
      </c>
      <c r="P201" s="479">
        <f t="shared" si="87"/>
        <v>232154</v>
      </c>
      <c r="Q201" s="480">
        <f t="shared" si="88"/>
        <v>7738.4666666666662</v>
      </c>
      <c r="R201" s="481">
        <f t="shared" si="89"/>
        <v>226826</v>
      </c>
      <c r="S201" s="482">
        <f t="shared" si="90"/>
        <v>7560.8666666666668</v>
      </c>
      <c r="T201" s="506">
        <v>12178</v>
      </c>
      <c r="U201" s="507">
        <v>13759</v>
      </c>
      <c r="V201" s="479">
        <f t="shared" si="91"/>
        <v>232154</v>
      </c>
      <c r="W201" s="478">
        <f t="shared" si="92"/>
        <v>226826</v>
      </c>
      <c r="X201" s="506"/>
      <c r="Y201" s="488"/>
      <c r="Z201" s="506"/>
      <c r="AA201" s="488"/>
      <c r="AB201" s="506"/>
      <c r="AC201" s="488"/>
      <c r="AD201" s="506"/>
      <c r="AE201" s="507"/>
      <c r="AF201" s="479">
        <f t="shared" si="93"/>
        <v>0</v>
      </c>
      <c r="AG201" s="480">
        <f t="shared" si="94"/>
        <v>0</v>
      </c>
      <c r="AH201" s="481">
        <f t="shared" si="95"/>
        <v>0</v>
      </c>
      <c r="AI201" s="481">
        <f t="shared" si="96"/>
        <v>0</v>
      </c>
      <c r="AJ201" s="487"/>
      <c r="AK201" s="507"/>
      <c r="AL201" s="479">
        <f t="shared" si="97"/>
        <v>0</v>
      </c>
      <c r="AM201" s="482">
        <f t="shared" si="98"/>
        <v>0</v>
      </c>
      <c r="AN201" s="487">
        <v>7654</v>
      </c>
      <c r="AO201" s="488">
        <v>7575</v>
      </c>
      <c r="AP201" s="487">
        <v>7785</v>
      </c>
      <c r="AQ201" s="488">
        <v>7916</v>
      </c>
      <c r="AR201" s="487">
        <v>4314</v>
      </c>
      <c r="AS201" s="488">
        <v>4172</v>
      </c>
      <c r="AT201" s="487">
        <v>11656</v>
      </c>
      <c r="AU201" s="488">
        <v>9472</v>
      </c>
      <c r="AV201" s="479">
        <f t="shared" si="99"/>
        <v>31409</v>
      </c>
      <c r="AW201" s="483">
        <f t="shared" si="100"/>
        <v>1308.7083333333333</v>
      </c>
      <c r="AX201" s="481">
        <f t="shared" si="101"/>
        <v>29135</v>
      </c>
      <c r="AY201" s="484">
        <f t="shared" si="102"/>
        <v>1213.9583333333333</v>
      </c>
      <c r="AZ201" s="485">
        <f t="shared" si="103"/>
        <v>9047.1749999999993</v>
      </c>
      <c r="BA201" s="481">
        <f t="shared" si="104"/>
        <v>8774.8250000000007</v>
      </c>
    </row>
    <row r="202" spans="1:53">
      <c r="A202" s="692" t="s">
        <v>267</v>
      </c>
      <c r="B202" s="693" t="s">
        <v>714</v>
      </c>
      <c r="C202" s="694"/>
      <c r="D202" s="695">
        <v>160658</v>
      </c>
      <c r="E202" s="696">
        <v>2</v>
      </c>
      <c r="F202" s="486" t="s">
        <v>41</v>
      </c>
      <c r="G202" s="529" t="s">
        <v>41</v>
      </c>
      <c r="H202" s="506"/>
      <c r="I202" s="488"/>
      <c r="J202" s="506">
        <v>184501</v>
      </c>
      <c r="K202" s="488">
        <v>176714</v>
      </c>
      <c r="L202" s="506">
        <v>24934</v>
      </c>
      <c r="M202" s="826">
        <v>26682</v>
      </c>
      <c r="N202" s="506">
        <v>195627</v>
      </c>
      <c r="O202" s="827">
        <v>195986</v>
      </c>
      <c r="P202" s="479">
        <f t="shared" si="87"/>
        <v>405062</v>
      </c>
      <c r="Q202" s="480">
        <f t="shared" si="88"/>
        <v>13502.066666666668</v>
      </c>
      <c r="R202" s="481">
        <f t="shared" si="89"/>
        <v>399382</v>
      </c>
      <c r="S202" s="482">
        <f t="shared" si="90"/>
        <v>13312.733333333334</v>
      </c>
      <c r="T202" s="506">
        <v>1724</v>
      </c>
      <c r="U202" s="507">
        <v>3076</v>
      </c>
      <c r="V202" s="479">
        <f t="shared" si="91"/>
        <v>405062</v>
      </c>
      <c r="W202" s="478">
        <f t="shared" si="92"/>
        <v>399382</v>
      </c>
      <c r="X202" s="506"/>
      <c r="Y202" s="699"/>
      <c r="Z202" s="506"/>
      <c r="AA202" s="488"/>
      <c r="AB202" s="506"/>
      <c r="AC202" s="488"/>
      <c r="AD202" s="506"/>
      <c r="AE202" s="507"/>
      <c r="AF202" s="479">
        <f t="shared" si="93"/>
        <v>0</v>
      </c>
      <c r="AG202" s="480">
        <f t="shared" si="94"/>
        <v>0</v>
      </c>
      <c r="AH202" s="481">
        <f t="shared" si="95"/>
        <v>0</v>
      </c>
      <c r="AI202" s="481">
        <f t="shared" si="96"/>
        <v>0</v>
      </c>
      <c r="AJ202" s="487"/>
      <c r="AK202" s="507"/>
      <c r="AL202" s="479">
        <f t="shared" si="97"/>
        <v>0</v>
      </c>
      <c r="AM202" s="482">
        <f t="shared" si="98"/>
        <v>0</v>
      </c>
      <c r="AN202" s="487"/>
      <c r="AO202" s="488"/>
      <c r="AP202" s="487">
        <v>11573</v>
      </c>
      <c r="AQ202" s="488">
        <v>11938</v>
      </c>
      <c r="AR202" s="487">
        <v>3083</v>
      </c>
      <c r="AS202" s="812">
        <v>3558</v>
      </c>
      <c r="AT202" s="487">
        <v>12246</v>
      </c>
      <c r="AU202" s="812">
        <v>12805</v>
      </c>
      <c r="AV202" s="479">
        <f t="shared" si="99"/>
        <v>26902</v>
      </c>
      <c r="AW202" s="483">
        <f t="shared" si="100"/>
        <v>1120.9166666666667</v>
      </c>
      <c r="AX202" s="481">
        <f t="shared" si="101"/>
        <v>28301</v>
      </c>
      <c r="AY202" s="484">
        <f t="shared" si="102"/>
        <v>1179.2083333333333</v>
      </c>
      <c r="AZ202" s="485">
        <f t="shared" si="103"/>
        <v>14622.983333333334</v>
      </c>
      <c r="BA202" s="481">
        <f t="shared" si="104"/>
        <v>14491.941666666668</v>
      </c>
    </row>
    <row r="203" spans="1:53">
      <c r="A203" s="692" t="s">
        <v>267</v>
      </c>
      <c r="B203" s="693" t="s">
        <v>715</v>
      </c>
      <c r="C203" s="694"/>
      <c r="D203" s="695">
        <v>159939</v>
      </c>
      <c r="E203" s="696">
        <v>2</v>
      </c>
      <c r="F203" s="486" t="s">
        <v>41</v>
      </c>
      <c r="G203" s="529" t="s">
        <v>41</v>
      </c>
      <c r="H203" s="506"/>
      <c r="I203" s="488"/>
      <c r="J203" s="506">
        <v>92318</v>
      </c>
      <c r="K203" s="488">
        <v>84694</v>
      </c>
      <c r="L203" s="506">
        <v>18426</v>
      </c>
      <c r="M203" s="488">
        <v>16713</v>
      </c>
      <c r="N203" s="506">
        <v>95073</v>
      </c>
      <c r="O203" s="827">
        <v>87999</v>
      </c>
      <c r="P203" s="479">
        <f t="shared" si="87"/>
        <v>205817</v>
      </c>
      <c r="Q203" s="480">
        <f t="shared" si="88"/>
        <v>6860.5666666666666</v>
      </c>
      <c r="R203" s="481">
        <f t="shared" si="89"/>
        <v>189406</v>
      </c>
      <c r="S203" s="482">
        <f t="shared" si="90"/>
        <v>6313.5333333333338</v>
      </c>
      <c r="T203" s="506">
        <v>557</v>
      </c>
      <c r="U203" s="507">
        <v>806</v>
      </c>
      <c r="V203" s="479">
        <f t="shared" si="91"/>
        <v>205817</v>
      </c>
      <c r="W203" s="478">
        <f t="shared" si="92"/>
        <v>189406</v>
      </c>
      <c r="X203" s="506"/>
      <c r="Y203" s="700"/>
      <c r="Z203" s="506"/>
      <c r="AA203" s="488"/>
      <c r="AB203" s="506"/>
      <c r="AC203" s="488"/>
      <c r="AD203" s="506"/>
      <c r="AE203" s="507"/>
      <c r="AF203" s="479">
        <f t="shared" si="93"/>
        <v>0</v>
      </c>
      <c r="AG203" s="480">
        <f t="shared" si="94"/>
        <v>0</v>
      </c>
      <c r="AH203" s="481">
        <f t="shared" si="95"/>
        <v>0</v>
      </c>
      <c r="AI203" s="481">
        <f t="shared" si="96"/>
        <v>0</v>
      </c>
      <c r="AJ203" s="487"/>
      <c r="AK203" s="507"/>
      <c r="AL203" s="479">
        <f t="shared" si="97"/>
        <v>0</v>
      </c>
      <c r="AM203" s="482">
        <f t="shared" si="98"/>
        <v>0</v>
      </c>
      <c r="AN203" s="487"/>
      <c r="AO203" s="488"/>
      <c r="AP203" s="487">
        <v>16295</v>
      </c>
      <c r="AQ203" s="488">
        <v>14830</v>
      </c>
      <c r="AR203" s="487">
        <v>6333</v>
      </c>
      <c r="AS203" s="488">
        <v>3959</v>
      </c>
      <c r="AT203" s="487">
        <v>17463</v>
      </c>
      <c r="AU203" s="488">
        <v>15838</v>
      </c>
      <c r="AV203" s="479">
        <f t="shared" ref="AV203:AV234" si="105">SUM(AN203,AP203,AR203,AT203)</f>
        <v>40091</v>
      </c>
      <c r="AW203" s="483">
        <f t="shared" ref="AW203:AW234" si="106">+AV203/24</f>
        <v>1670.4583333333333</v>
      </c>
      <c r="AX203" s="481">
        <f t="shared" ref="AX203:AX234" si="107">SUM(AO203,AQ203,AS203,AU203)</f>
        <v>34627</v>
      </c>
      <c r="AY203" s="484">
        <f t="shared" ref="AY203:AY234" si="108">+AX203/24</f>
        <v>1442.7916666666667</v>
      </c>
      <c r="AZ203" s="485">
        <f t="shared" ref="AZ203:AZ234" si="109">SUM(Q203,AG203,AW203)</f>
        <v>8531.0249999999996</v>
      </c>
      <c r="BA203" s="481">
        <f t="shared" ref="BA203:BA234" si="110">SUM(S203,AI203,AY203)</f>
        <v>7756.3250000000007</v>
      </c>
    </row>
    <row r="204" spans="1:53">
      <c r="A204" s="692" t="s">
        <v>267</v>
      </c>
      <c r="B204" s="693" t="s">
        <v>716</v>
      </c>
      <c r="C204" s="694"/>
      <c r="D204" s="695">
        <v>160612</v>
      </c>
      <c r="E204" s="696">
        <v>3</v>
      </c>
      <c r="F204" s="486" t="s">
        <v>41</v>
      </c>
      <c r="G204" s="529" t="s">
        <v>41</v>
      </c>
      <c r="H204" s="506"/>
      <c r="I204" s="488"/>
      <c r="J204" s="506">
        <v>162619</v>
      </c>
      <c r="K204" s="488">
        <v>158207</v>
      </c>
      <c r="L204" s="506">
        <v>21975</v>
      </c>
      <c r="M204" s="488">
        <v>19429</v>
      </c>
      <c r="N204" s="506">
        <v>173089</v>
      </c>
      <c r="O204" s="828">
        <v>166083</v>
      </c>
      <c r="P204" s="479">
        <f t="shared" ref="P204:P232" si="111">SUM(H204,J204,L204,N204)</f>
        <v>357683</v>
      </c>
      <c r="Q204" s="480">
        <f t="shared" ref="Q204:Q232" si="112">+P204/30</f>
        <v>11922.766666666666</v>
      </c>
      <c r="R204" s="481">
        <f t="shared" ref="R204:R232" si="113">SUM(I204,K204,M204,O204)</f>
        <v>343719</v>
      </c>
      <c r="S204" s="482">
        <f t="shared" ref="S204:S232" si="114">+R204/30</f>
        <v>11457.3</v>
      </c>
      <c r="T204" s="506">
        <v>9149</v>
      </c>
      <c r="U204" s="507">
        <v>17788</v>
      </c>
      <c r="V204" s="479">
        <f t="shared" si="91"/>
        <v>357683</v>
      </c>
      <c r="W204" s="478">
        <f t="shared" si="92"/>
        <v>343719</v>
      </c>
      <c r="X204" s="506"/>
      <c r="Y204" s="700"/>
      <c r="Z204" s="506"/>
      <c r="AA204" s="488"/>
      <c r="AB204" s="506"/>
      <c r="AC204" s="488"/>
      <c r="AD204" s="506"/>
      <c r="AE204" s="507"/>
      <c r="AF204" s="479">
        <f t="shared" si="93"/>
        <v>0</v>
      </c>
      <c r="AG204" s="480">
        <f t="shared" si="94"/>
        <v>0</v>
      </c>
      <c r="AH204" s="481">
        <f t="shared" si="95"/>
        <v>0</v>
      </c>
      <c r="AI204" s="481">
        <f t="shared" si="96"/>
        <v>0</v>
      </c>
      <c r="AJ204" s="487"/>
      <c r="AK204" s="507"/>
      <c r="AL204" s="479">
        <f t="shared" si="97"/>
        <v>0</v>
      </c>
      <c r="AM204" s="482">
        <f t="shared" si="98"/>
        <v>0</v>
      </c>
      <c r="AN204" s="487"/>
      <c r="AO204" s="488"/>
      <c r="AP204" s="487">
        <v>9309</v>
      </c>
      <c r="AQ204" s="488">
        <v>8596</v>
      </c>
      <c r="AR204" s="487">
        <v>5034</v>
      </c>
      <c r="AS204" s="488">
        <v>4281</v>
      </c>
      <c r="AT204" s="505">
        <v>9040</v>
      </c>
      <c r="AU204" s="812">
        <v>7824</v>
      </c>
      <c r="AV204" s="479">
        <f t="shared" si="105"/>
        <v>23383</v>
      </c>
      <c r="AW204" s="483">
        <f t="shared" si="106"/>
        <v>974.29166666666663</v>
      </c>
      <c r="AX204" s="481">
        <f t="shared" si="107"/>
        <v>20701</v>
      </c>
      <c r="AY204" s="484">
        <f t="shared" si="108"/>
        <v>862.54166666666663</v>
      </c>
      <c r="AZ204" s="485">
        <f t="shared" si="109"/>
        <v>12897.058333333332</v>
      </c>
      <c r="BA204" s="481">
        <f t="shared" si="110"/>
        <v>12319.841666666665</v>
      </c>
    </row>
    <row r="205" spans="1:53">
      <c r="A205" s="692" t="s">
        <v>267</v>
      </c>
      <c r="B205" s="693" t="s">
        <v>717</v>
      </c>
      <c r="C205" s="694"/>
      <c r="D205" s="695">
        <v>160621</v>
      </c>
      <c r="E205" s="696">
        <v>3</v>
      </c>
      <c r="F205" s="486" t="s">
        <v>41</v>
      </c>
      <c r="G205" s="529" t="s">
        <v>41</v>
      </c>
      <c r="H205" s="506"/>
      <c r="I205" s="488"/>
      <c r="J205" s="506">
        <v>74723</v>
      </c>
      <c r="K205" s="488">
        <v>69239</v>
      </c>
      <c r="L205" s="506">
        <v>10996</v>
      </c>
      <c r="M205" s="488">
        <v>10062</v>
      </c>
      <c r="N205" s="506">
        <v>73535</v>
      </c>
      <c r="O205" s="828">
        <v>76075</v>
      </c>
      <c r="P205" s="479">
        <f t="shared" si="111"/>
        <v>159254</v>
      </c>
      <c r="Q205" s="480">
        <f t="shared" si="112"/>
        <v>5308.4666666666662</v>
      </c>
      <c r="R205" s="481">
        <f t="shared" si="113"/>
        <v>155376</v>
      </c>
      <c r="S205" s="482">
        <f t="shared" si="114"/>
        <v>5179.2</v>
      </c>
      <c r="T205" s="506">
        <v>142</v>
      </c>
      <c r="U205" s="507">
        <v>357</v>
      </c>
      <c r="V205" s="479">
        <f t="shared" si="91"/>
        <v>159254</v>
      </c>
      <c r="W205" s="478">
        <f t="shared" si="92"/>
        <v>155376</v>
      </c>
      <c r="X205" s="506"/>
      <c r="Y205" s="700"/>
      <c r="Z205" s="506"/>
      <c r="AA205" s="488"/>
      <c r="AB205" s="506"/>
      <c r="AC205" s="488"/>
      <c r="AD205" s="506"/>
      <c r="AE205" s="507"/>
      <c r="AF205" s="479">
        <f t="shared" ref="AF205:AF231" si="115">SUM(X205,Z205,AB205,AD205)</f>
        <v>0</v>
      </c>
      <c r="AG205" s="480">
        <f t="shared" ref="AG205:AG231" si="116">+AF205/900</f>
        <v>0</v>
      </c>
      <c r="AH205" s="481">
        <f t="shared" ref="AH205:AH231" si="117">SUM(Y205,AA205,AC205,AE205)</f>
        <v>0</v>
      </c>
      <c r="AI205" s="481">
        <f t="shared" ref="AI205:AI231" si="118">+AH205/900</f>
        <v>0</v>
      </c>
      <c r="AJ205" s="487"/>
      <c r="AK205" s="507"/>
      <c r="AL205" s="479">
        <f t="shared" si="97"/>
        <v>0</v>
      </c>
      <c r="AM205" s="482">
        <f t="shared" si="98"/>
        <v>0</v>
      </c>
      <c r="AN205" s="487"/>
      <c r="AO205" s="488"/>
      <c r="AP205" s="487">
        <v>18079</v>
      </c>
      <c r="AQ205" s="488">
        <v>18007</v>
      </c>
      <c r="AR205" s="487">
        <v>4635</v>
      </c>
      <c r="AS205" s="488">
        <v>4334</v>
      </c>
      <c r="AT205" s="487">
        <v>18888</v>
      </c>
      <c r="AU205" s="812">
        <v>17251</v>
      </c>
      <c r="AV205" s="479">
        <f t="shared" si="105"/>
        <v>41602</v>
      </c>
      <c r="AW205" s="483">
        <f t="shared" si="106"/>
        <v>1733.4166666666667</v>
      </c>
      <c r="AX205" s="481">
        <f t="shared" si="107"/>
        <v>39592</v>
      </c>
      <c r="AY205" s="484">
        <f t="shared" si="108"/>
        <v>1649.6666666666667</v>
      </c>
      <c r="AZ205" s="485">
        <f t="shared" si="109"/>
        <v>7041.8833333333332</v>
      </c>
      <c r="BA205" s="481">
        <f t="shared" si="110"/>
        <v>6828.8666666666668</v>
      </c>
    </row>
    <row r="206" spans="1:53">
      <c r="A206" s="692" t="s">
        <v>267</v>
      </c>
      <c r="B206" s="693" t="s">
        <v>718</v>
      </c>
      <c r="C206" s="694"/>
      <c r="D206" s="695">
        <v>159993</v>
      </c>
      <c r="E206" s="696">
        <v>3</v>
      </c>
      <c r="F206" s="486" t="s">
        <v>41</v>
      </c>
      <c r="G206" s="529" t="s">
        <v>41</v>
      </c>
      <c r="H206" s="506">
        <v>2643</v>
      </c>
      <c r="I206" s="488">
        <v>2993</v>
      </c>
      <c r="J206" s="506">
        <v>74963</v>
      </c>
      <c r="K206" s="488">
        <v>75488</v>
      </c>
      <c r="L206" s="506">
        <v>16684</v>
      </c>
      <c r="M206" s="488">
        <v>12396</v>
      </c>
      <c r="N206" s="506">
        <v>85842</v>
      </c>
      <c r="O206" s="828">
        <v>85269</v>
      </c>
      <c r="P206" s="479">
        <f t="shared" si="111"/>
        <v>180132</v>
      </c>
      <c r="Q206" s="480">
        <f t="shared" si="112"/>
        <v>6004.4</v>
      </c>
      <c r="R206" s="481">
        <f t="shared" si="113"/>
        <v>176146</v>
      </c>
      <c r="S206" s="482">
        <f t="shared" si="114"/>
        <v>5871.5333333333338</v>
      </c>
      <c r="T206" s="506">
        <v>13524</v>
      </c>
      <c r="U206" s="507">
        <v>11765</v>
      </c>
      <c r="V206" s="479">
        <f t="shared" si="91"/>
        <v>180132</v>
      </c>
      <c r="W206" s="478">
        <f t="shared" si="92"/>
        <v>176146</v>
      </c>
      <c r="X206" s="506"/>
      <c r="Y206" s="700"/>
      <c r="Z206" s="506"/>
      <c r="AA206" s="488"/>
      <c r="AB206" s="506"/>
      <c r="AC206" s="488"/>
      <c r="AD206" s="506"/>
      <c r="AE206" s="507"/>
      <c r="AF206" s="479">
        <f t="shared" si="115"/>
        <v>0</v>
      </c>
      <c r="AG206" s="480">
        <f t="shared" si="116"/>
        <v>0</v>
      </c>
      <c r="AH206" s="481">
        <f t="shared" si="117"/>
        <v>0</v>
      </c>
      <c r="AI206" s="481">
        <f t="shared" si="118"/>
        <v>0</v>
      </c>
      <c r="AJ206" s="487"/>
      <c r="AK206" s="507"/>
      <c r="AL206" s="479">
        <f t="shared" si="97"/>
        <v>0</v>
      </c>
      <c r="AM206" s="482">
        <f t="shared" si="98"/>
        <v>0</v>
      </c>
      <c r="AN206" s="487">
        <v>528</v>
      </c>
      <c r="AO206" s="488">
        <v>471</v>
      </c>
      <c r="AP206" s="487">
        <v>12898</v>
      </c>
      <c r="AQ206" s="488">
        <v>12641</v>
      </c>
      <c r="AR206" s="487">
        <v>7814</v>
      </c>
      <c r="AS206" s="488">
        <v>7382</v>
      </c>
      <c r="AT206" s="505">
        <v>13364</v>
      </c>
      <c r="AU206" s="812">
        <v>14848</v>
      </c>
      <c r="AV206" s="479">
        <f t="shared" si="105"/>
        <v>34604</v>
      </c>
      <c r="AW206" s="483">
        <f t="shared" si="106"/>
        <v>1441.8333333333333</v>
      </c>
      <c r="AX206" s="481">
        <f t="shared" si="107"/>
        <v>35342</v>
      </c>
      <c r="AY206" s="484">
        <f t="shared" si="108"/>
        <v>1472.5833333333333</v>
      </c>
      <c r="AZ206" s="485">
        <f t="shared" si="109"/>
        <v>7446.2333333333327</v>
      </c>
      <c r="BA206" s="481">
        <f t="shared" si="110"/>
        <v>7344.1166666666668</v>
      </c>
    </row>
    <row r="207" spans="1:53">
      <c r="A207" s="692" t="s">
        <v>267</v>
      </c>
      <c r="B207" s="693" t="s">
        <v>719</v>
      </c>
      <c r="C207" s="694"/>
      <c r="D207" s="695">
        <v>159009</v>
      </c>
      <c r="E207" s="696">
        <v>4</v>
      </c>
      <c r="F207" s="486" t="s">
        <v>41</v>
      </c>
      <c r="G207" s="529" t="s">
        <v>41</v>
      </c>
      <c r="H207" s="506"/>
      <c r="I207" s="488"/>
      <c r="J207" s="506">
        <v>57258</v>
      </c>
      <c r="K207" s="488">
        <v>53862</v>
      </c>
      <c r="L207" s="506">
        <v>11522</v>
      </c>
      <c r="M207" s="488">
        <v>9245</v>
      </c>
      <c r="N207" s="506">
        <v>60356</v>
      </c>
      <c r="O207" s="829">
        <v>56964</v>
      </c>
      <c r="P207" s="479">
        <f t="shared" si="111"/>
        <v>129136</v>
      </c>
      <c r="Q207" s="480">
        <f t="shared" si="112"/>
        <v>4304.5333333333338</v>
      </c>
      <c r="R207" s="481">
        <f t="shared" si="113"/>
        <v>120071</v>
      </c>
      <c r="S207" s="482">
        <f t="shared" si="114"/>
        <v>4002.3666666666668</v>
      </c>
      <c r="T207" s="506">
        <v>282</v>
      </c>
      <c r="U207" s="507">
        <v>285</v>
      </c>
      <c r="V207" s="479">
        <f t="shared" si="91"/>
        <v>129136</v>
      </c>
      <c r="W207" s="478">
        <f t="shared" si="92"/>
        <v>120071</v>
      </c>
      <c r="X207" s="506"/>
      <c r="Y207" s="488"/>
      <c r="Z207" s="506"/>
      <c r="AA207" s="488"/>
      <c r="AB207" s="506"/>
      <c r="AC207" s="488"/>
      <c r="AD207" s="506"/>
      <c r="AE207" s="507"/>
      <c r="AF207" s="479">
        <f t="shared" si="115"/>
        <v>0</v>
      </c>
      <c r="AG207" s="480">
        <f t="shared" si="116"/>
        <v>0</v>
      </c>
      <c r="AH207" s="481">
        <f t="shared" si="117"/>
        <v>0</v>
      </c>
      <c r="AI207" s="481">
        <f t="shared" si="118"/>
        <v>0</v>
      </c>
      <c r="AJ207" s="487"/>
      <c r="AK207" s="507"/>
      <c r="AL207" s="479">
        <v>0</v>
      </c>
      <c r="AM207" s="482">
        <v>0</v>
      </c>
      <c r="AN207" s="487"/>
      <c r="AO207" s="488"/>
      <c r="AP207" s="487">
        <v>6496</v>
      </c>
      <c r="AQ207" s="488">
        <v>6972</v>
      </c>
      <c r="AR207" s="487">
        <v>2804</v>
      </c>
      <c r="AS207" s="488">
        <v>2593</v>
      </c>
      <c r="AT207" s="487">
        <v>6882</v>
      </c>
      <c r="AU207" s="488">
        <v>7436</v>
      </c>
      <c r="AV207" s="479">
        <f t="shared" si="105"/>
        <v>16182</v>
      </c>
      <c r="AW207" s="483">
        <f t="shared" si="106"/>
        <v>674.25</v>
      </c>
      <c r="AX207" s="481">
        <f t="shared" si="107"/>
        <v>17001</v>
      </c>
      <c r="AY207" s="484">
        <f t="shared" si="108"/>
        <v>708.375</v>
      </c>
      <c r="AZ207" s="485">
        <f t="shared" si="109"/>
        <v>4978.7833333333338</v>
      </c>
      <c r="BA207" s="481">
        <f t="shared" si="110"/>
        <v>4710.7416666666668</v>
      </c>
    </row>
    <row r="208" spans="1:53">
      <c r="A208" s="692" t="s">
        <v>267</v>
      </c>
      <c r="B208" s="693" t="s">
        <v>720</v>
      </c>
      <c r="C208" s="694"/>
      <c r="D208" s="695">
        <v>159416</v>
      </c>
      <c r="E208" s="696">
        <v>4</v>
      </c>
      <c r="F208" s="486" t="s">
        <v>41</v>
      </c>
      <c r="G208" s="529" t="s">
        <v>41</v>
      </c>
      <c r="H208" s="506"/>
      <c r="I208" s="488"/>
      <c r="J208" s="506">
        <v>40658</v>
      </c>
      <c r="K208" s="488">
        <v>38264</v>
      </c>
      <c r="L208" s="506">
        <v>7099</v>
      </c>
      <c r="M208" s="488">
        <v>5886</v>
      </c>
      <c r="N208" s="506">
        <v>41384</v>
      </c>
      <c r="O208" s="830">
        <v>37559</v>
      </c>
      <c r="P208" s="479">
        <f t="shared" si="111"/>
        <v>89141</v>
      </c>
      <c r="Q208" s="480">
        <f t="shared" si="112"/>
        <v>2971.3666666666668</v>
      </c>
      <c r="R208" s="481">
        <f t="shared" si="113"/>
        <v>81709</v>
      </c>
      <c r="S208" s="482">
        <f t="shared" si="114"/>
        <v>2723.6333333333332</v>
      </c>
      <c r="T208" s="506">
        <v>11114</v>
      </c>
      <c r="U208" s="507">
        <v>10449</v>
      </c>
      <c r="V208" s="479">
        <f t="shared" ref="V208:V232" si="119">IF(ISBLANK(T208),0,P208)</f>
        <v>89141</v>
      </c>
      <c r="W208" s="478">
        <f t="shared" ref="W208:W232" si="120">IF(ISBLANK(U208),0,R208)</f>
        <v>81709</v>
      </c>
      <c r="X208" s="506"/>
      <c r="Y208" s="488"/>
      <c r="Z208" s="506"/>
      <c r="AA208" s="488"/>
      <c r="AB208" s="506"/>
      <c r="AC208" s="488"/>
      <c r="AD208" s="506"/>
      <c r="AE208" s="507"/>
      <c r="AF208" s="479">
        <f t="shared" si="115"/>
        <v>0</v>
      </c>
      <c r="AG208" s="480">
        <f t="shared" si="116"/>
        <v>0</v>
      </c>
      <c r="AH208" s="481">
        <f t="shared" si="117"/>
        <v>0</v>
      </c>
      <c r="AI208" s="481">
        <f t="shared" si="118"/>
        <v>0</v>
      </c>
      <c r="AJ208" s="487"/>
      <c r="AK208" s="507"/>
      <c r="AL208" s="479">
        <v>0</v>
      </c>
      <c r="AM208" s="482">
        <v>0</v>
      </c>
      <c r="AN208" s="487"/>
      <c r="AO208" s="488"/>
      <c r="AP208" s="487">
        <v>2382</v>
      </c>
      <c r="AQ208" s="488">
        <v>2519</v>
      </c>
      <c r="AR208" s="487">
        <v>1202</v>
      </c>
      <c r="AS208" s="488">
        <v>1234</v>
      </c>
      <c r="AT208" s="487">
        <v>2701</v>
      </c>
      <c r="AU208" s="812">
        <v>2856</v>
      </c>
      <c r="AV208" s="479">
        <f t="shared" si="105"/>
        <v>6285</v>
      </c>
      <c r="AW208" s="483">
        <f t="shared" si="106"/>
        <v>261.875</v>
      </c>
      <c r="AX208" s="481">
        <f t="shared" si="107"/>
        <v>6609</v>
      </c>
      <c r="AY208" s="484">
        <f t="shared" si="108"/>
        <v>275.375</v>
      </c>
      <c r="AZ208" s="485">
        <f t="shared" si="109"/>
        <v>3233.2416666666668</v>
      </c>
      <c r="BA208" s="481">
        <f t="shared" si="110"/>
        <v>2999.0083333333332</v>
      </c>
    </row>
    <row r="209" spans="1:53">
      <c r="A209" s="692" t="s">
        <v>267</v>
      </c>
      <c r="B209" s="693" t="s">
        <v>721</v>
      </c>
      <c r="C209" s="694"/>
      <c r="D209" s="695">
        <v>159717</v>
      </c>
      <c r="E209" s="696">
        <v>4</v>
      </c>
      <c r="F209" s="486" t="s">
        <v>41</v>
      </c>
      <c r="G209" s="529" t="s">
        <v>41</v>
      </c>
      <c r="H209" s="506"/>
      <c r="I209" s="488"/>
      <c r="J209" s="506">
        <v>97806</v>
      </c>
      <c r="K209" s="488">
        <v>93356</v>
      </c>
      <c r="L209" s="506">
        <v>12418</v>
      </c>
      <c r="M209" s="488">
        <v>10830</v>
      </c>
      <c r="N209" s="506">
        <v>103403</v>
      </c>
      <c r="O209" s="829">
        <v>100468</v>
      </c>
      <c r="P209" s="479">
        <f t="shared" si="111"/>
        <v>213627</v>
      </c>
      <c r="Q209" s="480">
        <f t="shared" si="112"/>
        <v>7120.9</v>
      </c>
      <c r="R209" s="481">
        <f t="shared" si="113"/>
        <v>204654</v>
      </c>
      <c r="S209" s="482">
        <f t="shared" si="114"/>
        <v>6821.8</v>
      </c>
      <c r="T209" s="506">
        <v>5685</v>
      </c>
      <c r="U209" s="507">
        <v>5774</v>
      </c>
      <c r="V209" s="479">
        <f t="shared" si="119"/>
        <v>213627</v>
      </c>
      <c r="W209" s="478">
        <f t="shared" si="120"/>
        <v>204654</v>
      </c>
      <c r="X209" s="506"/>
      <c r="Y209" s="488"/>
      <c r="Z209" s="506"/>
      <c r="AA209" s="488"/>
      <c r="AB209" s="506"/>
      <c r="AC209" s="488"/>
      <c r="AD209" s="506"/>
      <c r="AE209" s="507"/>
      <c r="AF209" s="479">
        <f t="shared" si="115"/>
        <v>0</v>
      </c>
      <c r="AG209" s="480">
        <f t="shared" si="116"/>
        <v>0</v>
      </c>
      <c r="AH209" s="481">
        <f t="shared" si="117"/>
        <v>0</v>
      </c>
      <c r="AI209" s="481">
        <f t="shared" si="118"/>
        <v>0</v>
      </c>
      <c r="AJ209" s="487"/>
      <c r="AK209" s="507"/>
      <c r="AL209" s="479">
        <v>0</v>
      </c>
      <c r="AM209" s="482">
        <v>0</v>
      </c>
      <c r="AN209" s="487"/>
      <c r="AO209" s="488"/>
      <c r="AP209" s="487">
        <v>5719</v>
      </c>
      <c r="AQ209" s="488">
        <v>5290</v>
      </c>
      <c r="AR209" s="487">
        <v>2065</v>
      </c>
      <c r="AS209" s="488">
        <v>1819</v>
      </c>
      <c r="AT209" s="487">
        <v>5411</v>
      </c>
      <c r="AU209" s="488">
        <v>5180</v>
      </c>
      <c r="AV209" s="479">
        <f t="shared" si="105"/>
        <v>13195</v>
      </c>
      <c r="AW209" s="483">
        <f t="shared" si="106"/>
        <v>549.79166666666663</v>
      </c>
      <c r="AX209" s="481">
        <f t="shared" si="107"/>
        <v>12289</v>
      </c>
      <c r="AY209" s="484">
        <f t="shared" si="108"/>
        <v>512.04166666666663</v>
      </c>
      <c r="AZ209" s="485">
        <f t="shared" si="109"/>
        <v>7670.6916666666666</v>
      </c>
      <c r="BA209" s="481">
        <f t="shared" si="110"/>
        <v>7333.8416666666672</v>
      </c>
    </row>
    <row r="210" spans="1:53">
      <c r="A210" s="692" t="s">
        <v>267</v>
      </c>
      <c r="B210" s="693" t="s">
        <v>722</v>
      </c>
      <c r="C210" s="694"/>
      <c r="D210" s="695">
        <v>159966</v>
      </c>
      <c r="E210" s="696">
        <v>4</v>
      </c>
      <c r="F210" s="486" t="s">
        <v>41</v>
      </c>
      <c r="G210" s="529" t="s">
        <v>41</v>
      </c>
      <c r="H210" s="506"/>
      <c r="I210" s="488"/>
      <c r="J210" s="506">
        <v>73786</v>
      </c>
      <c r="K210" s="488">
        <v>72272</v>
      </c>
      <c r="L210" s="506">
        <v>11331</v>
      </c>
      <c r="M210" s="488">
        <v>10854</v>
      </c>
      <c r="N210" s="506">
        <v>79365</v>
      </c>
      <c r="O210" s="829">
        <v>78191</v>
      </c>
      <c r="P210" s="479">
        <f t="shared" si="111"/>
        <v>164482</v>
      </c>
      <c r="Q210" s="480">
        <f t="shared" si="112"/>
        <v>5482.7333333333336</v>
      </c>
      <c r="R210" s="481">
        <f t="shared" si="113"/>
        <v>161317</v>
      </c>
      <c r="S210" s="482">
        <f t="shared" si="114"/>
        <v>5377.2333333333336</v>
      </c>
      <c r="T210" s="506">
        <v>1020</v>
      </c>
      <c r="U210" s="507">
        <v>1138</v>
      </c>
      <c r="V210" s="479">
        <f t="shared" si="119"/>
        <v>164482</v>
      </c>
      <c r="W210" s="478">
        <f t="shared" si="120"/>
        <v>161317</v>
      </c>
      <c r="X210" s="506"/>
      <c r="Y210" s="488"/>
      <c r="Z210" s="506"/>
      <c r="AA210" s="488"/>
      <c r="AB210" s="506"/>
      <c r="AC210" s="488"/>
      <c r="AD210" s="506"/>
      <c r="AE210" s="507"/>
      <c r="AF210" s="479">
        <f t="shared" si="115"/>
        <v>0</v>
      </c>
      <c r="AG210" s="480">
        <f t="shared" si="116"/>
        <v>0</v>
      </c>
      <c r="AH210" s="481">
        <f t="shared" si="117"/>
        <v>0</v>
      </c>
      <c r="AI210" s="481">
        <f t="shared" si="118"/>
        <v>0</v>
      </c>
      <c r="AJ210" s="487"/>
      <c r="AK210" s="507"/>
      <c r="AL210" s="479">
        <v>0</v>
      </c>
      <c r="AM210" s="482">
        <v>0</v>
      </c>
      <c r="AN210" s="487"/>
      <c r="AO210" s="488"/>
      <c r="AP210" s="487">
        <v>3898</v>
      </c>
      <c r="AQ210" s="488">
        <v>4025</v>
      </c>
      <c r="AR210" s="487">
        <v>2794</v>
      </c>
      <c r="AS210" s="488">
        <v>2768</v>
      </c>
      <c r="AT210" s="487">
        <v>3950</v>
      </c>
      <c r="AU210" s="488">
        <v>4318</v>
      </c>
      <c r="AV210" s="479">
        <f t="shared" si="105"/>
        <v>10642</v>
      </c>
      <c r="AW210" s="483">
        <f t="shared" si="106"/>
        <v>443.41666666666669</v>
      </c>
      <c r="AX210" s="481">
        <f t="shared" si="107"/>
        <v>11111</v>
      </c>
      <c r="AY210" s="484">
        <f t="shared" si="108"/>
        <v>462.95833333333331</v>
      </c>
      <c r="AZ210" s="485">
        <f t="shared" si="109"/>
        <v>5926.1500000000005</v>
      </c>
      <c r="BA210" s="481">
        <f t="shared" si="110"/>
        <v>5840.1916666666666</v>
      </c>
    </row>
    <row r="211" spans="1:53">
      <c r="A211" s="692" t="s">
        <v>267</v>
      </c>
      <c r="B211" s="693" t="s">
        <v>723</v>
      </c>
      <c r="C211" s="694"/>
      <c r="D211" s="695">
        <v>160038</v>
      </c>
      <c r="E211" s="696">
        <v>4</v>
      </c>
      <c r="F211" s="486" t="s">
        <v>41</v>
      </c>
      <c r="G211" s="529" t="s">
        <v>41</v>
      </c>
      <c r="H211" s="506"/>
      <c r="I211" s="488"/>
      <c r="J211" s="506">
        <v>92476</v>
      </c>
      <c r="K211" s="488">
        <v>92359</v>
      </c>
      <c r="L211" s="506">
        <v>19687</v>
      </c>
      <c r="M211" s="488">
        <v>17198</v>
      </c>
      <c r="N211" s="506">
        <v>100426</v>
      </c>
      <c r="O211" s="830">
        <v>95959</v>
      </c>
      <c r="P211" s="479">
        <f t="shared" si="111"/>
        <v>212589</v>
      </c>
      <c r="Q211" s="480">
        <f t="shared" si="112"/>
        <v>7086.3</v>
      </c>
      <c r="R211" s="481">
        <f t="shared" si="113"/>
        <v>205516</v>
      </c>
      <c r="S211" s="482">
        <f t="shared" si="114"/>
        <v>6850.5333333333338</v>
      </c>
      <c r="T211" s="506">
        <v>5504</v>
      </c>
      <c r="U211" s="507">
        <v>6282</v>
      </c>
      <c r="V211" s="479">
        <f t="shared" si="119"/>
        <v>212589</v>
      </c>
      <c r="W211" s="478">
        <f t="shared" si="120"/>
        <v>205516</v>
      </c>
      <c r="X211" s="506"/>
      <c r="Y211" s="488"/>
      <c r="Z211" s="506"/>
      <c r="AA211" s="488"/>
      <c r="AB211" s="506"/>
      <c r="AC211" s="488"/>
      <c r="AD211" s="506"/>
      <c r="AE211" s="507"/>
      <c r="AF211" s="479">
        <f t="shared" si="115"/>
        <v>0</v>
      </c>
      <c r="AG211" s="480">
        <f t="shared" si="116"/>
        <v>0</v>
      </c>
      <c r="AH211" s="481">
        <f t="shared" si="117"/>
        <v>0</v>
      </c>
      <c r="AI211" s="481">
        <f t="shared" si="118"/>
        <v>0</v>
      </c>
      <c r="AJ211" s="487"/>
      <c r="AK211" s="507"/>
      <c r="AL211" s="479">
        <v>0</v>
      </c>
      <c r="AM211" s="482">
        <v>0</v>
      </c>
      <c r="AN211" s="487"/>
      <c r="AO211" s="488"/>
      <c r="AP211" s="487">
        <v>6310</v>
      </c>
      <c r="AQ211" s="488">
        <v>6539</v>
      </c>
      <c r="AR211" s="487">
        <v>3896</v>
      </c>
      <c r="AS211" s="488">
        <v>3562</v>
      </c>
      <c r="AT211" s="505">
        <v>6774</v>
      </c>
      <c r="AU211" s="812">
        <v>6752</v>
      </c>
      <c r="AV211" s="479">
        <f t="shared" si="105"/>
        <v>16980</v>
      </c>
      <c r="AW211" s="483">
        <f t="shared" si="106"/>
        <v>707.5</v>
      </c>
      <c r="AX211" s="481">
        <f t="shared" si="107"/>
        <v>16853</v>
      </c>
      <c r="AY211" s="484">
        <f t="shared" si="108"/>
        <v>702.20833333333337</v>
      </c>
      <c r="AZ211" s="485">
        <f t="shared" si="109"/>
        <v>7793.8</v>
      </c>
      <c r="BA211" s="481">
        <f t="shared" si="110"/>
        <v>7552.7416666666668</v>
      </c>
    </row>
    <row r="212" spans="1:53">
      <c r="A212" s="692" t="s">
        <v>267</v>
      </c>
      <c r="B212" s="701" t="s">
        <v>724</v>
      </c>
      <c r="C212" s="694" t="s">
        <v>742</v>
      </c>
      <c r="D212" s="695">
        <v>160630</v>
      </c>
      <c r="E212" s="696">
        <v>4</v>
      </c>
      <c r="F212" s="486" t="s">
        <v>41</v>
      </c>
      <c r="G212" s="529" t="s">
        <v>41</v>
      </c>
      <c r="H212" s="506"/>
      <c r="I212" s="488"/>
      <c r="J212" s="506">
        <v>38111</v>
      </c>
      <c r="K212" s="488">
        <v>33143</v>
      </c>
      <c r="L212" s="506">
        <v>5480</v>
      </c>
      <c r="M212" s="488">
        <v>3143</v>
      </c>
      <c r="N212" s="506">
        <v>35925</v>
      </c>
      <c r="O212" s="507">
        <v>34188</v>
      </c>
      <c r="P212" s="479">
        <f t="shared" si="111"/>
        <v>79516</v>
      </c>
      <c r="Q212" s="480">
        <f t="shared" si="112"/>
        <v>2650.5333333333333</v>
      </c>
      <c r="R212" s="481">
        <f t="shared" si="113"/>
        <v>70474</v>
      </c>
      <c r="S212" s="482">
        <f t="shared" si="114"/>
        <v>2349.1333333333332</v>
      </c>
      <c r="T212" s="506">
        <v>1246</v>
      </c>
      <c r="U212" s="507">
        <v>1356</v>
      </c>
      <c r="V212" s="479">
        <f t="shared" si="119"/>
        <v>79516</v>
      </c>
      <c r="W212" s="478">
        <f t="shared" si="120"/>
        <v>70474</v>
      </c>
      <c r="X212" s="506"/>
      <c r="Y212" s="488"/>
      <c r="Z212" s="506"/>
      <c r="AA212" s="488"/>
      <c r="AB212" s="506"/>
      <c r="AC212" s="488"/>
      <c r="AD212" s="506"/>
      <c r="AE212" s="507"/>
      <c r="AF212" s="479">
        <f t="shared" si="115"/>
        <v>0</v>
      </c>
      <c r="AG212" s="480">
        <f t="shared" si="116"/>
        <v>0</v>
      </c>
      <c r="AH212" s="481">
        <f t="shared" si="117"/>
        <v>0</v>
      </c>
      <c r="AI212" s="481">
        <f t="shared" si="118"/>
        <v>0</v>
      </c>
      <c r="AJ212" s="487"/>
      <c r="AK212" s="507"/>
      <c r="AL212" s="479">
        <v>0</v>
      </c>
      <c r="AM212" s="482">
        <v>0</v>
      </c>
      <c r="AN212" s="487"/>
      <c r="AO212" s="488"/>
      <c r="AP212" s="487">
        <v>757</v>
      </c>
      <c r="AQ212" s="488">
        <v>1014</v>
      </c>
      <c r="AR212" s="487">
        <v>80</v>
      </c>
      <c r="AS212" s="488">
        <v>123</v>
      </c>
      <c r="AT212" s="487">
        <v>1008</v>
      </c>
      <c r="AU212" s="488">
        <v>875</v>
      </c>
      <c r="AV212" s="479">
        <f t="shared" si="105"/>
        <v>1845</v>
      </c>
      <c r="AW212" s="483">
        <f t="shared" si="106"/>
        <v>76.875</v>
      </c>
      <c r="AX212" s="481">
        <f t="shared" si="107"/>
        <v>2012</v>
      </c>
      <c r="AY212" s="484">
        <f t="shared" si="108"/>
        <v>83.833333333333329</v>
      </c>
      <c r="AZ212" s="485">
        <f t="shared" si="109"/>
        <v>2727.4083333333333</v>
      </c>
      <c r="BA212" s="481">
        <f t="shared" si="110"/>
        <v>2432.9666666666667</v>
      </c>
    </row>
    <row r="213" spans="1:53">
      <c r="A213" s="692" t="s">
        <v>267</v>
      </c>
      <c r="B213" s="701" t="s">
        <v>725</v>
      </c>
      <c r="C213" s="702"/>
      <c r="D213" s="695">
        <v>159382</v>
      </c>
      <c r="E213" s="696">
        <v>6</v>
      </c>
      <c r="F213" s="486" t="s">
        <v>41</v>
      </c>
      <c r="G213" s="529" t="s">
        <v>41</v>
      </c>
      <c r="H213" s="506"/>
      <c r="I213" s="488"/>
      <c r="J213" s="506">
        <v>23055</v>
      </c>
      <c r="K213" s="488">
        <v>21372</v>
      </c>
      <c r="L213" s="506">
        <v>4552</v>
      </c>
      <c r="M213" s="488">
        <v>4135</v>
      </c>
      <c r="N213" s="506">
        <v>24122</v>
      </c>
      <c r="O213" s="831">
        <v>23698</v>
      </c>
      <c r="P213" s="479">
        <f t="shared" si="111"/>
        <v>51729</v>
      </c>
      <c r="Q213" s="480">
        <f t="shared" si="112"/>
        <v>1724.3</v>
      </c>
      <c r="R213" s="481">
        <f t="shared" si="113"/>
        <v>49205</v>
      </c>
      <c r="S213" s="482">
        <f t="shared" si="114"/>
        <v>1640.1666666666667</v>
      </c>
      <c r="T213" s="506">
        <v>2869</v>
      </c>
      <c r="U213" s="507">
        <v>2366</v>
      </c>
      <c r="V213" s="479">
        <f t="shared" si="119"/>
        <v>51729</v>
      </c>
      <c r="W213" s="478">
        <f t="shared" si="120"/>
        <v>49205</v>
      </c>
      <c r="X213" s="506"/>
      <c r="Y213" s="488"/>
      <c r="Z213" s="506"/>
      <c r="AA213" s="488"/>
      <c r="AB213" s="506"/>
      <c r="AC213" s="488"/>
      <c r="AD213" s="506"/>
      <c r="AE213" s="507"/>
      <c r="AF213" s="479">
        <f t="shared" si="115"/>
        <v>0</v>
      </c>
      <c r="AG213" s="480">
        <f t="shared" si="116"/>
        <v>0</v>
      </c>
      <c r="AH213" s="481">
        <f t="shared" si="117"/>
        <v>0</v>
      </c>
      <c r="AI213" s="481">
        <f t="shared" si="118"/>
        <v>0</v>
      </c>
      <c r="AJ213" s="487"/>
      <c r="AK213" s="507"/>
      <c r="AL213" s="479">
        <v>0</v>
      </c>
      <c r="AM213" s="482">
        <v>0</v>
      </c>
      <c r="AN213" s="487"/>
      <c r="AO213" s="488"/>
      <c r="AP213" s="487"/>
      <c r="AQ213" s="488"/>
      <c r="AR213" s="487"/>
      <c r="AS213" s="488"/>
      <c r="AT213" s="487"/>
      <c r="AU213" s="488"/>
      <c r="AV213" s="479">
        <f t="shared" si="105"/>
        <v>0</v>
      </c>
      <c r="AW213" s="483">
        <f t="shared" si="106"/>
        <v>0</v>
      </c>
      <c r="AX213" s="481">
        <f t="shared" si="107"/>
        <v>0</v>
      </c>
      <c r="AY213" s="484">
        <f t="shared" si="108"/>
        <v>0</v>
      </c>
      <c r="AZ213" s="485">
        <f t="shared" si="109"/>
        <v>1724.3</v>
      </c>
      <c r="BA213" s="481">
        <f t="shared" si="110"/>
        <v>1640.1666666666667</v>
      </c>
    </row>
    <row r="214" spans="1:53">
      <c r="A214" s="692" t="s">
        <v>267</v>
      </c>
      <c r="B214" s="704" t="s">
        <v>726</v>
      </c>
      <c r="C214" s="705"/>
      <c r="D214" s="695">
        <v>437103</v>
      </c>
      <c r="E214" s="715">
        <v>8</v>
      </c>
      <c r="F214" s="486" t="s">
        <v>41</v>
      </c>
      <c r="G214" s="529" t="s">
        <v>41</v>
      </c>
      <c r="H214" s="506"/>
      <c r="I214" s="488"/>
      <c r="J214" s="506">
        <v>78630</v>
      </c>
      <c r="K214" s="812">
        <v>73333</v>
      </c>
      <c r="L214" s="506">
        <v>10495</v>
      </c>
      <c r="M214" s="812">
        <v>16997</v>
      </c>
      <c r="N214" s="506">
        <v>80151</v>
      </c>
      <c r="O214" s="770">
        <v>99424</v>
      </c>
      <c r="P214" s="479">
        <f t="shared" si="111"/>
        <v>169276</v>
      </c>
      <c r="Q214" s="480">
        <f t="shared" si="112"/>
        <v>5642.5333333333338</v>
      </c>
      <c r="R214" s="481">
        <f t="shared" si="113"/>
        <v>189754</v>
      </c>
      <c r="S214" s="482">
        <f t="shared" si="114"/>
        <v>6325.1333333333332</v>
      </c>
      <c r="T214" s="506">
        <v>1839</v>
      </c>
      <c r="U214" s="507">
        <v>2943</v>
      </c>
      <c r="V214" s="479">
        <f t="shared" si="119"/>
        <v>169276</v>
      </c>
      <c r="W214" s="478">
        <f t="shared" si="120"/>
        <v>189754</v>
      </c>
      <c r="X214" s="506"/>
      <c r="Y214" s="488"/>
      <c r="Z214" s="506"/>
      <c r="AA214" s="488"/>
      <c r="AB214" s="506"/>
      <c r="AC214" s="488"/>
      <c r="AD214" s="506"/>
      <c r="AE214" s="507"/>
      <c r="AF214" s="479">
        <f t="shared" si="115"/>
        <v>0</v>
      </c>
      <c r="AG214" s="480">
        <f t="shared" si="116"/>
        <v>0</v>
      </c>
      <c r="AH214" s="481">
        <f t="shared" si="117"/>
        <v>0</v>
      </c>
      <c r="AI214" s="481">
        <f t="shared" si="118"/>
        <v>0</v>
      </c>
      <c r="AJ214" s="487"/>
      <c r="AK214" s="507"/>
      <c r="AL214" s="479">
        <v>0</v>
      </c>
      <c r="AM214" s="482">
        <v>0</v>
      </c>
      <c r="AN214" s="487"/>
      <c r="AO214" s="488"/>
      <c r="AP214" s="487"/>
      <c r="AQ214" s="488"/>
      <c r="AR214" s="487"/>
      <c r="AS214" s="488"/>
      <c r="AT214" s="487"/>
      <c r="AU214" s="488"/>
      <c r="AV214" s="479">
        <f t="shared" si="105"/>
        <v>0</v>
      </c>
      <c r="AW214" s="483">
        <f t="shared" si="106"/>
        <v>0</v>
      </c>
      <c r="AX214" s="481">
        <f t="shared" si="107"/>
        <v>0</v>
      </c>
      <c r="AY214" s="484">
        <f t="shared" si="108"/>
        <v>0</v>
      </c>
      <c r="AZ214" s="485">
        <f t="shared" si="109"/>
        <v>5642.5333333333338</v>
      </c>
      <c r="BA214" s="481">
        <f t="shared" si="110"/>
        <v>6325.1333333333332</v>
      </c>
    </row>
    <row r="215" spans="1:53">
      <c r="A215" s="692" t="s">
        <v>267</v>
      </c>
      <c r="B215" s="701" t="s">
        <v>727</v>
      </c>
      <c r="C215" s="702"/>
      <c r="D215" s="695">
        <v>158431</v>
      </c>
      <c r="E215" s="703">
        <v>8</v>
      </c>
      <c r="F215" s="486" t="s">
        <v>41</v>
      </c>
      <c r="G215" s="529" t="s">
        <v>41</v>
      </c>
      <c r="H215" s="506"/>
      <c r="I215" s="488"/>
      <c r="J215" s="506">
        <v>80514</v>
      </c>
      <c r="K215" s="488">
        <v>81916</v>
      </c>
      <c r="L215" s="506">
        <v>17606</v>
      </c>
      <c r="M215" s="488">
        <v>13712</v>
      </c>
      <c r="N215" s="506">
        <v>85162</v>
      </c>
      <c r="O215" s="770">
        <v>89127</v>
      </c>
      <c r="P215" s="479">
        <f t="shared" si="111"/>
        <v>183282</v>
      </c>
      <c r="Q215" s="480">
        <f t="shared" si="112"/>
        <v>6109.4</v>
      </c>
      <c r="R215" s="481">
        <f t="shared" si="113"/>
        <v>184755</v>
      </c>
      <c r="S215" s="482">
        <f t="shared" si="114"/>
        <v>6158.5</v>
      </c>
      <c r="T215" s="506">
        <v>3619</v>
      </c>
      <c r="U215" s="507">
        <v>4158</v>
      </c>
      <c r="V215" s="479">
        <f t="shared" si="119"/>
        <v>183282</v>
      </c>
      <c r="W215" s="478">
        <f t="shared" si="120"/>
        <v>184755</v>
      </c>
      <c r="X215" s="506"/>
      <c r="Y215" s="488"/>
      <c r="Z215" s="506"/>
      <c r="AA215" s="488"/>
      <c r="AB215" s="506"/>
      <c r="AC215" s="488"/>
      <c r="AD215" s="506"/>
      <c r="AE215" s="507"/>
      <c r="AF215" s="479">
        <f t="shared" si="115"/>
        <v>0</v>
      </c>
      <c r="AG215" s="480">
        <f t="shared" si="116"/>
        <v>0</v>
      </c>
      <c r="AH215" s="481">
        <f t="shared" si="117"/>
        <v>0</v>
      </c>
      <c r="AI215" s="481">
        <f t="shared" si="118"/>
        <v>0</v>
      </c>
      <c r="AJ215" s="487"/>
      <c r="AK215" s="507"/>
      <c r="AL215" s="479">
        <v>0</v>
      </c>
      <c r="AM215" s="482">
        <v>0</v>
      </c>
      <c r="AN215" s="487"/>
      <c r="AO215" s="488"/>
      <c r="AP215" s="487"/>
      <c r="AQ215" s="488"/>
      <c r="AR215" s="487"/>
      <c r="AS215" s="488"/>
      <c r="AT215" s="487"/>
      <c r="AU215" s="488"/>
      <c r="AV215" s="479">
        <f t="shared" si="105"/>
        <v>0</v>
      </c>
      <c r="AW215" s="483">
        <f t="shared" si="106"/>
        <v>0</v>
      </c>
      <c r="AX215" s="481">
        <f t="shared" si="107"/>
        <v>0</v>
      </c>
      <c r="AY215" s="484">
        <f t="shared" si="108"/>
        <v>0</v>
      </c>
      <c r="AZ215" s="485">
        <f t="shared" si="109"/>
        <v>6109.4</v>
      </c>
      <c r="BA215" s="481">
        <f t="shared" si="110"/>
        <v>6158.5</v>
      </c>
    </row>
    <row r="216" spans="1:53">
      <c r="A216" s="692" t="s">
        <v>267</v>
      </c>
      <c r="B216" s="701" t="s">
        <v>728</v>
      </c>
      <c r="C216" s="705"/>
      <c r="D216" s="695">
        <v>158662</v>
      </c>
      <c r="E216" s="707">
        <v>8</v>
      </c>
      <c r="F216" s="486" t="s">
        <v>41</v>
      </c>
      <c r="G216" s="529" t="s">
        <v>41</v>
      </c>
      <c r="H216" s="506"/>
      <c r="I216" s="488"/>
      <c r="J216" s="506">
        <v>192771</v>
      </c>
      <c r="K216" s="488">
        <v>173985</v>
      </c>
      <c r="L216" s="506">
        <v>38177</v>
      </c>
      <c r="M216" s="488">
        <v>29677</v>
      </c>
      <c r="N216" s="506">
        <v>172000</v>
      </c>
      <c r="O216" s="770">
        <v>177459</v>
      </c>
      <c r="P216" s="479">
        <f t="shared" si="111"/>
        <v>402948</v>
      </c>
      <c r="Q216" s="480">
        <f t="shared" si="112"/>
        <v>13431.6</v>
      </c>
      <c r="R216" s="481">
        <f t="shared" si="113"/>
        <v>381121</v>
      </c>
      <c r="S216" s="482">
        <f t="shared" si="114"/>
        <v>12704.033333333333</v>
      </c>
      <c r="T216" s="506">
        <v>1372</v>
      </c>
      <c r="U216" s="507">
        <v>1846</v>
      </c>
      <c r="V216" s="479">
        <f t="shared" si="119"/>
        <v>402948</v>
      </c>
      <c r="W216" s="478">
        <f t="shared" si="120"/>
        <v>381121</v>
      </c>
      <c r="X216" s="506"/>
      <c r="Y216" s="488"/>
      <c r="Z216" s="506"/>
      <c r="AA216" s="488"/>
      <c r="AB216" s="506"/>
      <c r="AC216" s="488"/>
      <c r="AD216" s="506"/>
      <c r="AE216" s="507"/>
      <c r="AF216" s="479">
        <f t="shared" si="115"/>
        <v>0</v>
      </c>
      <c r="AG216" s="480">
        <f t="shared" si="116"/>
        <v>0</v>
      </c>
      <c r="AH216" s="481">
        <f t="shared" si="117"/>
        <v>0</v>
      </c>
      <c r="AI216" s="481">
        <f t="shared" si="118"/>
        <v>0</v>
      </c>
      <c r="AJ216" s="487"/>
      <c r="AK216" s="507"/>
      <c r="AL216" s="479">
        <v>0</v>
      </c>
      <c r="AM216" s="482">
        <v>0</v>
      </c>
      <c r="AN216" s="487"/>
      <c r="AO216" s="488"/>
      <c r="AP216" s="487"/>
      <c r="AQ216" s="488"/>
      <c r="AR216" s="487"/>
      <c r="AS216" s="488"/>
      <c r="AT216" s="487"/>
      <c r="AU216" s="488"/>
      <c r="AV216" s="479">
        <f t="shared" si="105"/>
        <v>0</v>
      </c>
      <c r="AW216" s="483">
        <f t="shared" si="106"/>
        <v>0</v>
      </c>
      <c r="AX216" s="481">
        <f t="shared" si="107"/>
        <v>0</v>
      </c>
      <c r="AY216" s="484">
        <f t="shared" si="108"/>
        <v>0</v>
      </c>
      <c r="AZ216" s="485">
        <f t="shared" si="109"/>
        <v>13431.6</v>
      </c>
      <c r="BA216" s="481">
        <f t="shared" si="110"/>
        <v>12704.033333333333</v>
      </c>
    </row>
    <row r="217" spans="1:53">
      <c r="A217" s="692" t="s">
        <v>267</v>
      </c>
      <c r="B217" s="693" t="s">
        <v>729</v>
      </c>
      <c r="C217" s="708" t="s">
        <v>614</v>
      </c>
      <c r="D217" s="695">
        <v>159407</v>
      </c>
      <c r="E217" s="696">
        <v>9</v>
      </c>
      <c r="F217" s="486" t="s">
        <v>41</v>
      </c>
      <c r="G217" s="529" t="s">
        <v>41</v>
      </c>
      <c r="H217" s="506"/>
      <c r="I217" s="488"/>
      <c r="J217" s="506">
        <v>27989</v>
      </c>
      <c r="K217" s="488">
        <v>26620</v>
      </c>
      <c r="L217" s="506">
        <v>4969</v>
      </c>
      <c r="M217" s="488">
        <v>3907</v>
      </c>
      <c r="N217" s="506">
        <v>29014</v>
      </c>
      <c r="O217" s="507">
        <v>26138</v>
      </c>
      <c r="P217" s="479">
        <f t="shared" si="111"/>
        <v>61972</v>
      </c>
      <c r="Q217" s="480">
        <f t="shared" si="112"/>
        <v>2065.7333333333331</v>
      </c>
      <c r="R217" s="481">
        <f t="shared" si="113"/>
        <v>56665</v>
      </c>
      <c r="S217" s="482">
        <f t="shared" si="114"/>
        <v>1888.8333333333333</v>
      </c>
      <c r="T217" s="506">
        <v>3283</v>
      </c>
      <c r="U217" s="507">
        <v>2950</v>
      </c>
      <c r="V217" s="479">
        <f t="shared" si="119"/>
        <v>61972</v>
      </c>
      <c r="W217" s="478">
        <f t="shared" si="120"/>
        <v>56665</v>
      </c>
      <c r="X217" s="506"/>
      <c r="Y217" s="488"/>
      <c r="Z217" s="506"/>
      <c r="AA217" s="488"/>
      <c r="AB217" s="506"/>
      <c r="AC217" s="488"/>
      <c r="AD217" s="506"/>
      <c r="AE217" s="507"/>
      <c r="AF217" s="479">
        <f t="shared" si="115"/>
        <v>0</v>
      </c>
      <c r="AG217" s="480">
        <f t="shared" si="116"/>
        <v>0</v>
      </c>
      <c r="AH217" s="481">
        <f t="shared" si="117"/>
        <v>0</v>
      </c>
      <c r="AI217" s="481">
        <f t="shared" si="118"/>
        <v>0</v>
      </c>
      <c r="AJ217" s="487"/>
      <c r="AK217" s="507"/>
      <c r="AL217" s="479">
        <v>0</v>
      </c>
      <c r="AM217" s="482">
        <v>0</v>
      </c>
      <c r="AN217" s="487"/>
      <c r="AO217" s="488"/>
      <c r="AP217" s="487"/>
      <c r="AQ217" s="488"/>
      <c r="AR217" s="487"/>
      <c r="AS217" s="488"/>
      <c r="AT217" s="487"/>
      <c r="AU217" s="488"/>
      <c r="AV217" s="479">
        <f t="shared" si="105"/>
        <v>0</v>
      </c>
      <c r="AW217" s="483">
        <f t="shared" si="106"/>
        <v>0</v>
      </c>
      <c r="AX217" s="481">
        <f t="shared" si="107"/>
        <v>0</v>
      </c>
      <c r="AY217" s="484">
        <f t="shared" si="108"/>
        <v>0</v>
      </c>
      <c r="AZ217" s="485">
        <f t="shared" si="109"/>
        <v>2065.7333333333331</v>
      </c>
      <c r="BA217" s="481">
        <f t="shared" si="110"/>
        <v>1888.8333333333333</v>
      </c>
    </row>
    <row r="218" spans="1:53">
      <c r="A218" s="692" t="s">
        <v>267</v>
      </c>
      <c r="B218" s="816" t="s">
        <v>730</v>
      </c>
      <c r="C218" s="705"/>
      <c r="D218" s="695">
        <v>434061</v>
      </c>
      <c r="E218" s="715">
        <v>9</v>
      </c>
      <c r="F218" s="486" t="s">
        <v>41</v>
      </c>
      <c r="G218" s="529" t="s">
        <v>41</v>
      </c>
      <c r="H218" s="506"/>
      <c r="I218" s="488">
        <v>72</v>
      </c>
      <c r="J218" s="506">
        <v>70353.5</v>
      </c>
      <c r="K218" s="488">
        <v>57711</v>
      </c>
      <c r="L218" s="506">
        <v>18151</v>
      </c>
      <c r="M218" s="812">
        <v>12897</v>
      </c>
      <c r="N218" s="506">
        <v>71265</v>
      </c>
      <c r="O218" s="812">
        <v>70397</v>
      </c>
      <c r="P218" s="479">
        <f t="shared" si="111"/>
        <v>159769.5</v>
      </c>
      <c r="Q218" s="480">
        <f t="shared" si="112"/>
        <v>5325.65</v>
      </c>
      <c r="R218" s="481">
        <f t="shared" si="113"/>
        <v>141077</v>
      </c>
      <c r="S218" s="482">
        <f t="shared" si="114"/>
        <v>4702.5666666666666</v>
      </c>
      <c r="T218" s="506">
        <v>15668</v>
      </c>
      <c r="U218" s="507">
        <v>17672</v>
      </c>
      <c r="V218" s="479">
        <f t="shared" si="119"/>
        <v>159769.5</v>
      </c>
      <c r="W218" s="478">
        <f t="shared" si="120"/>
        <v>141077</v>
      </c>
      <c r="X218" s="506"/>
      <c r="Y218" s="488"/>
      <c r="Z218" s="506"/>
      <c r="AA218" s="488"/>
      <c r="AB218" s="506"/>
      <c r="AC218" s="488"/>
      <c r="AD218" s="506"/>
      <c r="AE218" s="507"/>
      <c r="AF218" s="479">
        <f t="shared" si="115"/>
        <v>0</v>
      </c>
      <c r="AG218" s="480">
        <f t="shared" si="116"/>
        <v>0</v>
      </c>
      <c r="AH218" s="481">
        <f t="shared" si="117"/>
        <v>0</v>
      </c>
      <c r="AI218" s="481">
        <f t="shared" si="118"/>
        <v>0</v>
      </c>
      <c r="AJ218" s="487"/>
      <c r="AK218" s="507"/>
      <c r="AL218" s="479">
        <v>0</v>
      </c>
      <c r="AM218" s="482">
        <v>0</v>
      </c>
      <c r="AN218" s="487"/>
      <c r="AO218" s="488"/>
      <c r="AP218" s="487"/>
      <c r="AQ218" s="488"/>
      <c r="AR218" s="487"/>
      <c r="AS218" s="488"/>
      <c r="AT218" s="487"/>
      <c r="AU218" s="488"/>
      <c r="AV218" s="479">
        <f t="shared" si="105"/>
        <v>0</v>
      </c>
      <c r="AW218" s="483">
        <f t="shared" si="106"/>
        <v>0</v>
      </c>
      <c r="AX218" s="481">
        <f t="shared" si="107"/>
        <v>0</v>
      </c>
      <c r="AY218" s="484">
        <f t="shared" si="108"/>
        <v>0</v>
      </c>
      <c r="AZ218" s="485">
        <f t="shared" si="109"/>
        <v>5325.65</v>
      </c>
      <c r="BA218" s="481">
        <f t="shared" si="110"/>
        <v>4702.5666666666666</v>
      </c>
    </row>
    <row r="219" spans="1:53">
      <c r="A219" s="692" t="s">
        <v>267</v>
      </c>
      <c r="B219" s="817" t="s">
        <v>731</v>
      </c>
      <c r="C219" s="702" t="s">
        <v>679</v>
      </c>
      <c r="D219" s="695">
        <v>440624</v>
      </c>
      <c r="E219" s="706">
        <v>9</v>
      </c>
      <c r="F219" s="486" t="s">
        <v>41</v>
      </c>
      <c r="G219" s="529" t="s">
        <v>41</v>
      </c>
      <c r="H219" s="506"/>
      <c r="I219" s="488">
        <v>165</v>
      </c>
      <c r="J219" s="506">
        <v>43182.5</v>
      </c>
      <c r="K219" s="488">
        <v>38698</v>
      </c>
      <c r="L219" s="506">
        <v>11259.5</v>
      </c>
      <c r="M219" s="488">
        <v>8959</v>
      </c>
      <c r="N219" s="506">
        <v>37617</v>
      </c>
      <c r="O219" s="812">
        <v>37370</v>
      </c>
      <c r="P219" s="479">
        <f t="shared" si="111"/>
        <v>92059</v>
      </c>
      <c r="Q219" s="480">
        <f t="shared" si="112"/>
        <v>3068.6333333333332</v>
      </c>
      <c r="R219" s="481">
        <f t="shared" si="113"/>
        <v>85192</v>
      </c>
      <c r="S219" s="482">
        <f t="shared" si="114"/>
        <v>2839.7333333333331</v>
      </c>
      <c r="T219" s="506">
        <v>5405</v>
      </c>
      <c r="U219" s="507">
        <v>5316</v>
      </c>
      <c r="V219" s="479">
        <f t="shared" si="119"/>
        <v>92059</v>
      </c>
      <c r="W219" s="478">
        <f t="shared" si="120"/>
        <v>85192</v>
      </c>
      <c r="X219" s="506"/>
      <c r="Y219" s="488"/>
      <c r="Z219" s="506"/>
      <c r="AA219" s="488"/>
      <c r="AB219" s="506"/>
      <c r="AC219" s="488"/>
      <c r="AD219" s="534">
        <v>11</v>
      </c>
      <c r="AE219" s="507"/>
      <c r="AF219" s="479">
        <f t="shared" si="115"/>
        <v>11</v>
      </c>
      <c r="AG219" s="480">
        <f t="shared" si="116"/>
        <v>1.2222222222222223E-2</v>
      </c>
      <c r="AH219" s="481">
        <f t="shared" si="117"/>
        <v>0</v>
      </c>
      <c r="AI219" s="481">
        <f t="shared" si="118"/>
        <v>0</v>
      </c>
      <c r="AJ219" s="487"/>
      <c r="AK219" s="507"/>
      <c r="AL219" s="479">
        <v>0</v>
      </c>
      <c r="AM219" s="482">
        <v>0</v>
      </c>
      <c r="AN219" s="487"/>
      <c r="AO219" s="488"/>
      <c r="AP219" s="487"/>
      <c r="AQ219" s="488"/>
      <c r="AR219" s="487"/>
      <c r="AS219" s="488"/>
      <c r="AT219" s="487"/>
      <c r="AU219" s="488"/>
      <c r="AV219" s="479">
        <f t="shared" si="105"/>
        <v>0</v>
      </c>
      <c r="AW219" s="483">
        <f t="shared" si="106"/>
        <v>0</v>
      </c>
      <c r="AX219" s="481">
        <f t="shared" si="107"/>
        <v>0</v>
      </c>
      <c r="AY219" s="484">
        <f t="shared" si="108"/>
        <v>0</v>
      </c>
      <c r="AZ219" s="485">
        <f t="shared" si="109"/>
        <v>3068.6455555555553</v>
      </c>
      <c r="BA219" s="481">
        <f t="shared" si="110"/>
        <v>2839.7333333333331</v>
      </c>
    </row>
    <row r="220" spans="1:53">
      <c r="A220" s="692" t="s">
        <v>267</v>
      </c>
      <c r="B220" s="693" t="s">
        <v>732</v>
      </c>
      <c r="C220" s="694"/>
      <c r="D220" s="709">
        <v>158884</v>
      </c>
      <c r="E220" s="696">
        <v>10</v>
      </c>
      <c r="F220" s="486" t="s">
        <v>41</v>
      </c>
      <c r="G220" s="529" t="s">
        <v>41</v>
      </c>
      <c r="H220" s="506"/>
      <c r="I220" s="488"/>
      <c r="J220" s="506">
        <v>18641</v>
      </c>
      <c r="K220" s="488">
        <v>18387</v>
      </c>
      <c r="L220" s="506">
        <v>3734</v>
      </c>
      <c r="M220" s="488">
        <v>3370</v>
      </c>
      <c r="N220" s="506">
        <v>19632</v>
      </c>
      <c r="O220" s="812">
        <v>21724</v>
      </c>
      <c r="P220" s="479">
        <f t="shared" si="111"/>
        <v>42007</v>
      </c>
      <c r="Q220" s="480">
        <f t="shared" si="112"/>
        <v>1400.2333333333333</v>
      </c>
      <c r="R220" s="481">
        <f t="shared" si="113"/>
        <v>43481</v>
      </c>
      <c r="S220" s="482">
        <f t="shared" si="114"/>
        <v>1449.3666666666666</v>
      </c>
      <c r="T220" s="506">
        <v>5241</v>
      </c>
      <c r="U220" s="507">
        <v>5762</v>
      </c>
      <c r="V220" s="479">
        <f t="shared" si="119"/>
        <v>42007</v>
      </c>
      <c r="W220" s="478">
        <f t="shared" si="120"/>
        <v>43481</v>
      </c>
      <c r="X220" s="506"/>
      <c r="Y220" s="488"/>
      <c r="Z220" s="506"/>
      <c r="AA220" s="488"/>
      <c r="AB220" s="506"/>
      <c r="AC220" s="488"/>
      <c r="AD220" s="506"/>
      <c r="AE220" s="507"/>
      <c r="AF220" s="479">
        <f t="shared" si="115"/>
        <v>0</v>
      </c>
      <c r="AG220" s="480">
        <f t="shared" si="116"/>
        <v>0</v>
      </c>
      <c r="AH220" s="481">
        <f t="shared" si="117"/>
        <v>0</v>
      </c>
      <c r="AI220" s="481">
        <f t="shared" si="118"/>
        <v>0</v>
      </c>
      <c r="AJ220" s="487"/>
      <c r="AK220" s="507"/>
      <c r="AL220" s="479">
        <v>0</v>
      </c>
      <c r="AM220" s="482">
        <v>0</v>
      </c>
      <c r="AN220" s="487"/>
      <c r="AO220" s="488"/>
      <c r="AP220" s="487"/>
      <c r="AQ220" s="488"/>
      <c r="AR220" s="487"/>
      <c r="AS220" s="488"/>
      <c r="AT220" s="487"/>
      <c r="AU220" s="488"/>
      <c r="AV220" s="479">
        <f t="shared" si="105"/>
        <v>0</v>
      </c>
      <c r="AW220" s="483">
        <f t="shared" si="106"/>
        <v>0</v>
      </c>
      <c r="AX220" s="481">
        <f t="shared" si="107"/>
        <v>0</v>
      </c>
      <c r="AY220" s="484">
        <f t="shared" si="108"/>
        <v>0</v>
      </c>
      <c r="AZ220" s="485">
        <f t="shared" si="109"/>
        <v>1400.2333333333333</v>
      </c>
      <c r="BA220" s="481">
        <f t="shared" si="110"/>
        <v>1449.3666666666666</v>
      </c>
    </row>
    <row r="221" spans="1:53">
      <c r="A221" s="692" t="s">
        <v>267</v>
      </c>
      <c r="B221" s="693" t="s">
        <v>733</v>
      </c>
      <c r="C221" s="705"/>
      <c r="D221" s="709">
        <v>436304</v>
      </c>
      <c r="E221" s="696">
        <v>10</v>
      </c>
      <c r="F221" s="486" t="s">
        <v>41</v>
      </c>
      <c r="G221" s="529" t="s">
        <v>41</v>
      </c>
      <c r="H221" s="506"/>
      <c r="I221" s="488"/>
      <c r="J221" s="506">
        <v>21519</v>
      </c>
      <c r="K221" s="488">
        <v>22269</v>
      </c>
      <c r="L221" s="506">
        <v>4445</v>
      </c>
      <c r="M221" s="488">
        <v>3514</v>
      </c>
      <c r="N221" s="506">
        <v>28080</v>
      </c>
      <c r="O221" s="812">
        <v>23983</v>
      </c>
      <c r="P221" s="479">
        <f t="shared" si="111"/>
        <v>54044</v>
      </c>
      <c r="Q221" s="480">
        <f t="shared" si="112"/>
        <v>1801.4666666666667</v>
      </c>
      <c r="R221" s="481">
        <f t="shared" si="113"/>
        <v>49766</v>
      </c>
      <c r="S221" s="482">
        <f t="shared" si="114"/>
        <v>1658.8666666666666</v>
      </c>
      <c r="T221" s="506">
        <v>9861</v>
      </c>
      <c r="U221" s="507">
        <v>10497</v>
      </c>
      <c r="V221" s="479">
        <f t="shared" si="119"/>
        <v>54044</v>
      </c>
      <c r="W221" s="478">
        <f t="shared" si="120"/>
        <v>49766</v>
      </c>
      <c r="X221" s="506"/>
      <c r="Y221" s="488"/>
      <c r="Z221" s="506"/>
      <c r="AA221" s="488"/>
      <c r="AB221" s="506"/>
      <c r="AC221" s="488"/>
      <c r="AD221" s="506"/>
      <c r="AE221" s="507"/>
      <c r="AF221" s="479">
        <f t="shared" si="115"/>
        <v>0</v>
      </c>
      <c r="AG221" s="480">
        <f t="shared" si="116"/>
        <v>0</v>
      </c>
      <c r="AH221" s="481">
        <f t="shared" si="117"/>
        <v>0</v>
      </c>
      <c r="AI221" s="481">
        <f t="shared" si="118"/>
        <v>0</v>
      </c>
      <c r="AJ221" s="487"/>
      <c r="AK221" s="507"/>
      <c r="AL221" s="479">
        <v>0</v>
      </c>
      <c r="AM221" s="482">
        <v>0</v>
      </c>
      <c r="AN221" s="487"/>
      <c r="AO221" s="488"/>
      <c r="AP221" s="487"/>
      <c r="AQ221" s="488"/>
      <c r="AR221" s="487"/>
      <c r="AS221" s="488"/>
      <c r="AT221" s="487"/>
      <c r="AU221" s="488"/>
      <c r="AV221" s="479">
        <f t="shared" si="105"/>
        <v>0</v>
      </c>
      <c r="AW221" s="483">
        <f t="shared" si="106"/>
        <v>0</v>
      </c>
      <c r="AX221" s="481">
        <f t="shared" si="107"/>
        <v>0</v>
      </c>
      <c r="AY221" s="484">
        <f t="shared" si="108"/>
        <v>0</v>
      </c>
      <c r="AZ221" s="485">
        <f t="shared" si="109"/>
        <v>1801.4666666666667</v>
      </c>
      <c r="BA221" s="481">
        <f t="shared" si="110"/>
        <v>1658.8666666666666</v>
      </c>
    </row>
    <row r="222" spans="1:53">
      <c r="A222" s="692" t="s">
        <v>267</v>
      </c>
      <c r="B222" s="710" t="s">
        <v>734</v>
      </c>
      <c r="C222" s="702" t="s">
        <v>679</v>
      </c>
      <c r="D222" s="709">
        <v>160649</v>
      </c>
      <c r="E222" s="706">
        <v>9</v>
      </c>
      <c r="F222" s="486" t="s">
        <v>41</v>
      </c>
      <c r="G222" s="529" t="s">
        <v>41</v>
      </c>
      <c r="H222" s="506"/>
      <c r="I222" s="488"/>
      <c r="J222" s="506">
        <v>28165</v>
      </c>
      <c r="K222" s="488">
        <v>29676</v>
      </c>
      <c r="L222" s="506">
        <v>6743</v>
      </c>
      <c r="M222" s="488">
        <v>6918</v>
      </c>
      <c r="N222" s="506">
        <v>31899</v>
      </c>
      <c r="O222" s="488">
        <v>33358</v>
      </c>
      <c r="P222" s="479">
        <f t="shared" si="111"/>
        <v>66807</v>
      </c>
      <c r="Q222" s="480">
        <f t="shared" si="112"/>
        <v>2226.9</v>
      </c>
      <c r="R222" s="481">
        <f t="shared" si="113"/>
        <v>69952</v>
      </c>
      <c r="S222" s="482">
        <f t="shared" si="114"/>
        <v>2331.7333333333331</v>
      </c>
      <c r="T222" s="534">
        <v>1458</v>
      </c>
      <c r="U222" s="507">
        <v>1129</v>
      </c>
      <c r="V222" s="479">
        <f t="shared" si="119"/>
        <v>66807</v>
      </c>
      <c r="W222" s="478">
        <f t="shared" si="120"/>
        <v>69952</v>
      </c>
      <c r="X222" s="506"/>
      <c r="Y222" s="488"/>
      <c r="Z222" s="506"/>
      <c r="AA222" s="488"/>
      <c r="AB222" s="506"/>
      <c r="AC222" s="488"/>
      <c r="AD222" s="506"/>
      <c r="AE222" s="507"/>
      <c r="AF222" s="479">
        <f t="shared" si="115"/>
        <v>0</v>
      </c>
      <c r="AG222" s="480">
        <f t="shared" si="116"/>
        <v>0</v>
      </c>
      <c r="AH222" s="481">
        <f t="shared" si="117"/>
        <v>0</v>
      </c>
      <c r="AI222" s="481">
        <f t="shared" si="118"/>
        <v>0</v>
      </c>
      <c r="AJ222" s="487"/>
      <c r="AK222" s="507"/>
      <c r="AL222" s="479">
        <v>0</v>
      </c>
      <c r="AM222" s="482">
        <v>0</v>
      </c>
      <c r="AN222" s="487"/>
      <c r="AO222" s="488"/>
      <c r="AP222" s="487"/>
      <c r="AQ222" s="488"/>
      <c r="AR222" s="487"/>
      <c r="AS222" s="488"/>
      <c r="AT222" s="487"/>
      <c r="AU222" s="488"/>
      <c r="AV222" s="479">
        <f t="shared" si="105"/>
        <v>0</v>
      </c>
      <c r="AW222" s="483">
        <f t="shared" si="106"/>
        <v>0</v>
      </c>
      <c r="AX222" s="481">
        <f t="shared" si="107"/>
        <v>0</v>
      </c>
      <c r="AY222" s="484">
        <f t="shared" si="108"/>
        <v>0</v>
      </c>
      <c r="AZ222" s="485">
        <f t="shared" si="109"/>
        <v>2226.9</v>
      </c>
      <c r="BA222" s="481">
        <f t="shared" si="110"/>
        <v>2331.7333333333331</v>
      </c>
    </row>
    <row r="223" spans="1:53">
      <c r="A223" s="711" t="s">
        <v>267</v>
      </c>
      <c r="B223" s="712" t="s">
        <v>735</v>
      </c>
      <c r="C223" s="713" t="s">
        <v>743</v>
      </c>
      <c r="D223" s="709">
        <v>158352</v>
      </c>
      <c r="E223" s="696">
        <v>12</v>
      </c>
      <c r="F223" s="486" t="s">
        <v>41</v>
      </c>
      <c r="G223" s="529" t="s">
        <v>41</v>
      </c>
      <c r="H223" s="506"/>
      <c r="I223" s="488"/>
      <c r="J223" s="506">
        <v>28776</v>
      </c>
      <c r="K223" s="812"/>
      <c r="L223" s="506">
        <v>10034</v>
      </c>
      <c r="M223" s="812"/>
      <c r="N223" s="506">
        <v>51143.5</v>
      </c>
      <c r="O223" s="812"/>
      <c r="P223" s="479">
        <f t="shared" si="111"/>
        <v>89953.5</v>
      </c>
      <c r="Q223" s="480">
        <f t="shared" si="112"/>
        <v>2998.45</v>
      </c>
      <c r="R223" s="481">
        <f t="shared" si="113"/>
        <v>0</v>
      </c>
      <c r="S223" s="482">
        <f t="shared" si="114"/>
        <v>0</v>
      </c>
      <c r="T223" s="506">
        <v>14004</v>
      </c>
      <c r="U223" s="714">
        <v>8479</v>
      </c>
      <c r="V223" s="479">
        <f t="shared" si="119"/>
        <v>89953.5</v>
      </c>
      <c r="W223" s="478">
        <f t="shared" si="120"/>
        <v>0</v>
      </c>
      <c r="X223" s="506"/>
      <c r="Y223" s="488"/>
      <c r="Z223" s="506"/>
      <c r="AA223" s="488"/>
      <c r="AB223" s="506"/>
      <c r="AC223" s="488"/>
      <c r="AD223" s="506"/>
      <c r="AE223" s="507"/>
      <c r="AF223" s="479">
        <f t="shared" si="115"/>
        <v>0</v>
      </c>
      <c r="AG223" s="480">
        <f t="shared" si="116"/>
        <v>0</v>
      </c>
      <c r="AH223" s="481">
        <f t="shared" si="117"/>
        <v>0</v>
      </c>
      <c r="AI223" s="481">
        <f t="shared" si="118"/>
        <v>0</v>
      </c>
      <c r="AJ223" s="487"/>
      <c r="AK223" s="507"/>
      <c r="AL223" s="479">
        <v>0</v>
      </c>
      <c r="AM223" s="482">
        <v>0</v>
      </c>
      <c r="AN223" s="487"/>
      <c r="AO223" s="488"/>
      <c r="AP223" s="487"/>
      <c r="AQ223" s="488"/>
      <c r="AR223" s="487"/>
      <c r="AS223" s="488"/>
      <c r="AT223" s="487"/>
      <c r="AU223" s="488"/>
      <c r="AV223" s="479">
        <f t="shared" si="105"/>
        <v>0</v>
      </c>
      <c r="AW223" s="483">
        <f t="shared" si="106"/>
        <v>0</v>
      </c>
      <c r="AX223" s="481">
        <f t="shared" si="107"/>
        <v>0</v>
      </c>
      <c r="AY223" s="484">
        <f t="shared" si="108"/>
        <v>0</v>
      </c>
      <c r="AZ223" s="485">
        <f t="shared" si="109"/>
        <v>2998.45</v>
      </c>
      <c r="BA223" s="481">
        <f t="shared" si="110"/>
        <v>0</v>
      </c>
    </row>
    <row r="224" spans="1:53">
      <c r="A224" s="711" t="s">
        <v>267</v>
      </c>
      <c r="B224" s="712" t="s">
        <v>736</v>
      </c>
      <c r="C224" s="713"/>
      <c r="D224" s="709">
        <v>158088</v>
      </c>
      <c r="E224" s="696">
        <v>12</v>
      </c>
      <c r="F224" s="486" t="s">
        <v>41</v>
      </c>
      <c r="G224" s="529" t="s">
        <v>41</v>
      </c>
      <c r="H224" s="506"/>
      <c r="I224" s="488"/>
      <c r="J224" s="506">
        <v>24698.5</v>
      </c>
      <c r="K224" s="488">
        <v>22288</v>
      </c>
      <c r="L224" s="506">
        <v>8354</v>
      </c>
      <c r="M224" s="488">
        <v>6070</v>
      </c>
      <c r="N224" s="506">
        <v>22115</v>
      </c>
      <c r="O224" s="812">
        <v>22493</v>
      </c>
      <c r="P224" s="479">
        <f t="shared" si="111"/>
        <v>55167.5</v>
      </c>
      <c r="Q224" s="480">
        <f t="shared" si="112"/>
        <v>1838.9166666666667</v>
      </c>
      <c r="R224" s="481">
        <f t="shared" si="113"/>
        <v>50851</v>
      </c>
      <c r="S224" s="482">
        <f t="shared" si="114"/>
        <v>1695.0333333333333</v>
      </c>
      <c r="T224" s="506">
        <v>4737</v>
      </c>
      <c r="U224" s="714">
        <v>5041</v>
      </c>
      <c r="V224" s="479">
        <f t="shared" si="119"/>
        <v>55167.5</v>
      </c>
      <c r="W224" s="478">
        <f t="shared" si="120"/>
        <v>50851</v>
      </c>
      <c r="X224" s="506"/>
      <c r="Y224" s="488"/>
      <c r="Z224" s="506"/>
      <c r="AA224" s="488"/>
      <c r="AB224" s="506"/>
      <c r="AC224" s="488"/>
      <c r="AD224" s="506"/>
      <c r="AE224" s="507"/>
      <c r="AF224" s="479">
        <f t="shared" si="115"/>
        <v>0</v>
      </c>
      <c r="AG224" s="480">
        <f t="shared" si="116"/>
        <v>0</v>
      </c>
      <c r="AH224" s="481">
        <f t="shared" si="117"/>
        <v>0</v>
      </c>
      <c r="AI224" s="481">
        <f t="shared" si="118"/>
        <v>0</v>
      </c>
      <c r="AJ224" s="487"/>
      <c r="AK224" s="507"/>
      <c r="AL224" s="479">
        <v>0</v>
      </c>
      <c r="AM224" s="482">
        <v>0</v>
      </c>
      <c r="AN224" s="487"/>
      <c r="AO224" s="488"/>
      <c r="AP224" s="487"/>
      <c r="AQ224" s="488"/>
      <c r="AR224" s="487"/>
      <c r="AS224" s="488"/>
      <c r="AT224" s="487"/>
      <c r="AU224" s="488"/>
      <c r="AV224" s="479">
        <f t="shared" si="105"/>
        <v>0</v>
      </c>
      <c r="AW224" s="483">
        <f t="shared" si="106"/>
        <v>0</v>
      </c>
      <c r="AX224" s="481">
        <f t="shared" si="107"/>
        <v>0</v>
      </c>
      <c r="AY224" s="484">
        <f t="shared" si="108"/>
        <v>0</v>
      </c>
      <c r="AZ224" s="485">
        <f t="shared" si="109"/>
        <v>1838.9166666666667</v>
      </c>
      <c r="BA224" s="481">
        <f t="shared" si="110"/>
        <v>1695.0333333333333</v>
      </c>
    </row>
    <row r="225" spans="1:53">
      <c r="A225" s="692" t="s">
        <v>267</v>
      </c>
      <c r="B225" s="701" t="s">
        <v>737</v>
      </c>
      <c r="C225" s="702"/>
      <c r="D225" s="709">
        <v>160481</v>
      </c>
      <c r="E225" s="696">
        <v>12</v>
      </c>
      <c r="F225" s="486" t="s">
        <v>41</v>
      </c>
      <c r="G225" s="529" t="s">
        <v>41</v>
      </c>
      <c r="H225" s="506"/>
      <c r="I225" s="488"/>
      <c r="J225" s="534">
        <v>19523</v>
      </c>
      <c r="K225" s="812">
        <v>18803</v>
      </c>
      <c r="L225" s="506">
        <v>2905</v>
      </c>
      <c r="M225" s="488">
        <v>2623</v>
      </c>
      <c r="N225" s="506">
        <v>23481</v>
      </c>
      <c r="O225" s="812">
        <v>23173</v>
      </c>
      <c r="P225" s="479">
        <f t="shared" si="111"/>
        <v>45909</v>
      </c>
      <c r="Q225" s="480">
        <f t="shared" si="112"/>
        <v>1530.3</v>
      </c>
      <c r="R225" s="481">
        <f t="shared" si="113"/>
        <v>44599</v>
      </c>
      <c r="S225" s="482">
        <f t="shared" si="114"/>
        <v>1486.6333333333334</v>
      </c>
      <c r="T225" s="506">
        <v>1428</v>
      </c>
      <c r="U225" s="507">
        <v>1215</v>
      </c>
      <c r="V225" s="479">
        <f t="shared" si="119"/>
        <v>45909</v>
      </c>
      <c r="W225" s="478">
        <f t="shared" si="120"/>
        <v>44599</v>
      </c>
      <c r="X225" s="506"/>
      <c r="Y225" s="488"/>
      <c r="Z225" s="534">
        <v>23017</v>
      </c>
      <c r="AA225" s="488">
        <v>19506</v>
      </c>
      <c r="AB225" s="506">
        <v>9897</v>
      </c>
      <c r="AC225" s="488">
        <v>2270</v>
      </c>
      <c r="AD225" s="506">
        <v>17329</v>
      </c>
      <c r="AE225" s="770">
        <v>14114</v>
      </c>
      <c r="AF225" s="479">
        <f t="shared" si="115"/>
        <v>50243</v>
      </c>
      <c r="AG225" s="480">
        <f t="shared" si="116"/>
        <v>55.825555555555553</v>
      </c>
      <c r="AH225" s="481">
        <f t="shared" si="117"/>
        <v>35890</v>
      </c>
      <c r="AI225" s="481">
        <f t="shared" si="118"/>
        <v>39.87777777777778</v>
      </c>
      <c r="AJ225" s="487"/>
      <c r="AK225" s="507"/>
      <c r="AL225" s="479">
        <v>0</v>
      </c>
      <c r="AM225" s="482">
        <v>0</v>
      </c>
      <c r="AN225" s="487"/>
      <c r="AO225" s="488"/>
      <c r="AP225" s="487"/>
      <c r="AQ225" s="488"/>
      <c r="AR225" s="487"/>
      <c r="AS225" s="488"/>
      <c r="AT225" s="487"/>
      <c r="AU225" s="488"/>
      <c r="AV225" s="479">
        <f t="shared" si="105"/>
        <v>0</v>
      </c>
      <c r="AW225" s="483">
        <f t="shared" si="106"/>
        <v>0</v>
      </c>
      <c r="AX225" s="481">
        <f t="shared" si="107"/>
        <v>0</v>
      </c>
      <c r="AY225" s="484">
        <f t="shared" si="108"/>
        <v>0</v>
      </c>
      <c r="AZ225" s="485">
        <f t="shared" si="109"/>
        <v>1586.1255555555556</v>
      </c>
      <c r="BA225" s="481">
        <f t="shared" si="110"/>
        <v>1526.5111111111112</v>
      </c>
    </row>
    <row r="226" spans="1:53">
      <c r="A226" s="711" t="s">
        <v>267</v>
      </c>
      <c r="B226" s="712" t="s">
        <v>738</v>
      </c>
      <c r="C226" s="713"/>
      <c r="D226" s="709">
        <v>160667</v>
      </c>
      <c r="E226" s="696">
        <v>12</v>
      </c>
      <c r="F226" s="486" t="s">
        <v>41</v>
      </c>
      <c r="G226" s="529" t="s">
        <v>41</v>
      </c>
      <c r="H226" s="506"/>
      <c r="I226" s="488"/>
      <c r="J226" s="506">
        <v>26303.5</v>
      </c>
      <c r="K226" s="812">
        <v>21427</v>
      </c>
      <c r="L226" s="506">
        <v>5296</v>
      </c>
      <c r="M226" s="488">
        <v>3978</v>
      </c>
      <c r="N226" s="506">
        <v>23479</v>
      </c>
      <c r="O226" s="812">
        <v>24372</v>
      </c>
      <c r="P226" s="479">
        <f t="shared" si="111"/>
        <v>55078.5</v>
      </c>
      <c r="Q226" s="480">
        <f t="shared" si="112"/>
        <v>1835.95</v>
      </c>
      <c r="R226" s="481">
        <f t="shared" si="113"/>
        <v>49777</v>
      </c>
      <c r="S226" s="482">
        <f t="shared" si="114"/>
        <v>1659.2333333333333</v>
      </c>
      <c r="T226" s="506">
        <v>9223</v>
      </c>
      <c r="U226" s="714">
        <v>7148</v>
      </c>
      <c r="V226" s="479">
        <f t="shared" si="119"/>
        <v>55078.5</v>
      </c>
      <c r="W226" s="478">
        <f t="shared" si="120"/>
        <v>49777</v>
      </c>
      <c r="X226" s="506"/>
      <c r="Y226" s="488"/>
      <c r="Z226" s="506"/>
      <c r="AA226" s="488"/>
      <c r="AB226" s="506"/>
      <c r="AC226" s="488"/>
      <c r="AD226" s="506"/>
      <c r="AE226" s="507"/>
      <c r="AF226" s="479">
        <f t="shared" si="115"/>
        <v>0</v>
      </c>
      <c r="AG226" s="480">
        <f t="shared" si="116"/>
        <v>0</v>
      </c>
      <c r="AH226" s="481">
        <f t="shared" si="117"/>
        <v>0</v>
      </c>
      <c r="AI226" s="481">
        <f t="shared" si="118"/>
        <v>0</v>
      </c>
      <c r="AJ226" s="487"/>
      <c r="AK226" s="507"/>
      <c r="AL226" s="479">
        <v>0</v>
      </c>
      <c r="AM226" s="482">
        <v>0</v>
      </c>
      <c r="AN226" s="487"/>
      <c r="AO226" s="488"/>
      <c r="AP226" s="487"/>
      <c r="AQ226" s="488"/>
      <c r="AR226" s="487"/>
      <c r="AS226" s="488"/>
      <c r="AT226" s="487"/>
      <c r="AU226" s="488"/>
      <c r="AV226" s="479">
        <f t="shared" si="105"/>
        <v>0</v>
      </c>
      <c r="AW226" s="483">
        <f t="shared" si="106"/>
        <v>0</v>
      </c>
      <c r="AX226" s="481">
        <f t="shared" si="107"/>
        <v>0</v>
      </c>
      <c r="AY226" s="484">
        <f t="shared" si="108"/>
        <v>0</v>
      </c>
      <c r="AZ226" s="485">
        <f t="shared" si="109"/>
        <v>1835.95</v>
      </c>
      <c r="BA226" s="481">
        <f t="shared" si="110"/>
        <v>1659.2333333333333</v>
      </c>
    </row>
    <row r="227" spans="1:53">
      <c r="A227" s="711" t="s">
        <v>267</v>
      </c>
      <c r="B227" s="712" t="s">
        <v>739</v>
      </c>
      <c r="C227" s="713"/>
      <c r="D227" s="709">
        <v>160010</v>
      </c>
      <c r="E227" s="696">
        <v>12</v>
      </c>
      <c r="F227" s="486" t="s">
        <v>41</v>
      </c>
      <c r="G227" s="529" t="s">
        <v>41</v>
      </c>
      <c r="H227" s="506"/>
      <c r="I227" s="488"/>
      <c r="J227" s="506">
        <v>25389</v>
      </c>
      <c r="K227" s="488">
        <v>20928</v>
      </c>
      <c r="L227" s="506">
        <v>8298</v>
      </c>
      <c r="M227" s="488">
        <v>6515</v>
      </c>
      <c r="N227" s="506">
        <v>18412</v>
      </c>
      <c r="O227" s="812">
        <v>22663</v>
      </c>
      <c r="P227" s="479">
        <f t="shared" si="111"/>
        <v>52099</v>
      </c>
      <c r="Q227" s="480">
        <f t="shared" si="112"/>
        <v>1736.6333333333334</v>
      </c>
      <c r="R227" s="481">
        <f t="shared" si="113"/>
        <v>50106</v>
      </c>
      <c r="S227" s="482">
        <f t="shared" si="114"/>
        <v>1670.2</v>
      </c>
      <c r="T227" s="506">
        <v>7316</v>
      </c>
      <c r="U227" s="714">
        <v>7003</v>
      </c>
      <c r="V227" s="479">
        <f t="shared" si="119"/>
        <v>52099</v>
      </c>
      <c r="W227" s="478">
        <f t="shared" si="120"/>
        <v>50106</v>
      </c>
      <c r="X227" s="506"/>
      <c r="Y227" s="488"/>
      <c r="Z227" s="506"/>
      <c r="AA227" s="488"/>
      <c r="AB227" s="506"/>
      <c r="AC227" s="488"/>
      <c r="AD227" s="506"/>
      <c r="AE227" s="507"/>
      <c r="AF227" s="479">
        <f t="shared" si="115"/>
        <v>0</v>
      </c>
      <c r="AG227" s="480">
        <f t="shared" si="116"/>
        <v>0</v>
      </c>
      <c r="AH227" s="481">
        <f t="shared" si="117"/>
        <v>0</v>
      </c>
      <c r="AI227" s="481">
        <f t="shared" si="118"/>
        <v>0</v>
      </c>
      <c r="AJ227" s="487"/>
      <c r="AK227" s="507"/>
      <c r="AL227" s="479">
        <v>0</v>
      </c>
      <c r="AM227" s="482">
        <v>0</v>
      </c>
      <c r="AN227" s="487"/>
      <c r="AO227" s="488"/>
      <c r="AP227" s="487"/>
      <c r="AQ227" s="488"/>
      <c r="AR227" s="487"/>
      <c r="AS227" s="488"/>
      <c r="AT227" s="487"/>
      <c r="AU227" s="488"/>
      <c r="AV227" s="479">
        <f t="shared" si="105"/>
        <v>0</v>
      </c>
      <c r="AW227" s="483">
        <f t="shared" si="106"/>
        <v>0</v>
      </c>
      <c r="AX227" s="481">
        <f t="shared" si="107"/>
        <v>0</v>
      </c>
      <c r="AY227" s="484">
        <f t="shared" si="108"/>
        <v>0</v>
      </c>
      <c r="AZ227" s="485">
        <f t="shared" si="109"/>
        <v>1736.6333333333334</v>
      </c>
      <c r="BA227" s="481">
        <f t="shared" si="110"/>
        <v>1670.2</v>
      </c>
    </row>
    <row r="228" spans="1:53">
      <c r="A228" s="711" t="s">
        <v>267</v>
      </c>
      <c r="B228" s="712" t="s">
        <v>740</v>
      </c>
      <c r="C228" s="713"/>
      <c r="D228" s="709">
        <v>160913</v>
      </c>
      <c r="E228" s="696">
        <v>12</v>
      </c>
      <c r="F228" s="486" t="s">
        <v>41</v>
      </c>
      <c r="G228" s="529" t="s">
        <v>41</v>
      </c>
      <c r="H228" s="506"/>
      <c r="I228" s="488"/>
      <c r="J228" s="506">
        <v>21196</v>
      </c>
      <c r="K228" s="488">
        <v>18548</v>
      </c>
      <c r="L228" s="506">
        <v>4624.5</v>
      </c>
      <c r="M228" s="488">
        <v>3098</v>
      </c>
      <c r="N228" s="506">
        <v>23576</v>
      </c>
      <c r="O228" s="812">
        <v>23309</v>
      </c>
      <c r="P228" s="479">
        <f t="shared" si="111"/>
        <v>49396.5</v>
      </c>
      <c r="Q228" s="480">
        <f t="shared" si="112"/>
        <v>1646.55</v>
      </c>
      <c r="R228" s="481">
        <f t="shared" si="113"/>
        <v>44955</v>
      </c>
      <c r="S228" s="482">
        <f t="shared" si="114"/>
        <v>1498.5</v>
      </c>
      <c r="T228" s="506">
        <v>12077</v>
      </c>
      <c r="U228" s="714">
        <v>8674</v>
      </c>
      <c r="V228" s="479">
        <f t="shared" si="119"/>
        <v>49396.5</v>
      </c>
      <c r="W228" s="478">
        <f t="shared" si="120"/>
        <v>44955</v>
      </c>
      <c r="X228" s="506"/>
      <c r="Y228" s="488"/>
      <c r="Z228" s="534">
        <v>31465</v>
      </c>
      <c r="AA228" s="488">
        <v>28023</v>
      </c>
      <c r="AB228" s="506">
        <v>15976</v>
      </c>
      <c r="AC228" s="488">
        <v>13330</v>
      </c>
      <c r="AD228" s="506">
        <v>25223</v>
      </c>
      <c r="AE228" s="770">
        <v>19480</v>
      </c>
      <c r="AF228" s="479">
        <f t="shared" si="115"/>
        <v>72664</v>
      </c>
      <c r="AG228" s="480">
        <f t="shared" si="116"/>
        <v>80.737777777777779</v>
      </c>
      <c r="AH228" s="481">
        <f t="shared" si="117"/>
        <v>60833</v>
      </c>
      <c r="AI228" s="481">
        <f t="shared" si="118"/>
        <v>67.592222222222219</v>
      </c>
      <c r="AJ228" s="487"/>
      <c r="AK228" s="507"/>
      <c r="AL228" s="479">
        <v>0</v>
      </c>
      <c r="AM228" s="482">
        <v>0</v>
      </c>
      <c r="AN228" s="487"/>
      <c r="AO228" s="488"/>
      <c r="AP228" s="487"/>
      <c r="AQ228" s="488"/>
      <c r="AR228" s="487"/>
      <c r="AS228" s="488"/>
      <c r="AT228" s="487"/>
      <c r="AU228" s="488"/>
      <c r="AV228" s="479">
        <f t="shared" si="105"/>
        <v>0</v>
      </c>
      <c r="AW228" s="483">
        <f t="shared" si="106"/>
        <v>0</v>
      </c>
      <c r="AX228" s="481">
        <f t="shared" si="107"/>
        <v>0</v>
      </c>
      <c r="AY228" s="484">
        <f t="shared" si="108"/>
        <v>0</v>
      </c>
      <c r="AZ228" s="485">
        <f t="shared" si="109"/>
        <v>1727.2877777777778</v>
      </c>
      <c r="BA228" s="481">
        <f t="shared" si="110"/>
        <v>1566.0922222222223</v>
      </c>
    </row>
    <row r="229" spans="1:53" ht="12.75" customHeight="1">
      <c r="A229" s="692" t="s">
        <v>267</v>
      </c>
      <c r="B229" s="693" t="s">
        <v>741</v>
      </c>
      <c r="C229" s="694"/>
      <c r="D229" s="709">
        <v>160579</v>
      </c>
      <c r="E229" s="696">
        <v>12</v>
      </c>
      <c r="F229" s="486" t="s">
        <v>41</v>
      </c>
      <c r="G229" s="529" t="s">
        <v>41</v>
      </c>
      <c r="H229" s="506"/>
      <c r="I229" s="488"/>
      <c r="J229" s="506">
        <v>28256</v>
      </c>
      <c r="K229" s="488">
        <v>29073</v>
      </c>
      <c r="L229" s="506">
        <v>5669</v>
      </c>
      <c r="M229" s="488">
        <v>5297</v>
      </c>
      <c r="N229" s="506">
        <v>30015</v>
      </c>
      <c r="O229" s="812">
        <v>34997</v>
      </c>
      <c r="P229" s="479">
        <f t="shared" si="111"/>
        <v>63940</v>
      </c>
      <c r="Q229" s="480">
        <f t="shared" si="112"/>
        <v>2131.3333333333335</v>
      </c>
      <c r="R229" s="481">
        <f t="shared" si="113"/>
        <v>69367</v>
      </c>
      <c r="S229" s="482">
        <f t="shared" si="114"/>
        <v>2312.2333333333331</v>
      </c>
      <c r="T229" s="506">
        <v>3138</v>
      </c>
      <c r="U229" s="507">
        <v>4489</v>
      </c>
      <c r="V229" s="479">
        <f t="shared" si="119"/>
        <v>63940</v>
      </c>
      <c r="W229" s="478">
        <f t="shared" si="120"/>
        <v>69367</v>
      </c>
      <c r="X229" s="506"/>
      <c r="Y229" s="488"/>
      <c r="Z229" s="506"/>
      <c r="AA229" s="488"/>
      <c r="AB229" s="506"/>
      <c r="AC229" s="488"/>
      <c r="AD229" s="534">
        <v>42</v>
      </c>
      <c r="AE229" s="507">
        <v>30</v>
      </c>
      <c r="AF229" s="479">
        <f t="shared" si="115"/>
        <v>42</v>
      </c>
      <c r="AG229" s="480">
        <f t="shared" si="116"/>
        <v>4.6666666666666669E-2</v>
      </c>
      <c r="AH229" s="481">
        <f t="shared" si="117"/>
        <v>30</v>
      </c>
      <c r="AI229" s="481">
        <f t="shared" si="118"/>
        <v>3.3333333333333333E-2</v>
      </c>
      <c r="AJ229" s="487"/>
      <c r="AK229" s="507"/>
      <c r="AL229" s="479">
        <v>0</v>
      </c>
      <c r="AM229" s="482">
        <v>0</v>
      </c>
      <c r="AN229" s="487"/>
      <c r="AO229" s="488"/>
      <c r="AP229" s="487"/>
      <c r="AQ229" s="488"/>
      <c r="AR229" s="487"/>
      <c r="AS229" s="488"/>
      <c r="AT229" s="487"/>
      <c r="AU229" s="488"/>
      <c r="AV229" s="479">
        <f t="shared" si="105"/>
        <v>0</v>
      </c>
      <c r="AW229" s="483">
        <f t="shared" si="106"/>
        <v>0</v>
      </c>
      <c r="AX229" s="481">
        <f t="shared" si="107"/>
        <v>0</v>
      </c>
      <c r="AY229" s="484">
        <f t="shared" si="108"/>
        <v>0</v>
      </c>
      <c r="AZ229" s="485">
        <f t="shared" si="109"/>
        <v>2131.38</v>
      </c>
      <c r="BA229" s="481">
        <f t="shared" si="110"/>
        <v>2312.2666666666664</v>
      </c>
    </row>
    <row r="230" spans="1:53" ht="12.75" customHeight="1">
      <c r="A230" s="589" t="s">
        <v>286</v>
      </c>
      <c r="B230" s="590" t="s">
        <v>790</v>
      </c>
      <c r="C230" s="739"/>
      <c r="D230" s="599">
        <v>163286</v>
      </c>
      <c r="E230" s="600">
        <v>1</v>
      </c>
      <c r="F230" s="486" t="s">
        <v>41</v>
      </c>
      <c r="G230" s="552" t="s">
        <v>41</v>
      </c>
      <c r="H230" s="506">
        <v>12014</v>
      </c>
      <c r="I230" s="740">
        <v>11734</v>
      </c>
      <c r="J230" s="741">
        <v>366609</v>
      </c>
      <c r="K230" s="740">
        <v>365727</v>
      </c>
      <c r="L230" s="741">
        <v>36525</v>
      </c>
      <c r="M230" s="740">
        <v>34238</v>
      </c>
      <c r="N230" s="741">
        <v>375427</v>
      </c>
      <c r="O230" s="740">
        <v>375175</v>
      </c>
      <c r="P230" s="479">
        <f t="shared" si="111"/>
        <v>790575</v>
      </c>
      <c r="Q230" s="480">
        <f t="shared" si="112"/>
        <v>26352.5</v>
      </c>
      <c r="R230" s="481">
        <f t="shared" si="113"/>
        <v>786874</v>
      </c>
      <c r="S230" s="482">
        <f t="shared" si="114"/>
        <v>26229.133333333335</v>
      </c>
      <c r="T230" s="506"/>
      <c r="U230" s="507"/>
      <c r="V230" s="479">
        <f t="shared" si="119"/>
        <v>0</v>
      </c>
      <c r="W230" s="478">
        <f t="shared" si="120"/>
        <v>0</v>
      </c>
      <c r="X230" s="506"/>
      <c r="Y230" s="488"/>
      <c r="Z230" s="506"/>
      <c r="AA230" s="488"/>
      <c r="AB230" s="506"/>
      <c r="AC230" s="488"/>
      <c r="AD230" s="506"/>
      <c r="AE230" s="507"/>
      <c r="AF230" s="479">
        <f t="shared" si="115"/>
        <v>0</v>
      </c>
      <c r="AG230" s="480">
        <f t="shared" si="116"/>
        <v>0</v>
      </c>
      <c r="AH230" s="481">
        <f t="shared" si="117"/>
        <v>0</v>
      </c>
      <c r="AI230" s="481">
        <f t="shared" si="118"/>
        <v>0</v>
      </c>
      <c r="AJ230" s="487"/>
      <c r="AK230" s="507"/>
      <c r="AL230" s="479">
        <f t="shared" ref="AL230:AL263" si="121">IF(ISBLANK(AJ230),0,AF230)</f>
        <v>0</v>
      </c>
      <c r="AM230" s="482">
        <f t="shared" ref="AM230:AM263" si="122">IF(ISBLANK(AK230),0,AH230)</f>
        <v>0</v>
      </c>
      <c r="AN230" s="506">
        <v>2737</v>
      </c>
      <c r="AO230" s="742">
        <v>2567</v>
      </c>
      <c r="AP230" s="741">
        <v>69061</v>
      </c>
      <c r="AQ230" s="742">
        <v>68887</v>
      </c>
      <c r="AR230" s="741">
        <v>11552</v>
      </c>
      <c r="AS230" s="742">
        <v>9211</v>
      </c>
      <c r="AT230" s="741">
        <v>75812</v>
      </c>
      <c r="AU230" s="742">
        <v>77037</v>
      </c>
      <c r="AV230" s="479">
        <f t="shared" si="105"/>
        <v>159162</v>
      </c>
      <c r="AW230" s="483">
        <f t="shared" si="106"/>
        <v>6631.75</v>
      </c>
      <c r="AX230" s="481">
        <f t="shared" si="107"/>
        <v>157702</v>
      </c>
      <c r="AY230" s="484">
        <f t="shared" si="108"/>
        <v>6570.916666666667</v>
      </c>
      <c r="AZ230" s="485">
        <f t="shared" si="109"/>
        <v>32984.25</v>
      </c>
      <c r="BA230" s="481">
        <f t="shared" si="110"/>
        <v>32800.050000000003</v>
      </c>
    </row>
    <row r="231" spans="1:53" ht="12.75" customHeight="1">
      <c r="A231" s="589" t="s">
        <v>286</v>
      </c>
      <c r="B231" s="596" t="s">
        <v>791</v>
      </c>
      <c r="C231" s="743"/>
      <c r="D231" s="599">
        <v>163453</v>
      </c>
      <c r="E231" s="593">
        <v>2</v>
      </c>
      <c r="F231" s="486" t="s">
        <v>41</v>
      </c>
      <c r="G231" s="552" t="s">
        <v>41</v>
      </c>
      <c r="H231" s="506">
        <v>1605</v>
      </c>
      <c r="I231" s="740">
        <v>1740</v>
      </c>
      <c r="J231" s="741">
        <v>85647</v>
      </c>
      <c r="K231" s="740">
        <v>86889</v>
      </c>
      <c r="L231" s="741">
        <v>7402</v>
      </c>
      <c r="M231" s="740">
        <v>5268</v>
      </c>
      <c r="N231" s="741">
        <v>91104</v>
      </c>
      <c r="O231" s="740">
        <v>86064</v>
      </c>
      <c r="P231" s="479">
        <f t="shared" si="111"/>
        <v>185758</v>
      </c>
      <c r="Q231" s="480">
        <f t="shared" si="112"/>
        <v>6191.9333333333334</v>
      </c>
      <c r="R231" s="481">
        <f t="shared" si="113"/>
        <v>179961</v>
      </c>
      <c r="S231" s="482">
        <f t="shared" si="114"/>
        <v>5998.7</v>
      </c>
      <c r="T231" s="506"/>
      <c r="U231" s="507"/>
      <c r="V231" s="479">
        <f t="shared" si="119"/>
        <v>0</v>
      </c>
      <c r="W231" s="478">
        <f t="shared" si="120"/>
        <v>0</v>
      </c>
      <c r="X231" s="506"/>
      <c r="Y231" s="488"/>
      <c r="Z231" s="506"/>
      <c r="AA231" s="488"/>
      <c r="AB231" s="506"/>
      <c r="AC231" s="488"/>
      <c r="AD231" s="506"/>
      <c r="AE231" s="507"/>
      <c r="AF231" s="479">
        <f t="shared" si="115"/>
        <v>0</v>
      </c>
      <c r="AG231" s="480">
        <f t="shared" si="116"/>
        <v>0</v>
      </c>
      <c r="AH231" s="481">
        <f t="shared" si="117"/>
        <v>0</v>
      </c>
      <c r="AI231" s="481">
        <f t="shared" si="118"/>
        <v>0</v>
      </c>
      <c r="AJ231" s="487"/>
      <c r="AK231" s="507"/>
      <c r="AL231" s="479">
        <f t="shared" si="121"/>
        <v>0</v>
      </c>
      <c r="AM231" s="482">
        <f t="shared" si="122"/>
        <v>0</v>
      </c>
      <c r="AN231" s="506">
        <v>0</v>
      </c>
      <c r="AO231" s="742">
        <v>20</v>
      </c>
      <c r="AP231" s="741">
        <v>10811</v>
      </c>
      <c r="AQ231" s="742">
        <v>9870</v>
      </c>
      <c r="AR231" s="741">
        <v>987</v>
      </c>
      <c r="AS231" s="742">
        <v>846</v>
      </c>
      <c r="AT231" s="741">
        <v>10400</v>
      </c>
      <c r="AU231" s="742">
        <v>9568</v>
      </c>
      <c r="AV231" s="479">
        <f t="shared" si="105"/>
        <v>22198</v>
      </c>
      <c r="AW231" s="483">
        <f t="shared" si="106"/>
        <v>924.91666666666663</v>
      </c>
      <c r="AX231" s="481">
        <f t="shared" si="107"/>
        <v>20304</v>
      </c>
      <c r="AY231" s="484">
        <f t="shared" si="108"/>
        <v>846</v>
      </c>
      <c r="AZ231" s="485">
        <f t="shared" si="109"/>
        <v>7116.85</v>
      </c>
      <c r="BA231" s="481">
        <f t="shared" si="110"/>
        <v>6844.7</v>
      </c>
    </row>
    <row r="232" spans="1:53" ht="12.75" customHeight="1">
      <c r="A232" s="589" t="s">
        <v>286</v>
      </c>
      <c r="B232" s="590" t="s">
        <v>792</v>
      </c>
      <c r="C232" s="739"/>
      <c r="D232" s="599">
        <v>163268</v>
      </c>
      <c r="E232" s="600">
        <v>2</v>
      </c>
      <c r="F232" s="486" t="s">
        <v>41</v>
      </c>
      <c r="G232" s="552" t="s">
        <v>41</v>
      </c>
      <c r="H232" s="506">
        <v>5052.5</v>
      </c>
      <c r="I232" s="740">
        <v>5549</v>
      </c>
      <c r="J232" s="741">
        <v>137076.5</v>
      </c>
      <c r="K232" s="740">
        <v>140551</v>
      </c>
      <c r="L232" s="741">
        <v>18224.5</v>
      </c>
      <c r="M232" s="740">
        <v>19151.5</v>
      </c>
      <c r="N232" s="741">
        <v>147568.5</v>
      </c>
      <c r="O232" s="740">
        <v>150105</v>
      </c>
      <c r="P232" s="479">
        <f t="shared" si="111"/>
        <v>307922</v>
      </c>
      <c r="Q232" s="480">
        <f t="shared" si="112"/>
        <v>10264.066666666668</v>
      </c>
      <c r="R232" s="481">
        <f t="shared" si="113"/>
        <v>315356.5</v>
      </c>
      <c r="S232" s="482">
        <f t="shared" si="114"/>
        <v>10511.883333333333</v>
      </c>
      <c r="T232" s="506"/>
      <c r="U232" s="507"/>
      <c r="V232" s="479">
        <f t="shared" si="119"/>
        <v>0</v>
      </c>
      <c r="W232" s="478">
        <f t="shared" si="120"/>
        <v>0</v>
      </c>
      <c r="X232" s="506"/>
      <c r="Y232" s="488"/>
      <c r="Z232" s="506"/>
      <c r="AA232" s="488"/>
      <c r="AB232" s="506"/>
      <c r="AC232" s="488"/>
      <c r="AD232" s="506"/>
      <c r="AE232" s="507"/>
      <c r="AF232" s="479">
        <f t="shared" ref="AF232:AF263" si="123">SUM(X232,Z232,AB232,AD232)</f>
        <v>0</v>
      </c>
      <c r="AG232" s="480">
        <f t="shared" ref="AG232:AG263" si="124">+AF232/900</f>
        <v>0</v>
      </c>
      <c r="AH232" s="481">
        <f t="shared" ref="AH232:AH263" si="125">SUM(Y232,AA232,AC232,AE232)</f>
        <v>0</v>
      </c>
      <c r="AI232" s="481">
        <f t="shared" ref="AI232:AI263" si="126">+AH232/900</f>
        <v>0</v>
      </c>
      <c r="AJ232" s="487"/>
      <c r="AK232" s="507"/>
      <c r="AL232" s="479">
        <f t="shared" si="121"/>
        <v>0</v>
      </c>
      <c r="AM232" s="482">
        <f t="shared" si="122"/>
        <v>0</v>
      </c>
      <c r="AN232" s="506">
        <v>116</v>
      </c>
      <c r="AO232" s="742">
        <v>43</v>
      </c>
      <c r="AP232" s="741">
        <v>15328</v>
      </c>
      <c r="AQ232" s="742">
        <v>15603</v>
      </c>
      <c r="AR232" s="741">
        <v>2998</v>
      </c>
      <c r="AS232" s="742">
        <v>2917</v>
      </c>
      <c r="AT232" s="741">
        <v>15972</v>
      </c>
      <c r="AU232" s="742">
        <v>16831</v>
      </c>
      <c r="AV232" s="479">
        <f t="shared" si="105"/>
        <v>34414</v>
      </c>
      <c r="AW232" s="483">
        <f t="shared" si="106"/>
        <v>1433.9166666666667</v>
      </c>
      <c r="AX232" s="481">
        <f t="shared" si="107"/>
        <v>35394</v>
      </c>
      <c r="AY232" s="484">
        <f t="shared" si="108"/>
        <v>1474.75</v>
      </c>
      <c r="AZ232" s="485">
        <f t="shared" si="109"/>
        <v>11697.983333333334</v>
      </c>
      <c r="BA232" s="481">
        <f t="shared" si="110"/>
        <v>11986.633333333333</v>
      </c>
    </row>
    <row r="233" spans="1:53" ht="12.75" customHeight="1">
      <c r="A233" s="589" t="s">
        <v>286</v>
      </c>
      <c r="B233" s="590" t="s">
        <v>793</v>
      </c>
      <c r="C233" s="739"/>
      <c r="D233" s="599">
        <v>164076</v>
      </c>
      <c r="E233" s="600">
        <v>3</v>
      </c>
      <c r="F233" s="486" t="s">
        <v>41</v>
      </c>
      <c r="G233" s="552" t="s">
        <v>41</v>
      </c>
      <c r="H233" s="506">
        <v>7039</v>
      </c>
      <c r="I233" s="740">
        <v>7350</v>
      </c>
      <c r="J233" s="741">
        <v>235082</v>
      </c>
      <c r="K233" s="740">
        <v>239335</v>
      </c>
      <c r="L233" s="741">
        <v>26279</v>
      </c>
      <c r="M233" s="740">
        <v>26793</v>
      </c>
      <c r="N233" s="741">
        <v>247841</v>
      </c>
      <c r="O233" s="740">
        <v>259025</v>
      </c>
      <c r="P233" s="479">
        <f t="shared" ref="P233:P263" si="127">SUM(H233,J233,L233,N233)</f>
        <v>516241</v>
      </c>
      <c r="Q233" s="480">
        <f t="shared" ref="Q233:Q263" si="128">+P233/30</f>
        <v>17208.033333333333</v>
      </c>
      <c r="R233" s="481">
        <f t="shared" ref="R233:R263" si="129">SUM(I233,K233,M233,O233)</f>
        <v>532503</v>
      </c>
      <c r="S233" s="482">
        <f t="shared" ref="S233:S263" si="130">+R233/30</f>
        <v>17750.099999999999</v>
      </c>
      <c r="T233" s="506"/>
      <c r="U233" s="507"/>
      <c r="V233" s="479">
        <f t="shared" ref="V233:V263" si="131">IF(ISBLANK(T233),0,P233)</f>
        <v>0</v>
      </c>
      <c r="W233" s="478">
        <f t="shared" ref="W233:W263" si="132">IF(ISBLANK(U233),0,R233)</f>
        <v>0</v>
      </c>
      <c r="X233" s="506"/>
      <c r="Y233" s="488"/>
      <c r="Z233" s="506"/>
      <c r="AA233" s="488"/>
      <c r="AB233" s="506"/>
      <c r="AC233" s="488"/>
      <c r="AD233" s="506"/>
      <c r="AE233" s="507"/>
      <c r="AF233" s="479">
        <f t="shared" si="123"/>
        <v>0</v>
      </c>
      <c r="AG233" s="480">
        <f t="shared" si="124"/>
        <v>0</v>
      </c>
      <c r="AH233" s="481">
        <f t="shared" si="125"/>
        <v>0</v>
      </c>
      <c r="AI233" s="481">
        <f t="shared" si="126"/>
        <v>0</v>
      </c>
      <c r="AJ233" s="487"/>
      <c r="AK233" s="507"/>
      <c r="AL233" s="479">
        <f t="shared" si="121"/>
        <v>0</v>
      </c>
      <c r="AM233" s="482">
        <f t="shared" si="122"/>
        <v>0</v>
      </c>
      <c r="AN233" s="506">
        <v>1310</v>
      </c>
      <c r="AO233" s="742">
        <v>1116</v>
      </c>
      <c r="AP233" s="741">
        <v>22968</v>
      </c>
      <c r="AQ233" s="742">
        <v>21720.5</v>
      </c>
      <c r="AR233" s="741">
        <v>9348</v>
      </c>
      <c r="AS233" s="742">
        <v>8558</v>
      </c>
      <c r="AT233" s="741">
        <v>23222</v>
      </c>
      <c r="AU233" s="742">
        <v>22435</v>
      </c>
      <c r="AV233" s="479">
        <f t="shared" si="105"/>
        <v>56848</v>
      </c>
      <c r="AW233" s="483">
        <f t="shared" si="106"/>
        <v>2368.6666666666665</v>
      </c>
      <c r="AX233" s="481">
        <f t="shared" si="107"/>
        <v>53829.5</v>
      </c>
      <c r="AY233" s="484">
        <f t="shared" si="108"/>
        <v>2242.8958333333335</v>
      </c>
      <c r="AZ233" s="485">
        <f t="shared" si="109"/>
        <v>19576.7</v>
      </c>
      <c r="BA233" s="481">
        <f t="shared" si="110"/>
        <v>19992.995833333331</v>
      </c>
    </row>
    <row r="234" spans="1:53" ht="12.75" customHeight="1">
      <c r="A234" s="589" t="s">
        <v>286</v>
      </c>
      <c r="B234" s="590" t="s">
        <v>794</v>
      </c>
      <c r="C234" s="739"/>
      <c r="D234" s="599">
        <v>162007</v>
      </c>
      <c r="E234" s="600">
        <v>4</v>
      </c>
      <c r="F234" s="486" t="s">
        <v>41</v>
      </c>
      <c r="G234" s="552" t="s">
        <v>41</v>
      </c>
      <c r="H234" s="506">
        <v>1311</v>
      </c>
      <c r="I234" s="740">
        <v>1157</v>
      </c>
      <c r="J234" s="741">
        <v>54894</v>
      </c>
      <c r="K234" s="740">
        <v>52275</v>
      </c>
      <c r="L234" s="741">
        <v>5391</v>
      </c>
      <c r="M234" s="740">
        <v>5849</v>
      </c>
      <c r="N234" s="741">
        <v>56623</v>
      </c>
      <c r="O234" s="740">
        <v>57791</v>
      </c>
      <c r="P234" s="479">
        <f t="shared" si="127"/>
        <v>118219</v>
      </c>
      <c r="Q234" s="480">
        <f t="shared" si="128"/>
        <v>3940.6333333333332</v>
      </c>
      <c r="R234" s="481">
        <f t="shared" si="129"/>
        <v>117072</v>
      </c>
      <c r="S234" s="482">
        <f t="shared" si="130"/>
        <v>3902.4</v>
      </c>
      <c r="T234" s="506"/>
      <c r="U234" s="507"/>
      <c r="V234" s="479">
        <f t="shared" si="131"/>
        <v>0</v>
      </c>
      <c r="W234" s="478">
        <f t="shared" si="132"/>
        <v>0</v>
      </c>
      <c r="X234" s="506"/>
      <c r="Y234" s="488"/>
      <c r="Z234" s="506"/>
      <c r="AA234" s="488"/>
      <c r="AB234" s="506"/>
      <c r="AC234" s="488"/>
      <c r="AD234" s="506"/>
      <c r="AE234" s="507"/>
      <c r="AF234" s="479">
        <f t="shared" si="123"/>
        <v>0</v>
      </c>
      <c r="AG234" s="480">
        <f t="shared" si="124"/>
        <v>0</v>
      </c>
      <c r="AH234" s="481">
        <f t="shared" si="125"/>
        <v>0</v>
      </c>
      <c r="AI234" s="481">
        <f t="shared" si="126"/>
        <v>0</v>
      </c>
      <c r="AJ234" s="487"/>
      <c r="AK234" s="507"/>
      <c r="AL234" s="479">
        <f t="shared" si="121"/>
        <v>0</v>
      </c>
      <c r="AM234" s="482">
        <f t="shared" si="122"/>
        <v>0</v>
      </c>
      <c r="AN234" s="506">
        <v>159</v>
      </c>
      <c r="AO234" s="742">
        <v>171</v>
      </c>
      <c r="AP234" s="741">
        <v>7065</v>
      </c>
      <c r="AQ234" s="742">
        <v>7271</v>
      </c>
      <c r="AR234" s="741">
        <v>1096</v>
      </c>
      <c r="AS234" s="742">
        <v>1139</v>
      </c>
      <c r="AT234" s="741">
        <v>7507</v>
      </c>
      <c r="AU234" s="742">
        <v>8179</v>
      </c>
      <c r="AV234" s="479">
        <f t="shared" si="105"/>
        <v>15827</v>
      </c>
      <c r="AW234" s="483">
        <f t="shared" si="106"/>
        <v>659.45833333333337</v>
      </c>
      <c r="AX234" s="481">
        <f t="shared" si="107"/>
        <v>16760</v>
      </c>
      <c r="AY234" s="484">
        <f t="shared" si="108"/>
        <v>698.33333333333337</v>
      </c>
      <c r="AZ234" s="485">
        <f t="shared" si="109"/>
        <v>4600.0916666666662</v>
      </c>
      <c r="BA234" s="481">
        <f t="shared" si="110"/>
        <v>4600.7333333333336</v>
      </c>
    </row>
    <row r="235" spans="1:53" ht="12.75" customHeight="1">
      <c r="A235" s="589" t="s">
        <v>286</v>
      </c>
      <c r="B235" s="590" t="s">
        <v>795</v>
      </c>
      <c r="C235" s="739"/>
      <c r="D235" s="599">
        <v>162584</v>
      </c>
      <c r="E235" s="600">
        <v>4</v>
      </c>
      <c r="F235" s="486" t="s">
        <v>41</v>
      </c>
      <c r="G235" s="552" t="s">
        <v>41</v>
      </c>
      <c r="H235" s="506">
        <v>2314</v>
      </c>
      <c r="I235" s="740">
        <v>2133.5</v>
      </c>
      <c r="J235" s="741">
        <v>61273</v>
      </c>
      <c r="K235" s="740">
        <v>60233</v>
      </c>
      <c r="L235" s="741">
        <v>5228</v>
      </c>
      <c r="M235" s="740">
        <v>5527</v>
      </c>
      <c r="N235" s="741">
        <v>64609.5</v>
      </c>
      <c r="O235" s="740">
        <v>64841.5</v>
      </c>
      <c r="P235" s="479">
        <f t="shared" si="127"/>
        <v>133424.5</v>
      </c>
      <c r="Q235" s="480">
        <f t="shared" si="128"/>
        <v>4447.4833333333336</v>
      </c>
      <c r="R235" s="481">
        <f t="shared" si="129"/>
        <v>132735</v>
      </c>
      <c r="S235" s="482">
        <f t="shared" si="130"/>
        <v>4424.5</v>
      </c>
      <c r="T235" s="506"/>
      <c r="U235" s="507"/>
      <c r="V235" s="479">
        <f t="shared" si="131"/>
        <v>0</v>
      </c>
      <c r="W235" s="478">
        <f t="shared" si="132"/>
        <v>0</v>
      </c>
      <c r="X235" s="506"/>
      <c r="Y235" s="488"/>
      <c r="Z235" s="506"/>
      <c r="AA235" s="488"/>
      <c r="AB235" s="506"/>
      <c r="AC235" s="488"/>
      <c r="AD235" s="506"/>
      <c r="AE235" s="507"/>
      <c r="AF235" s="479">
        <f t="shared" si="123"/>
        <v>0</v>
      </c>
      <c r="AG235" s="480">
        <f t="shared" si="124"/>
        <v>0</v>
      </c>
      <c r="AH235" s="481">
        <f t="shared" si="125"/>
        <v>0</v>
      </c>
      <c r="AI235" s="481">
        <f t="shared" si="126"/>
        <v>0</v>
      </c>
      <c r="AJ235" s="487"/>
      <c r="AK235" s="507"/>
      <c r="AL235" s="479">
        <f t="shared" si="121"/>
        <v>0</v>
      </c>
      <c r="AM235" s="482">
        <f t="shared" si="122"/>
        <v>0</v>
      </c>
      <c r="AN235" s="506">
        <v>351</v>
      </c>
      <c r="AO235" s="742">
        <v>454</v>
      </c>
      <c r="AP235" s="741">
        <v>4320.5</v>
      </c>
      <c r="AQ235" s="742">
        <v>4688.5</v>
      </c>
      <c r="AR235" s="741">
        <v>2555</v>
      </c>
      <c r="AS235" s="742">
        <v>2581</v>
      </c>
      <c r="AT235" s="741">
        <v>5184</v>
      </c>
      <c r="AU235" s="742">
        <v>4826</v>
      </c>
      <c r="AV235" s="479">
        <f t="shared" ref="AV235:AV263" si="133">SUM(AN235,AP235,AR235,AT235)</f>
        <v>12410.5</v>
      </c>
      <c r="AW235" s="483">
        <f t="shared" ref="AW235:AW263" si="134">+AV235/24</f>
        <v>517.10416666666663</v>
      </c>
      <c r="AX235" s="481">
        <f t="shared" ref="AX235:AX263" si="135">SUM(AO235,AQ235,AS235,AU235)</f>
        <v>12549.5</v>
      </c>
      <c r="AY235" s="484">
        <f t="shared" ref="AY235:AY263" si="136">+AX235/24</f>
        <v>522.89583333333337</v>
      </c>
      <c r="AZ235" s="485">
        <f t="shared" ref="AZ235:AZ263" si="137">SUM(Q235,AG235,AW235)</f>
        <v>4964.5875000000005</v>
      </c>
      <c r="BA235" s="481">
        <f t="shared" ref="BA235:BA263" si="138">SUM(S235,AI235,AY235)</f>
        <v>4947.395833333333</v>
      </c>
    </row>
    <row r="236" spans="1:53" ht="12.75" customHeight="1">
      <c r="A236" s="589" t="s">
        <v>286</v>
      </c>
      <c r="B236" s="590" t="s">
        <v>796</v>
      </c>
      <c r="C236" s="739"/>
      <c r="D236" s="599">
        <v>163851</v>
      </c>
      <c r="E236" s="600">
        <v>4</v>
      </c>
      <c r="F236" s="486" t="s">
        <v>41</v>
      </c>
      <c r="G236" s="552" t="s">
        <v>41</v>
      </c>
      <c r="H236" s="506">
        <v>6633</v>
      </c>
      <c r="I236" s="740">
        <v>6562</v>
      </c>
      <c r="J236" s="741">
        <v>109873</v>
      </c>
      <c r="K236" s="740">
        <v>109825</v>
      </c>
      <c r="L236" s="741">
        <v>6883</v>
      </c>
      <c r="M236" s="740">
        <v>7334</v>
      </c>
      <c r="N236" s="741">
        <v>114315</v>
      </c>
      <c r="O236" s="740">
        <v>114866</v>
      </c>
      <c r="P236" s="479">
        <f t="shared" si="127"/>
        <v>237704</v>
      </c>
      <c r="Q236" s="480">
        <f t="shared" si="128"/>
        <v>7923.4666666666662</v>
      </c>
      <c r="R236" s="481">
        <f t="shared" si="129"/>
        <v>238587</v>
      </c>
      <c r="S236" s="482">
        <f t="shared" si="130"/>
        <v>7952.9</v>
      </c>
      <c r="T236" s="506"/>
      <c r="U236" s="507"/>
      <c r="V236" s="479">
        <f t="shared" si="131"/>
        <v>0</v>
      </c>
      <c r="W236" s="478">
        <f t="shared" si="132"/>
        <v>0</v>
      </c>
      <c r="X236" s="506"/>
      <c r="Y236" s="488"/>
      <c r="Z236" s="506"/>
      <c r="AA236" s="488"/>
      <c r="AB236" s="506"/>
      <c r="AC236" s="488"/>
      <c r="AD236" s="506"/>
      <c r="AE236" s="507"/>
      <c r="AF236" s="479">
        <f t="shared" si="123"/>
        <v>0</v>
      </c>
      <c r="AG236" s="480">
        <f t="shared" si="124"/>
        <v>0</v>
      </c>
      <c r="AH236" s="481">
        <f t="shared" si="125"/>
        <v>0</v>
      </c>
      <c r="AI236" s="481">
        <f t="shared" si="126"/>
        <v>0</v>
      </c>
      <c r="AJ236" s="487"/>
      <c r="AK236" s="507"/>
      <c r="AL236" s="479">
        <f t="shared" si="121"/>
        <v>0</v>
      </c>
      <c r="AM236" s="482">
        <f t="shared" si="122"/>
        <v>0</v>
      </c>
      <c r="AN236" s="506">
        <v>393</v>
      </c>
      <c r="AO236" s="742">
        <v>402</v>
      </c>
      <c r="AP236" s="741">
        <v>4622</v>
      </c>
      <c r="AQ236" s="742">
        <v>4470</v>
      </c>
      <c r="AR236" s="741">
        <v>1491</v>
      </c>
      <c r="AS236" s="742">
        <v>1262</v>
      </c>
      <c r="AT236" s="741">
        <v>4873</v>
      </c>
      <c r="AU236" s="742">
        <v>4467</v>
      </c>
      <c r="AV236" s="479">
        <f t="shared" si="133"/>
        <v>11379</v>
      </c>
      <c r="AW236" s="483">
        <f t="shared" si="134"/>
        <v>474.125</v>
      </c>
      <c r="AX236" s="481">
        <f t="shared" si="135"/>
        <v>10601</v>
      </c>
      <c r="AY236" s="484">
        <f t="shared" si="136"/>
        <v>441.70833333333331</v>
      </c>
      <c r="AZ236" s="485">
        <f t="shared" si="137"/>
        <v>8397.5916666666672</v>
      </c>
      <c r="BA236" s="481">
        <f t="shared" si="138"/>
        <v>8394.6083333333336</v>
      </c>
    </row>
    <row r="237" spans="1:53" ht="12.75" customHeight="1">
      <c r="A237" s="589" t="s">
        <v>286</v>
      </c>
      <c r="B237" s="590" t="s">
        <v>797</v>
      </c>
      <c r="C237" s="739"/>
      <c r="D237" s="599">
        <v>161873</v>
      </c>
      <c r="E237" s="600">
        <v>4</v>
      </c>
      <c r="F237" s="486" t="s">
        <v>41</v>
      </c>
      <c r="G237" s="552" t="s">
        <v>41</v>
      </c>
      <c r="H237" s="506">
        <v>51</v>
      </c>
      <c r="I237" s="740">
        <v>98</v>
      </c>
      <c r="J237" s="741">
        <v>32983</v>
      </c>
      <c r="K237" s="740">
        <v>33698</v>
      </c>
      <c r="L237" s="741">
        <v>4313</v>
      </c>
      <c r="M237" s="740">
        <v>4647</v>
      </c>
      <c r="N237" s="741">
        <v>36346</v>
      </c>
      <c r="O237" s="740">
        <v>37187</v>
      </c>
      <c r="P237" s="479">
        <f t="shared" si="127"/>
        <v>73693</v>
      </c>
      <c r="Q237" s="480">
        <f t="shared" si="128"/>
        <v>2456.4333333333334</v>
      </c>
      <c r="R237" s="481">
        <f t="shared" si="129"/>
        <v>75630</v>
      </c>
      <c r="S237" s="482">
        <f t="shared" si="130"/>
        <v>2521</v>
      </c>
      <c r="T237" s="506"/>
      <c r="U237" s="507"/>
      <c r="V237" s="479">
        <f t="shared" si="131"/>
        <v>0</v>
      </c>
      <c r="W237" s="478">
        <f t="shared" si="132"/>
        <v>0</v>
      </c>
      <c r="X237" s="506"/>
      <c r="Y237" s="488"/>
      <c r="Z237" s="506"/>
      <c r="AA237" s="488"/>
      <c r="AB237" s="506"/>
      <c r="AC237" s="488"/>
      <c r="AD237" s="506"/>
      <c r="AE237" s="507"/>
      <c r="AF237" s="479">
        <f t="shared" si="123"/>
        <v>0</v>
      </c>
      <c r="AG237" s="480">
        <f t="shared" si="124"/>
        <v>0</v>
      </c>
      <c r="AH237" s="481">
        <f t="shared" si="125"/>
        <v>0</v>
      </c>
      <c r="AI237" s="481">
        <f t="shared" si="126"/>
        <v>0</v>
      </c>
      <c r="AJ237" s="487"/>
      <c r="AK237" s="507"/>
      <c r="AL237" s="479">
        <f t="shared" si="121"/>
        <v>0</v>
      </c>
      <c r="AM237" s="482">
        <f t="shared" si="122"/>
        <v>0</v>
      </c>
      <c r="AN237" s="506">
        <v>27</v>
      </c>
      <c r="AO237" s="742">
        <v>66</v>
      </c>
      <c r="AP237" s="741">
        <v>25069</v>
      </c>
      <c r="AQ237" s="742">
        <v>24767</v>
      </c>
      <c r="AR237" s="741">
        <v>4576</v>
      </c>
      <c r="AS237" s="742">
        <v>4316</v>
      </c>
      <c r="AT237" s="741">
        <v>26178</v>
      </c>
      <c r="AU237" s="742">
        <v>25158</v>
      </c>
      <c r="AV237" s="479">
        <f t="shared" si="133"/>
        <v>55850</v>
      </c>
      <c r="AW237" s="483">
        <f t="shared" si="134"/>
        <v>2327.0833333333335</v>
      </c>
      <c r="AX237" s="481">
        <f t="shared" si="135"/>
        <v>54307</v>
      </c>
      <c r="AY237" s="484">
        <f t="shared" si="136"/>
        <v>2262.7916666666665</v>
      </c>
      <c r="AZ237" s="485">
        <f t="shared" si="137"/>
        <v>4783.5166666666664</v>
      </c>
      <c r="BA237" s="481">
        <f t="shared" si="138"/>
        <v>4783.7916666666661</v>
      </c>
    </row>
    <row r="238" spans="1:53" ht="12.75" customHeight="1">
      <c r="A238" s="589" t="s">
        <v>286</v>
      </c>
      <c r="B238" s="590" t="s">
        <v>798</v>
      </c>
      <c r="C238" s="739"/>
      <c r="D238" s="599">
        <v>163338</v>
      </c>
      <c r="E238" s="600">
        <v>4</v>
      </c>
      <c r="F238" s="486" t="s">
        <v>41</v>
      </c>
      <c r="G238" s="552" t="s">
        <v>41</v>
      </c>
      <c r="H238" s="506">
        <v>1432.5</v>
      </c>
      <c r="I238" s="740">
        <v>1329.5</v>
      </c>
      <c r="J238" s="741">
        <v>50953</v>
      </c>
      <c r="K238" s="740">
        <v>49996.5</v>
      </c>
      <c r="L238" s="741">
        <v>4366</v>
      </c>
      <c r="M238" s="740">
        <v>4028</v>
      </c>
      <c r="N238" s="741">
        <v>53763</v>
      </c>
      <c r="O238" s="740">
        <v>50662.5</v>
      </c>
      <c r="P238" s="479">
        <f t="shared" si="127"/>
        <v>110514.5</v>
      </c>
      <c r="Q238" s="480">
        <f t="shared" si="128"/>
        <v>3683.8166666666666</v>
      </c>
      <c r="R238" s="481">
        <f t="shared" si="129"/>
        <v>106016.5</v>
      </c>
      <c r="S238" s="482">
        <f t="shared" si="130"/>
        <v>3533.8833333333332</v>
      </c>
      <c r="T238" s="506"/>
      <c r="U238" s="507"/>
      <c r="V238" s="479">
        <f t="shared" si="131"/>
        <v>0</v>
      </c>
      <c r="W238" s="478">
        <f t="shared" si="132"/>
        <v>0</v>
      </c>
      <c r="X238" s="506"/>
      <c r="Y238" s="488"/>
      <c r="Z238" s="506"/>
      <c r="AA238" s="488"/>
      <c r="AB238" s="506"/>
      <c r="AC238" s="488"/>
      <c r="AD238" s="506"/>
      <c r="AE238" s="507"/>
      <c r="AF238" s="479">
        <f t="shared" si="123"/>
        <v>0</v>
      </c>
      <c r="AG238" s="480">
        <f t="shared" si="124"/>
        <v>0</v>
      </c>
      <c r="AH238" s="481">
        <f t="shared" si="125"/>
        <v>0</v>
      </c>
      <c r="AI238" s="481">
        <f t="shared" si="126"/>
        <v>0</v>
      </c>
      <c r="AJ238" s="487"/>
      <c r="AK238" s="507"/>
      <c r="AL238" s="479">
        <f t="shared" si="121"/>
        <v>0</v>
      </c>
      <c r="AM238" s="482">
        <f t="shared" si="122"/>
        <v>0</v>
      </c>
      <c r="AN238" s="506">
        <v>341</v>
      </c>
      <c r="AO238" s="742">
        <v>326</v>
      </c>
      <c r="AP238" s="741">
        <v>6952</v>
      </c>
      <c r="AQ238" s="742">
        <v>7690.5</v>
      </c>
      <c r="AR238" s="741">
        <v>1334</v>
      </c>
      <c r="AS238" s="742">
        <v>1281</v>
      </c>
      <c r="AT238" s="741">
        <v>7648.5</v>
      </c>
      <c r="AU238" s="742">
        <v>8128.5</v>
      </c>
      <c r="AV238" s="479">
        <f t="shared" si="133"/>
        <v>16275.5</v>
      </c>
      <c r="AW238" s="483">
        <f t="shared" si="134"/>
        <v>678.14583333333337</v>
      </c>
      <c r="AX238" s="481">
        <f t="shared" si="135"/>
        <v>17426</v>
      </c>
      <c r="AY238" s="484">
        <f t="shared" si="136"/>
        <v>726.08333333333337</v>
      </c>
      <c r="AZ238" s="485">
        <f t="shared" si="137"/>
        <v>4361.9624999999996</v>
      </c>
      <c r="BA238" s="481">
        <f t="shared" si="138"/>
        <v>4259.9666666666662</v>
      </c>
    </row>
    <row r="239" spans="1:53" ht="12.75" customHeight="1">
      <c r="A239" s="589" t="s">
        <v>286</v>
      </c>
      <c r="B239" s="596" t="s">
        <v>799</v>
      </c>
      <c r="C239" s="739" t="s">
        <v>613</v>
      </c>
      <c r="D239" s="599">
        <v>162283</v>
      </c>
      <c r="E239" s="660">
        <v>5</v>
      </c>
      <c r="F239" s="486" t="s">
        <v>41</v>
      </c>
      <c r="G239" s="552" t="s">
        <v>41</v>
      </c>
      <c r="H239" s="506">
        <v>431</v>
      </c>
      <c r="I239" s="740">
        <v>542</v>
      </c>
      <c r="J239" s="741">
        <v>38483</v>
      </c>
      <c r="K239" s="740">
        <v>36739</v>
      </c>
      <c r="L239" s="741">
        <v>5144</v>
      </c>
      <c r="M239" s="740">
        <v>4527</v>
      </c>
      <c r="N239" s="741">
        <v>41635</v>
      </c>
      <c r="O239" s="740">
        <v>38863</v>
      </c>
      <c r="P239" s="479">
        <f t="shared" si="127"/>
        <v>85693</v>
      </c>
      <c r="Q239" s="480">
        <f t="shared" si="128"/>
        <v>2856.4333333333334</v>
      </c>
      <c r="R239" s="481">
        <f t="shared" si="129"/>
        <v>80671</v>
      </c>
      <c r="S239" s="482">
        <f t="shared" si="130"/>
        <v>2689.0333333333333</v>
      </c>
      <c r="T239" s="506"/>
      <c r="U239" s="507"/>
      <c r="V239" s="479">
        <f t="shared" si="131"/>
        <v>0</v>
      </c>
      <c r="W239" s="478">
        <f t="shared" si="132"/>
        <v>0</v>
      </c>
      <c r="X239" s="506"/>
      <c r="Y239" s="488"/>
      <c r="Z239" s="506"/>
      <c r="AA239" s="488"/>
      <c r="AB239" s="506"/>
      <c r="AC239" s="488"/>
      <c r="AD239" s="506"/>
      <c r="AE239" s="507"/>
      <c r="AF239" s="479">
        <f t="shared" si="123"/>
        <v>0</v>
      </c>
      <c r="AG239" s="480">
        <f t="shared" si="124"/>
        <v>0</v>
      </c>
      <c r="AH239" s="481">
        <f t="shared" si="125"/>
        <v>0</v>
      </c>
      <c r="AI239" s="481">
        <f t="shared" si="126"/>
        <v>0</v>
      </c>
      <c r="AJ239" s="487"/>
      <c r="AK239" s="507"/>
      <c r="AL239" s="479">
        <f t="shared" si="121"/>
        <v>0</v>
      </c>
      <c r="AM239" s="482">
        <f t="shared" si="122"/>
        <v>0</v>
      </c>
      <c r="AN239" s="506">
        <v>56</v>
      </c>
      <c r="AO239" s="742">
        <v>87</v>
      </c>
      <c r="AP239" s="741">
        <v>3169</v>
      </c>
      <c r="AQ239" s="742">
        <v>2983</v>
      </c>
      <c r="AR239" s="741">
        <v>335</v>
      </c>
      <c r="AS239" s="742">
        <v>517</v>
      </c>
      <c r="AT239" s="741">
        <v>2705</v>
      </c>
      <c r="AU239" s="742">
        <v>2689</v>
      </c>
      <c r="AV239" s="479">
        <f t="shared" si="133"/>
        <v>6265</v>
      </c>
      <c r="AW239" s="483">
        <f t="shared" si="134"/>
        <v>261.04166666666669</v>
      </c>
      <c r="AX239" s="481">
        <f t="shared" si="135"/>
        <v>6276</v>
      </c>
      <c r="AY239" s="484">
        <f t="shared" si="136"/>
        <v>261.5</v>
      </c>
      <c r="AZ239" s="485">
        <f t="shared" si="137"/>
        <v>3117.4749999999999</v>
      </c>
      <c r="BA239" s="481">
        <f t="shared" si="138"/>
        <v>2950.5333333333333</v>
      </c>
    </row>
    <row r="240" spans="1:53" ht="12.75" customHeight="1">
      <c r="A240" s="589" t="s">
        <v>286</v>
      </c>
      <c r="B240" s="596" t="s">
        <v>800</v>
      </c>
      <c r="C240" s="739"/>
      <c r="D240" s="599">
        <v>163912</v>
      </c>
      <c r="E240" s="600">
        <v>6</v>
      </c>
      <c r="F240" s="486" t="s">
        <v>41</v>
      </c>
      <c r="G240" s="552" t="s">
        <v>41</v>
      </c>
      <c r="H240" s="506"/>
      <c r="I240" s="740">
        <v>0</v>
      </c>
      <c r="J240" s="741">
        <v>31178</v>
      </c>
      <c r="K240" s="740">
        <v>27690</v>
      </c>
      <c r="L240" s="741">
        <v>538</v>
      </c>
      <c r="M240" s="740">
        <v>338</v>
      </c>
      <c r="N240" s="741">
        <v>31951</v>
      </c>
      <c r="O240" s="740">
        <v>27948</v>
      </c>
      <c r="P240" s="479">
        <f t="shared" si="127"/>
        <v>63667</v>
      </c>
      <c r="Q240" s="480">
        <f t="shared" si="128"/>
        <v>2122.2333333333331</v>
      </c>
      <c r="R240" s="481">
        <f t="shared" si="129"/>
        <v>55976</v>
      </c>
      <c r="S240" s="482">
        <f t="shared" si="130"/>
        <v>1865.8666666666666</v>
      </c>
      <c r="T240" s="506"/>
      <c r="U240" s="507"/>
      <c r="V240" s="479">
        <f t="shared" si="131"/>
        <v>0</v>
      </c>
      <c r="W240" s="478">
        <f t="shared" si="132"/>
        <v>0</v>
      </c>
      <c r="X240" s="506"/>
      <c r="Y240" s="488"/>
      <c r="Z240" s="506"/>
      <c r="AA240" s="488"/>
      <c r="AB240" s="506"/>
      <c r="AC240" s="488"/>
      <c r="AD240" s="506"/>
      <c r="AE240" s="507"/>
      <c r="AF240" s="479">
        <f t="shared" si="123"/>
        <v>0</v>
      </c>
      <c r="AG240" s="480">
        <f t="shared" si="124"/>
        <v>0</v>
      </c>
      <c r="AH240" s="481">
        <f t="shared" si="125"/>
        <v>0</v>
      </c>
      <c r="AI240" s="481">
        <f t="shared" si="126"/>
        <v>0</v>
      </c>
      <c r="AJ240" s="487"/>
      <c r="AK240" s="507"/>
      <c r="AL240" s="479">
        <f t="shared" si="121"/>
        <v>0</v>
      </c>
      <c r="AM240" s="482">
        <f t="shared" si="122"/>
        <v>0</v>
      </c>
      <c r="AN240" s="506"/>
      <c r="AO240" s="742">
        <v>0</v>
      </c>
      <c r="AP240" s="741">
        <v>545</v>
      </c>
      <c r="AQ240" s="742">
        <v>532</v>
      </c>
      <c r="AR240" s="741">
        <v>85</v>
      </c>
      <c r="AS240" s="742">
        <v>488</v>
      </c>
      <c r="AT240" s="741">
        <v>503</v>
      </c>
      <c r="AU240" s="742">
        <v>393</v>
      </c>
      <c r="AV240" s="479">
        <f t="shared" si="133"/>
        <v>1133</v>
      </c>
      <c r="AW240" s="483">
        <f t="shared" si="134"/>
        <v>47.208333333333336</v>
      </c>
      <c r="AX240" s="481">
        <f t="shared" si="135"/>
        <v>1413</v>
      </c>
      <c r="AY240" s="484">
        <f t="shared" si="136"/>
        <v>58.875</v>
      </c>
      <c r="AZ240" s="485">
        <f t="shared" si="137"/>
        <v>2169.4416666666666</v>
      </c>
      <c r="BA240" s="481">
        <f t="shared" si="138"/>
        <v>1924.7416666666666</v>
      </c>
    </row>
    <row r="241" spans="1:53" ht="12.75" customHeight="1">
      <c r="A241" s="589" t="s">
        <v>286</v>
      </c>
      <c r="B241" s="590" t="s">
        <v>801</v>
      </c>
      <c r="C241" s="739"/>
      <c r="D241" s="599">
        <v>161767</v>
      </c>
      <c r="E241" s="593">
        <v>8</v>
      </c>
      <c r="F241" s="486" t="s">
        <v>41</v>
      </c>
      <c r="G241" s="552" t="s">
        <v>41</v>
      </c>
      <c r="H241" s="506">
        <v>4135</v>
      </c>
      <c r="I241" s="740">
        <v>3936</v>
      </c>
      <c r="J241" s="741">
        <v>137168.5</v>
      </c>
      <c r="K241" s="740">
        <v>130866</v>
      </c>
      <c r="L241" s="741">
        <v>34122.5</v>
      </c>
      <c r="M241" s="740">
        <v>30510.5</v>
      </c>
      <c r="N241" s="741">
        <v>148857</v>
      </c>
      <c r="O241" s="740">
        <v>138688</v>
      </c>
      <c r="P241" s="479">
        <f t="shared" si="127"/>
        <v>324283</v>
      </c>
      <c r="Q241" s="480">
        <f t="shared" si="128"/>
        <v>10809.433333333332</v>
      </c>
      <c r="R241" s="481">
        <f t="shared" si="129"/>
        <v>304000.5</v>
      </c>
      <c r="S241" s="482">
        <f t="shared" si="130"/>
        <v>10133.35</v>
      </c>
      <c r="T241" s="506"/>
      <c r="U241" s="507"/>
      <c r="V241" s="479">
        <f t="shared" si="131"/>
        <v>0</v>
      </c>
      <c r="W241" s="478">
        <f t="shared" si="132"/>
        <v>0</v>
      </c>
      <c r="X241" s="506"/>
      <c r="Y241" s="488"/>
      <c r="Z241" s="506"/>
      <c r="AA241" s="488"/>
      <c r="AB241" s="506"/>
      <c r="AC241" s="488"/>
      <c r="AD241" s="506"/>
      <c r="AE241" s="507"/>
      <c r="AF241" s="479">
        <f t="shared" si="123"/>
        <v>0</v>
      </c>
      <c r="AG241" s="480">
        <f t="shared" si="124"/>
        <v>0</v>
      </c>
      <c r="AH241" s="481">
        <f t="shared" si="125"/>
        <v>0</v>
      </c>
      <c r="AI241" s="481">
        <f t="shared" si="126"/>
        <v>0</v>
      </c>
      <c r="AJ241" s="487"/>
      <c r="AK241" s="507"/>
      <c r="AL241" s="479">
        <f t="shared" si="121"/>
        <v>0</v>
      </c>
      <c r="AM241" s="482">
        <f t="shared" si="122"/>
        <v>0</v>
      </c>
      <c r="AN241" s="506"/>
      <c r="AO241" s="742">
        <v>0</v>
      </c>
      <c r="AP241" s="741"/>
      <c r="AQ241" s="742">
        <v>0</v>
      </c>
      <c r="AR241" s="741"/>
      <c r="AS241" s="742">
        <v>0</v>
      </c>
      <c r="AT241" s="741"/>
      <c r="AU241" s="742">
        <v>0</v>
      </c>
      <c r="AV241" s="479">
        <f t="shared" si="133"/>
        <v>0</v>
      </c>
      <c r="AW241" s="483">
        <f t="shared" si="134"/>
        <v>0</v>
      </c>
      <c r="AX241" s="481">
        <f t="shared" si="135"/>
        <v>0</v>
      </c>
      <c r="AY241" s="484">
        <f t="shared" si="136"/>
        <v>0</v>
      </c>
      <c r="AZ241" s="485">
        <f t="shared" si="137"/>
        <v>10809.433333333332</v>
      </c>
      <c r="BA241" s="481">
        <f t="shared" si="138"/>
        <v>10133.35</v>
      </c>
    </row>
    <row r="242" spans="1:53" ht="12.75" customHeight="1">
      <c r="A242" s="589" t="s">
        <v>286</v>
      </c>
      <c r="B242" s="596" t="s">
        <v>802</v>
      </c>
      <c r="C242" s="743"/>
      <c r="D242" s="599">
        <v>162122</v>
      </c>
      <c r="E242" s="593">
        <v>8</v>
      </c>
      <c r="F242" s="486" t="s">
        <v>41</v>
      </c>
      <c r="G242" s="552" t="s">
        <v>41</v>
      </c>
      <c r="H242" s="506"/>
      <c r="I242" s="740">
        <v>789</v>
      </c>
      <c r="J242" s="741">
        <v>74859</v>
      </c>
      <c r="K242" s="740">
        <v>72505</v>
      </c>
      <c r="L242" s="741">
        <v>16741</v>
      </c>
      <c r="M242" s="740">
        <v>16427</v>
      </c>
      <c r="N242" s="741">
        <v>80518</v>
      </c>
      <c r="O242" s="740">
        <v>77346</v>
      </c>
      <c r="P242" s="479">
        <f t="shared" si="127"/>
        <v>172118</v>
      </c>
      <c r="Q242" s="480">
        <f t="shared" si="128"/>
        <v>5737.2666666666664</v>
      </c>
      <c r="R242" s="481">
        <f t="shared" si="129"/>
        <v>167067</v>
      </c>
      <c r="S242" s="482">
        <f t="shared" si="130"/>
        <v>5568.9</v>
      </c>
      <c r="T242" s="506"/>
      <c r="U242" s="507"/>
      <c r="V242" s="479">
        <f t="shared" si="131"/>
        <v>0</v>
      </c>
      <c r="W242" s="478">
        <f t="shared" si="132"/>
        <v>0</v>
      </c>
      <c r="X242" s="506"/>
      <c r="Y242" s="488"/>
      <c r="Z242" s="506"/>
      <c r="AA242" s="488"/>
      <c r="AB242" s="506"/>
      <c r="AC242" s="488"/>
      <c r="AD242" s="506"/>
      <c r="AE242" s="507"/>
      <c r="AF242" s="479">
        <f t="shared" si="123"/>
        <v>0</v>
      </c>
      <c r="AG242" s="480">
        <f t="shared" si="124"/>
        <v>0</v>
      </c>
      <c r="AH242" s="481">
        <f t="shared" si="125"/>
        <v>0</v>
      </c>
      <c r="AI242" s="481">
        <f t="shared" si="126"/>
        <v>0</v>
      </c>
      <c r="AJ242" s="487"/>
      <c r="AK242" s="507"/>
      <c r="AL242" s="479">
        <f t="shared" si="121"/>
        <v>0</v>
      </c>
      <c r="AM242" s="482">
        <f t="shared" si="122"/>
        <v>0</v>
      </c>
      <c r="AN242" s="506"/>
      <c r="AO242" s="742">
        <v>0</v>
      </c>
      <c r="AP242" s="741"/>
      <c r="AQ242" s="742">
        <v>0</v>
      </c>
      <c r="AR242" s="741"/>
      <c r="AS242" s="742">
        <v>0</v>
      </c>
      <c r="AT242" s="741"/>
      <c r="AU242" s="742">
        <v>0</v>
      </c>
      <c r="AV242" s="479">
        <f t="shared" si="133"/>
        <v>0</v>
      </c>
      <c r="AW242" s="483">
        <f t="shared" si="134"/>
        <v>0</v>
      </c>
      <c r="AX242" s="481">
        <f t="shared" si="135"/>
        <v>0</v>
      </c>
      <c r="AY242" s="484">
        <f t="shared" si="136"/>
        <v>0</v>
      </c>
      <c r="AZ242" s="485">
        <f t="shared" si="137"/>
        <v>5737.2666666666664</v>
      </c>
      <c r="BA242" s="481">
        <f t="shared" si="138"/>
        <v>5568.9</v>
      </c>
    </row>
    <row r="243" spans="1:53" ht="12.75" customHeight="1">
      <c r="A243" s="589" t="s">
        <v>286</v>
      </c>
      <c r="B243" s="590" t="s">
        <v>803</v>
      </c>
      <c r="C243" s="739"/>
      <c r="D243" s="599">
        <v>434672</v>
      </c>
      <c r="E243" s="593">
        <v>8</v>
      </c>
      <c r="F243" s="486" t="s">
        <v>41</v>
      </c>
      <c r="G243" s="552" t="s">
        <v>41</v>
      </c>
      <c r="H243" s="506">
        <v>11107</v>
      </c>
      <c r="I243" s="740">
        <v>10274</v>
      </c>
      <c r="J243" s="741">
        <v>198161</v>
      </c>
      <c r="K243" s="740">
        <v>189005.5</v>
      </c>
      <c r="L243" s="741">
        <v>40957.5</v>
      </c>
      <c r="M243" s="740">
        <v>40920</v>
      </c>
      <c r="N243" s="741">
        <v>217863.5</v>
      </c>
      <c r="O243" s="740">
        <v>209872.5</v>
      </c>
      <c r="P243" s="479">
        <f t="shared" si="127"/>
        <v>468089</v>
      </c>
      <c r="Q243" s="480">
        <f t="shared" si="128"/>
        <v>15602.966666666667</v>
      </c>
      <c r="R243" s="481">
        <f t="shared" si="129"/>
        <v>450072</v>
      </c>
      <c r="S243" s="482">
        <f t="shared" si="130"/>
        <v>15002.4</v>
      </c>
      <c r="T243" s="506"/>
      <c r="U243" s="507"/>
      <c r="V243" s="479">
        <f t="shared" si="131"/>
        <v>0</v>
      </c>
      <c r="W243" s="478">
        <f t="shared" si="132"/>
        <v>0</v>
      </c>
      <c r="X243" s="506"/>
      <c r="Y243" s="488"/>
      <c r="Z243" s="506"/>
      <c r="AA243" s="488"/>
      <c r="AB243" s="506"/>
      <c r="AC243" s="488"/>
      <c r="AD243" s="506"/>
      <c r="AE243" s="507"/>
      <c r="AF243" s="479">
        <f t="shared" si="123"/>
        <v>0</v>
      </c>
      <c r="AG243" s="480">
        <f t="shared" si="124"/>
        <v>0</v>
      </c>
      <c r="AH243" s="481">
        <f t="shared" si="125"/>
        <v>0</v>
      </c>
      <c r="AI243" s="481">
        <f t="shared" si="126"/>
        <v>0</v>
      </c>
      <c r="AJ243" s="487"/>
      <c r="AK243" s="507"/>
      <c r="AL243" s="479">
        <f t="shared" si="121"/>
        <v>0</v>
      </c>
      <c r="AM243" s="482">
        <f t="shared" si="122"/>
        <v>0</v>
      </c>
      <c r="AN243" s="506"/>
      <c r="AO243" s="742">
        <v>0</v>
      </c>
      <c r="AP243" s="741"/>
      <c r="AQ243" s="742">
        <v>0</v>
      </c>
      <c r="AR243" s="741"/>
      <c r="AS243" s="742">
        <v>0</v>
      </c>
      <c r="AT243" s="741"/>
      <c r="AU243" s="742">
        <v>0</v>
      </c>
      <c r="AV243" s="479">
        <f t="shared" si="133"/>
        <v>0</v>
      </c>
      <c r="AW243" s="483">
        <f t="shared" si="134"/>
        <v>0</v>
      </c>
      <c r="AX243" s="481">
        <f t="shared" si="135"/>
        <v>0</v>
      </c>
      <c r="AY243" s="484">
        <f t="shared" si="136"/>
        <v>0</v>
      </c>
      <c r="AZ243" s="485">
        <f t="shared" si="137"/>
        <v>15602.966666666667</v>
      </c>
      <c r="BA243" s="481">
        <f t="shared" si="138"/>
        <v>15002.4</v>
      </c>
    </row>
    <row r="244" spans="1:53" ht="12.75" customHeight="1">
      <c r="A244" s="589" t="s">
        <v>286</v>
      </c>
      <c r="B244" s="596" t="s">
        <v>804</v>
      </c>
      <c r="C244" s="743"/>
      <c r="D244" s="599">
        <v>162779</v>
      </c>
      <c r="E244" s="593">
        <v>8</v>
      </c>
      <c r="F244" s="486" t="s">
        <v>41</v>
      </c>
      <c r="G244" s="552" t="s">
        <v>41</v>
      </c>
      <c r="H244" s="506">
        <v>6540</v>
      </c>
      <c r="I244" s="740">
        <v>6220</v>
      </c>
      <c r="J244" s="741">
        <v>79799</v>
      </c>
      <c r="K244" s="740">
        <v>81678</v>
      </c>
      <c r="L244" s="741">
        <v>19276</v>
      </c>
      <c r="M244" s="740">
        <v>19026</v>
      </c>
      <c r="N244" s="741">
        <v>88831</v>
      </c>
      <c r="O244" s="740">
        <v>90266</v>
      </c>
      <c r="P244" s="479">
        <f t="shared" si="127"/>
        <v>194446</v>
      </c>
      <c r="Q244" s="480">
        <f t="shared" si="128"/>
        <v>6481.5333333333338</v>
      </c>
      <c r="R244" s="481">
        <f t="shared" si="129"/>
        <v>197190</v>
      </c>
      <c r="S244" s="482">
        <f t="shared" si="130"/>
        <v>6573</v>
      </c>
      <c r="T244" s="506"/>
      <c r="U244" s="507"/>
      <c r="V244" s="479">
        <f t="shared" si="131"/>
        <v>0</v>
      </c>
      <c r="W244" s="478">
        <f t="shared" si="132"/>
        <v>0</v>
      </c>
      <c r="X244" s="506"/>
      <c r="Y244" s="488"/>
      <c r="Z244" s="506"/>
      <c r="AA244" s="488"/>
      <c r="AB244" s="506"/>
      <c r="AC244" s="488"/>
      <c r="AD244" s="506"/>
      <c r="AE244" s="507"/>
      <c r="AF244" s="479">
        <f t="shared" si="123"/>
        <v>0</v>
      </c>
      <c r="AG244" s="480">
        <f t="shared" si="124"/>
        <v>0</v>
      </c>
      <c r="AH244" s="481">
        <f t="shared" si="125"/>
        <v>0</v>
      </c>
      <c r="AI244" s="481">
        <f t="shared" si="126"/>
        <v>0</v>
      </c>
      <c r="AJ244" s="487"/>
      <c r="AK244" s="507"/>
      <c r="AL244" s="479">
        <f t="shared" si="121"/>
        <v>0</v>
      </c>
      <c r="AM244" s="482">
        <f t="shared" si="122"/>
        <v>0</v>
      </c>
      <c r="AN244" s="506"/>
      <c r="AO244" s="742">
        <v>0</v>
      </c>
      <c r="AP244" s="741"/>
      <c r="AQ244" s="742">
        <v>0</v>
      </c>
      <c r="AR244" s="741"/>
      <c r="AS244" s="742">
        <v>0</v>
      </c>
      <c r="AT244" s="741"/>
      <c r="AU244" s="742">
        <v>0</v>
      </c>
      <c r="AV244" s="479">
        <f t="shared" si="133"/>
        <v>0</v>
      </c>
      <c r="AW244" s="483">
        <f t="shared" si="134"/>
        <v>0</v>
      </c>
      <c r="AX244" s="481">
        <f t="shared" si="135"/>
        <v>0</v>
      </c>
      <c r="AY244" s="484">
        <f t="shared" si="136"/>
        <v>0</v>
      </c>
      <c r="AZ244" s="485">
        <f t="shared" si="137"/>
        <v>6481.5333333333338</v>
      </c>
      <c r="BA244" s="481">
        <f t="shared" si="138"/>
        <v>6573</v>
      </c>
    </row>
    <row r="245" spans="1:53" ht="12.75" customHeight="1">
      <c r="A245" s="589" t="s">
        <v>286</v>
      </c>
      <c r="B245" s="590" t="s">
        <v>805</v>
      </c>
      <c r="C245" s="739"/>
      <c r="D245" s="599">
        <v>163426</v>
      </c>
      <c r="E245" s="593">
        <v>8</v>
      </c>
      <c r="F245" s="486" t="s">
        <v>41</v>
      </c>
      <c r="G245" s="552" t="s">
        <v>41</v>
      </c>
      <c r="H245" s="506">
        <v>4482</v>
      </c>
      <c r="I245" s="740">
        <v>4505</v>
      </c>
      <c r="J245" s="741">
        <v>302180.2</v>
      </c>
      <c r="K245" s="740">
        <v>226075</v>
      </c>
      <c r="L245" s="741">
        <v>163984.6</v>
      </c>
      <c r="M245" s="740">
        <v>58152</v>
      </c>
      <c r="N245" s="741">
        <v>315400.7</v>
      </c>
      <c r="O245" s="740">
        <v>237005</v>
      </c>
      <c r="P245" s="479">
        <f t="shared" si="127"/>
        <v>786047.5</v>
      </c>
      <c r="Q245" s="480">
        <f t="shared" si="128"/>
        <v>26201.583333333332</v>
      </c>
      <c r="R245" s="481">
        <f t="shared" si="129"/>
        <v>525737</v>
      </c>
      <c r="S245" s="482">
        <f t="shared" si="130"/>
        <v>17524.566666666666</v>
      </c>
      <c r="T245" s="506"/>
      <c r="U245" s="507"/>
      <c r="V245" s="479">
        <f t="shared" si="131"/>
        <v>0</v>
      </c>
      <c r="W245" s="478">
        <f t="shared" si="132"/>
        <v>0</v>
      </c>
      <c r="X245" s="506"/>
      <c r="Y245" s="488"/>
      <c r="Z245" s="506"/>
      <c r="AA245" s="488"/>
      <c r="AB245" s="506"/>
      <c r="AC245" s="488"/>
      <c r="AD245" s="506"/>
      <c r="AE245" s="507"/>
      <c r="AF245" s="479">
        <f t="shared" si="123"/>
        <v>0</v>
      </c>
      <c r="AG245" s="480">
        <f t="shared" si="124"/>
        <v>0</v>
      </c>
      <c r="AH245" s="481">
        <f t="shared" si="125"/>
        <v>0</v>
      </c>
      <c r="AI245" s="481">
        <f t="shared" si="126"/>
        <v>0</v>
      </c>
      <c r="AJ245" s="487"/>
      <c r="AK245" s="507"/>
      <c r="AL245" s="479">
        <f t="shared" si="121"/>
        <v>0</v>
      </c>
      <c r="AM245" s="482">
        <f t="shared" si="122"/>
        <v>0</v>
      </c>
      <c r="AN245" s="506"/>
      <c r="AO245" s="742">
        <v>0</v>
      </c>
      <c r="AP245" s="741"/>
      <c r="AQ245" s="742">
        <v>0</v>
      </c>
      <c r="AR245" s="741"/>
      <c r="AS245" s="742">
        <v>0</v>
      </c>
      <c r="AT245" s="741"/>
      <c r="AU245" s="742">
        <v>0</v>
      </c>
      <c r="AV245" s="479">
        <f t="shared" si="133"/>
        <v>0</v>
      </c>
      <c r="AW245" s="483">
        <f t="shared" si="134"/>
        <v>0</v>
      </c>
      <c r="AX245" s="481">
        <f t="shared" si="135"/>
        <v>0</v>
      </c>
      <c r="AY245" s="484">
        <f t="shared" si="136"/>
        <v>0</v>
      </c>
      <c r="AZ245" s="485">
        <f t="shared" si="137"/>
        <v>26201.583333333332</v>
      </c>
      <c r="BA245" s="481">
        <f t="shared" si="138"/>
        <v>17524.566666666666</v>
      </c>
    </row>
    <row r="246" spans="1:53" ht="12.75" customHeight="1">
      <c r="A246" s="589" t="s">
        <v>286</v>
      </c>
      <c r="B246" s="590" t="s">
        <v>806</v>
      </c>
      <c r="C246" s="739"/>
      <c r="D246" s="599">
        <v>163657</v>
      </c>
      <c r="E246" s="593">
        <v>8</v>
      </c>
      <c r="F246" s="486" t="s">
        <v>41</v>
      </c>
      <c r="G246" s="552" t="s">
        <v>41</v>
      </c>
      <c r="H246" s="506"/>
      <c r="I246" s="740">
        <v>0</v>
      </c>
      <c r="J246" s="741">
        <v>165584</v>
      </c>
      <c r="K246" s="740">
        <v>163079</v>
      </c>
      <c r="L246" s="741">
        <v>52135</v>
      </c>
      <c r="M246" s="740">
        <v>52655</v>
      </c>
      <c r="N246" s="741">
        <v>161132</v>
      </c>
      <c r="O246" s="740">
        <v>157883</v>
      </c>
      <c r="P246" s="479">
        <f t="shared" si="127"/>
        <v>378851</v>
      </c>
      <c r="Q246" s="480">
        <f t="shared" si="128"/>
        <v>12628.366666666667</v>
      </c>
      <c r="R246" s="481">
        <f t="shared" si="129"/>
        <v>373617</v>
      </c>
      <c r="S246" s="482">
        <f t="shared" si="130"/>
        <v>12453.9</v>
      </c>
      <c r="T246" s="506"/>
      <c r="U246" s="507"/>
      <c r="V246" s="479">
        <f t="shared" si="131"/>
        <v>0</v>
      </c>
      <c r="W246" s="478">
        <f t="shared" si="132"/>
        <v>0</v>
      </c>
      <c r="X246" s="506"/>
      <c r="Y246" s="488"/>
      <c r="Z246" s="506"/>
      <c r="AA246" s="488"/>
      <c r="AB246" s="506"/>
      <c r="AC246" s="488"/>
      <c r="AD246" s="506"/>
      <c r="AE246" s="507"/>
      <c r="AF246" s="479">
        <f t="shared" si="123"/>
        <v>0</v>
      </c>
      <c r="AG246" s="480">
        <f t="shared" si="124"/>
        <v>0</v>
      </c>
      <c r="AH246" s="481">
        <f t="shared" si="125"/>
        <v>0</v>
      </c>
      <c r="AI246" s="481">
        <f t="shared" si="126"/>
        <v>0</v>
      </c>
      <c r="AJ246" s="487"/>
      <c r="AK246" s="507"/>
      <c r="AL246" s="479">
        <f t="shared" si="121"/>
        <v>0</v>
      </c>
      <c r="AM246" s="482">
        <f t="shared" si="122"/>
        <v>0</v>
      </c>
      <c r="AN246" s="506"/>
      <c r="AO246" s="742">
        <v>0</v>
      </c>
      <c r="AP246" s="741"/>
      <c r="AQ246" s="742">
        <v>0</v>
      </c>
      <c r="AR246" s="741"/>
      <c r="AS246" s="742">
        <v>0</v>
      </c>
      <c r="AT246" s="741"/>
      <c r="AU246" s="742">
        <v>0</v>
      </c>
      <c r="AV246" s="479">
        <f t="shared" si="133"/>
        <v>0</v>
      </c>
      <c r="AW246" s="483">
        <f t="shared" si="134"/>
        <v>0</v>
      </c>
      <c r="AX246" s="481">
        <f t="shared" si="135"/>
        <v>0</v>
      </c>
      <c r="AY246" s="484">
        <f t="shared" si="136"/>
        <v>0</v>
      </c>
      <c r="AZ246" s="485">
        <f t="shared" si="137"/>
        <v>12628.366666666667</v>
      </c>
      <c r="BA246" s="481">
        <f t="shared" si="138"/>
        <v>12453.9</v>
      </c>
    </row>
    <row r="247" spans="1:53" ht="12.75" customHeight="1">
      <c r="A247" s="589" t="s">
        <v>286</v>
      </c>
      <c r="B247" s="590" t="s">
        <v>807</v>
      </c>
      <c r="C247" s="739"/>
      <c r="D247" s="744">
        <v>161688</v>
      </c>
      <c r="E247" s="745">
        <v>9</v>
      </c>
      <c r="F247" s="486" t="s">
        <v>41</v>
      </c>
      <c r="G247" s="552" t="s">
        <v>41</v>
      </c>
      <c r="H247" s="506"/>
      <c r="I247" s="740">
        <v>0</v>
      </c>
      <c r="J247" s="741">
        <v>34173</v>
      </c>
      <c r="K247" s="740">
        <v>31488</v>
      </c>
      <c r="L247" s="741">
        <v>5196</v>
      </c>
      <c r="M247" s="740">
        <v>4469</v>
      </c>
      <c r="N247" s="741">
        <v>36258</v>
      </c>
      <c r="O247" s="740">
        <v>32736</v>
      </c>
      <c r="P247" s="479">
        <f t="shared" si="127"/>
        <v>75627</v>
      </c>
      <c r="Q247" s="480">
        <f t="shared" si="128"/>
        <v>2520.9</v>
      </c>
      <c r="R247" s="481">
        <f t="shared" si="129"/>
        <v>68693</v>
      </c>
      <c r="S247" s="482">
        <f t="shared" si="130"/>
        <v>2289.7666666666669</v>
      </c>
      <c r="T247" s="506"/>
      <c r="U247" s="507"/>
      <c r="V247" s="479">
        <f t="shared" si="131"/>
        <v>0</v>
      </c>
      <c r="W247" s="478">
        <f t="shared" si="132"/>
        <v>0</v>
      </c>
      <c r="X247" s="506"/>
      <c r="Y247" s="488"/>
      <c r="Z247" s="506"/>
      <c r="AA247" s="488"/>
      <c r="AB247" s="506"/>
      <c r="AC247" s="488"/>
      <c r="AD247" s="506"/>
      <c r="AE247" s="507"/>
      <c r="AF247" s="479">
        <f t="shared" si="123"/>
        <v>0</v>
      </c>
      <c r="AG247" s="480">
        <f t="shared" si="124"/>
        <v>0</v>
      </c>
      <c r="AH247" s="481">
        <f t="shared" si="125"/>
        <v>0</v>
      </c>
      <c r="AI247" s="481">
        <f t="shared" si="126"/>
        <v>0</v>
      </c>
      <c r="AJ247" s="487"/>
      <c r="AK247" s="507"/>
      <c r="AL247" s="479">
        <f t="shared" si="121"/>
        <v>0</v>
      </c>
      <c r="AM247" s="482">
        <f t="shared" si="122"/>
        <v>0</v>
      </c>
      <c r="AN247" s="506"/>
      <c r="AO247" s="742">
        <v>0</v>
      </c>
      <c r="AP247" s="741"/>
      <c r="AQ247" s="742">
        <v>0</v>
      </c>
      <c r="AR247" s="741"/>
      <c r="AS247" s="742">
        <v>0</v>
      </c>
      <c r="AT247" s="741"/>
      <c r="AU247" s="742">
        <v>0</v>
      </c>
      <c r="AV247" s="479">
        <f t="shared" si="133"/>
        <v>0</v>
      </c>
      <c r="AW247" s="483">
        <f t="shared" si="134"/>
        <v>0</v>
      </c>
      <c r="AX247" s="481">
        <f t="shared" si="135"/>
        <v>0</v>
      </c>
      <c r="AY247" s="484">
        <f t="shared" si="136"/>
        <v>0</v>
      </c>
      <c r="AZ247" s="485">
        <f t="shared" si="137"/>
        <v>2520.9</v>
      </c>
      <c r="BA247" s="481">
        <f t="shared" si="138"/>
        <v>2289.7666666666669</v>
      </c>
    </row>
    <row r="248" spans="1:53" ht="12.75" customHeight="1">
      <c r="A248" s="589" t="s">
        <v>286</v>
      </c>
      <c r="B248" s="590" t="s">
        <v>808</v>
      </c>
      <c r="C248" s="739"/>
      <c r="D248" s="599">
        <v>161864</v>
      </c>
      <c r="E248" s="593">
        <v>9</v>
      </c>
      <c r="F248" s="486" t="s">
        <v>41</v>
      </c>
      <c r="G248" s="552" t="s">
        <v>41</v>
      </c>
      <c r="H248" s="506">
        <v>1619</v>
      </c>
      <c r="I248" s="740">
        <v>1577</v>
      </c>
      <c r="J248" s="741">
        <v>44922</v>
      </c>
      <c r="K248" s="740">
        <v>48184</v>
      </c>
      <c r="L248" s="741">
        <v>8584</v>
      </c>
      <c r="M248" s="740">
        <v>9104</v>
      </c>
      <c r="N248" s="741">
        <v>50293</v>
      </c>
      <c r="O248" s="740">
        <v>48087</v>
      </c>
      <c r="P248" s="479">
        <f t="shared" si="127"/>
        <v>105418</v>
      </c>
      <c r="Q248" s="480">
        <f t="shared" si="128"/>
        <v>3513.9333333333334</v>
      </c>
      <c r="R248" s="481">
        <f t="shared" si="129"/>
        <v>106952</v>
      </c>
      <c r="S248" s="482">
        <f t="shared" si="130"/>
        <v>3565.0666666666666</v>
      </c>
      <c r="T248" s="506"/>
      <c r="U248" s="507"/>
      <c r="V248" s="479">
        <f t="shared" si="131"/>
        <v>0</v>
      </c>
      <c r="W248" s="478">
        <f t="shared" si="132"/>
        <v>0</v>
      </c>
      <c r="X248" s="506"/>
      <c r="Y248" s="488"/>
      <c r="Z248" s="506"/>
      <c r="AA248" s="488"/>
      <c r="AB248" s="506"/>
      <c r="AC248" s="488"/>
      <c r="AD248" s="506"/>
      <c r="AE248" s="507"/>
      <c r="AF248" s="479">
        <f t="shared" si="123"/>
        <v>0</v>
      </c>
      <c r="AG248" s="480">
        <f t="shared" si="124"/>
        <v>0</v>
      </c>
      <c r="AH248" s="481">
        <f t="shared" si="125"/>
        <v>0</v>
      </c>
      <c r="AI248" s="481">
        <f t="shared" si="126"/>
        <v>0</v>
      </c>
      <c r="AJ248" s="487"/>
      <c r="AK248" s="507"/>
      <c r="AL248" s="479">
        <f t="shared" si="121"/>
        <v>0</v>
      </c>
      <c r="AM248" s="482">
        <f t="shared" si="122"/>
        <v>0</v>
      </c>
      <c r="AN248" s="506"/>
      <c r="AO248" s="742">
        <v>0</v>
      </c>
      <c r="AP248" s="741"/>
      <c r="AQ248" s="742">
        <v>0</v>
      </c>
      <c r="AR248" s="741"/>
      <c r="AS248" s="742">
        <v>0</v>
      </c>
      <c r="AT248" s="741"/>
      <c r="AU248" s="742">
        <v>0</v>
      </c>
      <c r="AV248" s="479">
        <f t="shared" si="133"/>
        <v>0</v>
      </c>
      <c r="AW248" s="483">
        <f t="shared" si="134"/>
        <v>0</v>
      </c>
      <c r="AX248" s="481">
        <f t="shared" si="135"/>
        <v>0</v>
      </c>
      <c r="AY248" s="484">
        <f t="shared" si="136"/>
        <v>0</v>
      </c>
      <c r="AZ248" s="485">
        <f t="shared" si="137"/>
        <v>3513.9333333333334</v>
      </c>
      <c r="BA248" s="481">
        <f t="shared" si="138"/>
        <v>3565.0666666666666</v>
      </c>
    </row>
    <row r="249" spans="1:53" ht="12.75" customHeight="1">
      <c r="A249" s="589" t="s">
        <v>286</v>
      </c>
      <c r="B249" s="746" t="s">
        <v>809</v>
      </c>
      <c r="C249" s="747"/>
      <c r="D249" s="592">
        <v>405872</v>
      </c>
      <c r="E249" s="593">
        <v>9</v>
      </c>
      <c r="F249" s="486" t="s">
        <v>41</v>
      </c>
      <c r="G249" s="552" t="s">
        <v>41</v>
      </c>
      <c r="H249" s="506">
        <v>2066.5</v>
      </c>
      <c r="I249" s="740">
        <v>2165</v>
      </c>
      <c r="J249" s="741">
        <v>33666</v>
      </c>
      <c r="K249" s="740">
        <v>33416</v>
      </c>
      <c r="L249" s="741">
        <v>9631.5</v>
      </c>
      <c r="M249" s="740">
        <v>6118</v>
      </c>
      <c r="N249" s="741">
        <v>38552</v>
      </c>
      <c r="O249" s="740">
        <v>35484</v>
      </c>
      <c r="P249" s="479">
        <f t="shared" si="127"/>
        <v>83916</v>
      </c>
      <c r="Q249" s="480">
        <f t="shared" si="128"/>
        <v>2797.2</v>
      </c>
      <c r="R249" s="481">
        <f t="shared" si="129"/>
        <v>77183</v>
      </c>
      <c r="S249" s="482">
        <f t="shared" si="130"/>
        <v>2572.7666666666669</v>
      </c>
      <c r="T249" s="506"/>
      <c r="U249" s="507"/>
      <c r="V249" s="479">
        <f t="shared" si="131"/>
        <v>0</v>
      </c>
      <c r="W249" s="478">
        <f t="shared" si="132"/>
        <v>0</v>
      </c>
      <c r="X249" s="506"/>
      <c r="Y249" s="488"/>
      <c r="Z249" s="506"/>
      <c r="AA249" s="488"/>
      <c r="AB249" s="506"/>
      <c r="AC249" s="488"/>
      <c r="AD249" s="506"/>
      <c r="AE249" s="507"/>
      <c r="AF249" s="479">
        <f t="shared" si="123"/>
        <v>0</v>
      </c>
      <c r="AG249" s="480">
        <f t="shared" si="124"/>
        <v>0</v>
      </c>
      <c r="AH249" s="481">
        <f t="shared" si="125"/>
        <v>0</v>
      </c>
      <c r="AI249" s="481">
        <f t="shared" si="126"/>
        <v>0</v>
      </c>
      <c r="AJ249" s="487"/>
      <c r="AK249" s="507"/>
      <c r="AL249" s="479">
        <f t="shared" si="121"/>
        <v>0</v>
      </c>
      <c r="AM249" s="482">
        <f t="shared" si="122"/>
        <v>0</v>
      </c>
      <c r="AN249" s="506"/>
      <c r="AO249" s="742">
        <v>0</v>
      </c>
      <c r="AP249" s="741"/>
      <c r="AQ249" s="742">
        <v>0</v>
      </c>
      <c r="AR249" s="741"/>
      <c r="AS249" s="742">
        <v>0</v>
      </c>
      <c r="AT249" s="741"/>
      <c r="AU249" s="742">
        <v>0</v>
      </c>
      <c r="AV249" s="479">
        <f t="shared" si="133"/>
        <v>0</v>
      </c>
      <c r="AW249" s="483">
        <f t="shared" si="134"/>
        <v>0</v>
      </c>
      <c r="AX249" s="481">
        <f t="shared" si="135"/>
        <v>0</v>
      </c>
      <c r="AY249" s="484">
        <f t="shared" si="136"/>
        <v>0</v>
      </c>
      <c r="AZ249" s="485">
        <f t="shared" si="137"/>
        <v>2797.2</v>
      </c>
      <c r="BA249" s="481">
        <f t="shared" si="138"/>
        <v>2572.7666666666669</v>
      </c>
    </row>
    <row r="250" spans="1:53" ht="12.75" customHeight="1">
      <c r="A250" s="589" t="s">
        <v>286</v>
      </c>
      <c r="B250" s="590" t="s">
        <v>810</v>
      </c>
      <c r="C250" s="739"/>
      <c r="D250" s="599">
        <v>162557</v>
      </c>
      <c r="E250" s="593">
        <v>9</v>
      </c>
      <c r="F250" s="486" t="s">
        <v>41</v>
      </c>
      <c r="G250" s="552" t="s">
        <v>41</v>
      </c>
      <c r="H250" s="506">
        <v>1892</v>
      </c>
      <c r="I250" s="740">
        <v>1791</v>
      </c>
      <c r="J250" s="741">
        <v>52773</v>
      </c>
      <c r="K250" s="740">
        <v>55302</v>
      </c>
      <c r="L250" s="741">
        <v>11702</v>
      </c>
      <c r="M250" s="740">
        <v>8111</v>
      </c>
      <c r="N250" s="741">
        <v>54083</v>
      </c>
      <c r="O250" s="740">
        <v>54280</v>
      </c>
      <c r="P250" s="479">
        <f t="shared" si="127"/>
        <v>120450</v>
      </c>
      <c r="Q250" s="480">
        <f t="shared" si="128"/>
        <v>4015</v>
      </c>
      <c r="R250" s="481">
        <f t="shared" si="129"/>
        <v>119484</v>
      </c>
      <c r="S250" s="482">
        <f t="shared" si="130"/>
        <v>3982.8</v>
      </c>
      <c r="T250" s="506"/>
      <c r="U250" s="507"/>
      <c r="V250" s="479">
        <f t="shared" si="131"/>
        <v>0</v>
      </c>
      <c r="W250" s="478">
        <f t="shared" si="132"/>
        <v>0</v>
      </c>
      <c r="X250" s="506"/>
      <c r="Y250" s="488"/>
      <c r="Z250" s="506"/>
      <c r="AA250" s="488"/>
      <c r="AB250" s="506"/>
      <c r="AC250" s="488"/>
      <c r="AD250" s="506"/>
      <c r="AE250" s="507"/>
      <c r="AF250" s="479">
        <f t="shared" si="123"/>
        <v>0</v>
      </c>
      <c r="AG250" s="480">
        <f t="shared" si="124"/>
        <v>0</v>
      </c>
      <c r="AH250" s="481">
        <f t="shared" si="125"/>
        <v>0</v>
      </c>
      <c r="AI250" s="481">
        <f t="shared" si="126"/>
        <v>0</v>
      </c>
      <c r="AJ250" s="487"/>
      <c r="AK250" s="507"/>
      <c r="AL250" s="479">
        <f t="shared" si="121"/>
        <v>0</v>
      </c>
      <c r="AM250" s="482">
        <f t="shared" si="122"/>
        <v>0</v>
      </c>
      <c r="AN250" s="506"/>
      <c r="AO250" s="742">
        <v>0</v>
      </c>
      <c r="AP250" s="741"/>
      <c r="AQ250" s="742">
        <v>0</v>
      </c>
      <c r="AR250" s="741"/>
      <c r="AS250" s="742">
        <v>0</v>
      </c>
      <c r="AT250" s="741"/>
      <c r="AU250" s="742">
        <v>0</v>
      </c>
      <c r="AV250" s="479">
        <f t="shared" si="133"/>
        <v>0</v>
      </c>
      <c r="AW250" s="483">
        <f t="shared" si="134"/>
        <v>0</v>
      </c>
      <c r="AX250" s="481">
        <f t="shared" si="135"/>
        <v>0</v>
      </c>
      <c r="AY250" s="484">
        <f t="shared" si="136"/>
        <v>0</v>
      </c>
      <c r="AZ250" s="485">
        <f t="shared" si="137"/>
        <v>4015</v>
      </c>
      <c r="BA250" s="481">
        <f t="shared" si="138"/>
        <v>3982.8</v>
      </c>
    </row>
    <row r="251" spans="1:53" ht="12.75" customHeight="1">
      <c r="A251" s="589" t="s">
        <v>286</v>
      </c>
      <c r="B251" s="590" t="s">
        <v>811</v>
      </c>
      <c r="C251" s="739"/>
      <c r="D251" s="744">
        <v>162690</v>
      </c>
      <c r="E251" s="593">
        <v>9</v>
      </c>
      <c r="F251" s="486" t="s">
        <v>41</v>
      </c>
      <c r="G251" s="552" t="s">
        <v>41</v>
      </c>
      <c r="H251" s="506"/>
      <c r="I251" s="740">
        <v>0</v>
      </c>
      <c r="J251" s="741">
        <v>40067</v>
      </c>
      <c r="K251" s="740">
        <v>40377</v>
      </c>
      <c r="L251" s="741">
        <v>12217</v>
      </c>
      <c r="M251" s="740">
        <v>12355</v>
      </c>
      <c r="N251" s="741">
        <v>43516</v>
      </c>
      <c r="O251" s="740">
        <v>42043</v>
      </c>
      <c r="P251" s="479">
        <f t="shared" si="127"/>
        <v>95800</v>
      </c>
      <c r="Q251" s="480">
        <f t="shared" si="128"/>
        <v>3193.3333333333335</v>
      </c>
      <c r="R251" s="481">
        <f t="shared" si="129"/>
        <v>94775</v>
      </c>
      <c r="S251" s="482">
        <f t="shared" si="130"/>
        <v>3159.1666666666665</v>
      </c>
      <c r="T251" s="506"/>
      <c r="U251" s="507"/>
      <c r="V251" s="479">
        <f t="shared" si="131"/>
        <v>0</v>
      </c>
      <c r="W251" s="478">
        <f t="shared" si="132"/>
        <v>0</v>
      </c>
      <c r="X251" s="506"/>
      <c r="Y251" s="488"/>
      <c r="Z251" s="506"/>
      <c r="AA251" s="488"/>
      <c r="AB251" s="506"/>
      <c r="AC251" s="488"/>
      <c r="AD251" s="506"/>
      <c r="AE251" s="507"/>
      <c r="AF251" s="479">
        <f t="shared" si="123"/>
        <v>0</v>
      </c>
      <c r="AG251" s="480">
        <f t="shared" si="124"/>
        <v>0</v>
      </c>
      <c r="AH251" s="481">
        <f t="shared" si="125"/>
        <v>0</v>
      </c>
      <c r="AI251" s="481">
        <f t="shared" si="126"/>
        <v>0</v>
      </c>
      <c r="AJ251" s="487"/>
      <c r="AK251" s="507"/>
      <c r="AL251" s="479">
        <f t="shared" si="121"/>
        <v>0</v>
      </c>
      <c r="AM251" s="482">
        <f t="shared" si="122"/>
        <v>0</v>
      </c>
      <c r="AN251" s="506"/>
      <c r="AO251" s="742">
        <v>0</v>
      </c>
      <c r="AP251" s="741"/>
      <c r="AQ251" s="742">
        <v>0</v>
      </c>
      <c r="AR251" s="741"/>
      <c r="AS251" s="742">
        <v>0</v>
      </c>
      <c r="AT251" s="741"/>
      <c r="AU251" s="742">
        <v>0</v>
      </c>
      <c r="AV251" s="479">
        <f t="shared" si="133"/>
        <v>0</v>
      </c>
      <c r="AW251" s="483">
        <f t="shared" si="134"/>
        <v>0</v>
      </c>
      <c r="AX251" s="481">
        <f t="shared" si="135"/>
        <v>0</v>
      </c>
      <c r="AY251" s="484">
        <f t="shared" si="136"/>
        <v>0</v>
      </c>
      <c r="AZ251" s="485">
        <f t="shared" si="137"/>
        <v>3193.3333333333335</v>
      </c>
      <c r="BA251" s="481">
        <f t="shared" si="138"/>
        <v>3159.1666666666665</v>
      </c>
    </row>
    <row r="252" spans="1:53" ht="12.75" customHeight="1">
      <c r="A252" s="589" t="s">
        <v>286</v>
      </c>
      <c r="B252" s="590" t="s">
        <v>812</v>
      </c>
      <c r="C252" s="739"/>
      <c r="D252" s="599">
        <v>162706</v>
      </c>
      <c r="E252" s="593">
        <v>9</v>
      </c>
      <c r="F252" s="486" t="s">
        <v>41</v>
      </c>
      <c r="G252" s="552" t="s">
        <v>41</v>
      </c>
      <c r="H252" s="506">
        <v>2342</v>
      </c>
      <c r="I252" s="740">
        <v>2300</v>
      </c>
      <c r="J252" s="741">
        <v>56942</v>
      </c>
      <c r="K252" s="740">
        <v>55039.5</v>
      </c>
      <c r="L252" s="741">
        <v>12123</v>
      </c>
      <c r="M252" s="740">
        <v>11900</v>
      </c>
      <c r="N252" s="741">
        <v>64055.5</v>
      </c>
      <c r="O252" s="740">
        <v>61796</v>
      </c>
      <c r="P252" s="479">
        <f t="shared" si="127"/>
        <v>135462.5</v>
      </c>
      <c r="Q252" s="480">
        <f t="shared" si="128"/>
        <v>4515.416666666667</v>
      </c>
      <c r="R252" s="481">
        <f t="shared" si="129"/>
        <v>131035.5</v>
      </c>
      <c r="S252" s="482">
        <f t="shared" si="130"/>
        <v>4367.8500000000004</v>
      </c>
      <c r="T252" s="506"/>
      <c r="U252" s="507"/>
      <c r="V252" s="479">
        <f t="shared" si="131"/>
        <v>0</v>
      </c>
      <c r="W252" s="478">
        <f t="shared" si="132"/>
        <v>0</v>
      </c>
      <c r="X252" s="506"/>
      <c r="Y252" s="488"/>
      <c r="Z252" s="506"/>
      <c r="AA252" s="488"/>
      <c r="AB252" s="506"/>
      <c r="AC252" s="488"/>
      <c r="AD252" s="506"/>
      <c r="AE252" s="507"/>
      <c r="AF252" s="479">
        <f t="shared" si="123"/>
        <v>0</v>
      </c>
      <c r="AG252" s="480">
        <f t="shared" si="124"/>
        <v>0</v>
      </c>
      <c r="AH252" s="481">
        <f t="shared" si="125"/>
        <v>0</v>
      </c>
      <c r="AI252" s="481">
        <f t="shared" si="126"/>
        <v>0</v>
      </c>
      <c r="AJ252" s="487"/>
      <c r="AK252" s="507"/>
      <c r="AL252" s="479">
        <f t="shared" si="121"/>
        <v>0</v>
      </c>
      <c r="AM252" s="482">
        <f t="shared" si="122"/>
        <v>0</v>
      </c>
      <c r="AN252" s="506"/>
      <c r="AO252" s="742">
        <v>0</v>
      </c>
      <c r="AP252" s="741"/>
      <c r="AQ252" s="742">
        <v>0</v>
      </c>
      <c r="AR252" s="741"/>
      <c r="AS252" s="742">
        <v>0</v>
      </c>
      <c r="AT252" s="741"/>
      <c r="AU252" s="742">
        <v>0</v>
      </c>
      <c r="AV252" s="479">
        <f t="shared" si="133"/>
        <v>0</v>
      </c>
      <c r="AW252" s="483">
        <f t="shared" si="134"/>
        <v>0</v>
      </c>
      <c r="AX252" s="481">
        <f t="shared" si="135"/>
        <v>0</v>
      </c>
      <c r="AY252" s="484">
        <f t="shared" si="136"/>
        <v>0</v>
      </c>
      <c r="AZ252" s="485">
        <f t="shared" si="137"/>
        <v>4515.416666666667</v>
      </c>
      <c r="BA252" s="481">
        <f t="shared" si="138"/>
        <v>4367.8500000000004</v>
      </c>
    </row>
    <row r="253" spans="1:53" ht="12.75" customHeight="1">
      <c r="A253" s="589" t="s">
        <v>286</v>
      </c>
      <c r="B253" s="746" t="s">
        <v>813</v>
      </c>
      <c r="C253" s="747"/>
      <c r="D253" s="592">
        <v>164313</v>
      </c>
      <c r="E253" s="593">
        <v>9</v>
      </c>
      <c r="F253" s="486" t="s">
        <v>41</v>
      </c>
      <c r="G253" s="552" t="s">
        <v>41</v>
      </c>
      <c r="H253" s="506"/>
      <c r="I253" s="740">
        <v>0</v>
      </c>
      <c r="J253" s="741">
        <v>31440</v>
      </c>
      <c r="K253" s="740">
        <v>27327.5</v>
      </c>
      <c r="L253" s="741">
        <v>6593</v>
      </c>
      <c r="M253" s="740">
        <v>6549</v>
      </c>
      <c r="N253" s="741">
        <v>33457.5</v>
      </c>
      <c r="O253" s="740">
        <v>30520.5</v>
      </c>
      <c r="P253" s="479">
        <f t="shared" si="127"/>
        <v>71490.5</v>
      </c>
      <c r="Q253" s="480">
        <f t="shared" si="128"/>
        <v>2383.0166666666669</v>
      </c>
      <c r="R253" s="481">
        <f t="shared" si="129"/>
        <v>64397</v>
      </c>
      <c r="S253" s="482">
        <f t="shared" si="130"/>
        <v>2146.5666666666666</v>
      </c>
      <c r="T253" s="506"/>
      <c r="U253" s="507"/>
      <c r="V253" s="479">
        <f t="shared" si="131"/>
        <v>0</v>
      </c>
      <c r="W253" s="478">
        <f t="shared" si="132"/>
        <v>0</v>
      </c>
      <c r="X253" s="506"/>
      <c r="Y253" s="488"/>
      <c r="Z253" s="506"/>
      <c r="AA253" s="488"/>
      <c r="AB253" s="506"/>
      <c r="AC253" s="488"/>
      <c r="AD253" s="506"/>
      <c r="AE253" s="507"/>
      <c r="AF253" s="479">
        <f t="shared" si="123"/>
        <v>0</v>
      </c>
      <c r="AG253" s="480">
        <f t="shared" si="124"/>
        <v>0</v>
      </c>
      <c r="AH253" s="481">
        <f t="shared" si="125"/>
        <v>0</v>
      </c>
      <c r="AI253" s="481">
        <f t="shared" si="126"/>
        <v>0</v>
      </c>
      <c r="AJ253" s="487"/>
      <c r="AK253" s="507"/>
      <c r="AL253" s="479">
        <f t="shared" si="121"/>
        <v>0</v>
      </c>
      <c r="AM253" s="482">
        <f t="shared" si="122"/>
        <v>0</v>
      </c>
      <c r="AN253" s="506"/>
      <c r="AO253" s="742">
        <v>0</v>
      </c>
      <c r="AP253" s="741"/>
      <c r="AQ253" s="742">
        <v>0</v>
      </c>
      <c r="AR253" s="741"/>
      <c r="AS253" s="742">
        <v>0</v>
      </c>
      <c r="AT253" s="741"/>
      <c r="AU253" s="742">
        <v>0</v>
      </c>
      <c r="AV253" s="479">
        <f t="shared" si="133"/>
        <v>0</v>
      </c>
      <c r="AW253" s="483">
        <f t="shared" si="134"/>
        <v>0</v>
      </c>
      <c r="AX253" s="481">
        <f t="shared" si="135"/>
        <v>0</v>
      </c>
      <c r="AY253" s="484">
        <f t="shared" si="136"/>
        <v>0</v>
      </c>
      <c r="AZ253" s="485">
        <f t="shared" si="137"/>
        <v>2383.0166666666669</v>
      </c>
      <c r="BA253" s="481">
        <f t="shared" si="138"/>
        <v>2146.5666666666666</v>
      </c>
    </row>
    <row r="254" spans="1:53" ht="12.75" customHeight="1">
      <c r="A254" s="589" t="s">
        <v>286</v>
      </c>
      <c r="B254" s="590" t="s">
        <v>814</v>
      </c>
      <c r="C254" s="739"/>
      <c r="D254" s="599">
        <v>162104</v>
      </c>
      <c r="E254" s="593">
        <v>10</v>
      </c>
      <c r="F254" s="486" t="s">
        <v>41</v>
      </c>
      <c r="G254" s="552" t="s">
        <v>41</v>
      </c>
      <c r="H254" s="506"/>
      <c r="I254" s="740">
        <v>0</v>
      </c>
      <c r="J254" s="741">
        <v>21772</v>
      </c>
      <c r="K254" s="740">
        <v>21953.5</v>
      </c>
      <c r="L254" s="741">
        <v>3982</v>
      </c>
      <c r="M254" s="740">
        <v>3578</v>
      </c>
      <c r="N254" s="741">
        <v>25100</v>
      </c>
      <c r="O254" s="740">
        <v>23755</v>
      </c>
      <c r="P254" s="479">
        <f t="shared" si="127"/>
        <v>50854</v>
      </c>
      <c r="Q254" s="480">
        <f t="shared" si="128"/>
        <v>1695.1333333333334</v>
      </c>
      <c r="R254" s="481">
        <f t="shared" si="129"/>
        <v>49286.5</v>
      </c>
      <c r="S254" s="482">
        <f t="shared" si="130"/>
        <v>1642.8833333333334</v>
      </c>
      <c r="T254" s="506"/>
      <c r="U254" s="507"/>
      <c r="V254" s="479">
        <f t="shared" si="131"/>
        <v>0</v>
      </c>
      <c r="W254" s="478">
        <f t="shared" si="132"/>
        <v>0</v>
      </c>
      <c r="X254" s="506"/>
      <c r="Y254" s="488"/>
      <c r="Z254" s="506"/>
      <c r="AA254" s="488"/>
      <c r="AB254" s="506"/>
      <c r="AC254" s="488"/>
      <c r="AD254" s="506"/>
      <c r="AE254" s="507"/>
      <c r="AF254" s="479">
        <f t="shared" si="123"/>
        <v>0</v>
      </c>
      <c r="AG254" s="480">
        <f t="shared" si="124"/>
        <v>0</v>
      </c>
      <c r="AH254" s="481">
        <f t="shared" si="125"/>
        <v>0</v>
      </c>
      <c r="AI254" s="481">
        <f t="shared" si="126"/>
        <v>0</v>
      </c>
      <c r="AJ254" s="487"/>
      <c r="AK254" s="507"/>
      <c r="AL254" s="479">
        <f t="shared" si="121"/>
        <v>0</v>
      </c>
      <c r="AM254" s="482">
        <f t="shared" si="122"/>
        <v>0</v>
      </c>
      <c r="AN254" s="506"/>
      <c r="AO254" s="742">
        <v>0</v>
      </c>
      <c r="AP254" s="741"/>
      <c r="AQ254" s="742">
        <v>0</v>
      </c>
      <c r="AR254" s="741"/>
      <c r="AS254" s="742">
        <v>0</v>
      </c>
      <c r="AT254" s="741"/>
      <c r="AU254" s="742">
        <v>0</v>
      </c>
      <c r="AV254" s="479">
        <f t="shared" si="133"/>
        <v>0</v>
      </c>
      <c r="AW254" s="483">
        <f t="shared" si="134"/>
        <v>0</v>
      </c>
      <c r="AX254" s="481">
        <f t="shared" si="135"/>
        <v>0</v>
      </c>
      <c r="AY254" s="484">
        <f t="shared" si="136"/>
        <v>0</v>
      </c>
      <c r="AZ254" s="485">
        <f t="shared" si="137"/>
        <v>1695.1333333333334</v>
      </c>
      <c r="BA254" s="481">
        <f t="shared" si="138"/>
        <v>1642.8833333333334</v>
      </c>
    </row>
    <row r="255" spans="1:53" ht="12.75" customHeight="1">
      <c r="A255" s="589" t="s">
        <v>286</v>
      </c>
      <c r="B255" s="590" t="s">
        <v>815</v>
      </c>
      <c r="C255" s="739"/>
      <c r="D255" s="599">
        <v>162168</v>
      </c>
      <c r="E255" s="593">
        <v>10</v>
      </c>
      <c r="F255" s="486" t="s">
        <v>41</v>
      </c>
      <c r="G255" s="552" t="s">
        <v>41</v>
      </c>
      <c r="H255" s="506"/>
      <c r="I255" s="740">
        <v>0</v>
      </c>
      <c r="J255" s="741">
        <v>23661</v>
      </c>
      <c r="K255" s="740">
        <v>20307</v>
      </c>
      <c r="L255" s="741">
        <v>2911</v>
      </c>
      <c r="M255" s="740">
        <v>2704</v>
      </c>
      <c r="N255" s="741">
        <v>23263</v>
      </c>
      <c r="O255" s="740">
        <v>22231</v>
      </c>
      <c r="P255" s="479">
        <f t="shared" si="127"/>
        <v>49835</v>
      </c>
      <c r="Q255" s="480">
        <f t="shared" si="128"/>
        <v>1661.1666666666667</v>
      </c>
      <c r="R255" s="481">
        <f t="shared" si="129"/>
        <v>45242</v>
      </c>
      <c r="S255" s="482">
        <f t="shared" si="130"/>
        <v>1508.0666666666666</v>
      </c>
      <c r="T255" s="506"/>
      <c r="U255" s="507"/>
      <c r="V255" s="479">
        <f t="shared" si="131"/>
        <v>0</v>
      </c>
      <c r="W255" s="478">
        <f t="shared" si="132"/>
        <v>0</v>
      </c>
      <c r="X255" s="506"/>
      <c r="Y255" s="488"/>
      <c r="Z255" s="506"/>
      <c r="AA255" s="488"/>
      <c r="AB255" s="506"/>
      <c r="AC255" s="488"/>
      <c r="AD255" s="506"/>
      <c r="AE255" s="507"/>
      <c r="AF255" s="479">
        <f t="shared" si="123"/>
        <v>0</v>
      </c>
      <c r="AG255" s="480">
        <f t="shared" si="124"/>
        <v>0</v>
      </c>
      <c r="AH255" s="481">
        <f t="shared" si="125"/>
        <v>0</v>
      </c>
      <c r="AI255" s="481">
        <f t="shared" si="126"/>
        <v>0</v>
      </c>
      <c r="AJ255" s="487"/>
      <c r="AK255" s="507"/>
      <c r="AL255" s="479">
        <f t="shared" si="121"/>
        <v>0</v>
      </c>
      <c r="AM255" s="482">
        <f t="shared" si="122"/>
        <v>0</v>
      </c>
      <c r="AN255" s="506"/>
      <c r="AO255" s="742">
        <v>0</v>
      </c>
      <c r="AP255" s="741"/>
      <c r="AQ255" s="742">
        <v>0</v>
      </c>
      <c r="AR255" s="741"/>
      <c r="AS255" s="742">
        <v>0</v>
      </c>
      <c r="AT255" s="741"/>
      <c r="AU255" s="742">
        <v>0</v>
      </c>
      <c r="AV255" s="479">
        <f t="shared" si="133"/>
        <v>0</v>
      </c>
      <c r="AW255" s="483">
        <f t="shared" si="134"/>
        <v>0</v>
      </c>
      <c r="AX255" s="481">
        <f t="shared" si="135"/>
        <v>0</v>
      </c>
      <c r="AY255" s="484">
        <f t="shared" si="136"/>
        <v>0</v>
      </c>
      <c r="AZ255" s="485">
        <f t="shared" si="137"/>
        <v>1661.1666666666667</v>
      </c>
      <c r="BA255" s="481">
        <f t="shared" si="138"/>
        <v>1508.0666666666666</v>
      </c>
    </row>
    <row r="256" spans="1:53">
      <c r="A256" s="589" t="s">
        <v>286</v>
      </c>
      <c r="B256" s="590" t="s">
        <v>816</v>
      </c>
      <c r="C256" s="739"/>
      <c r="D256" s="599">
        <v>162609</v>
      </c>
      <c r="E256" s="593">
        <v>10</v>
      </c>
      <c r="F256" s="486" t="s">
        <v>41</v>
      </c>
      <c r="G256" s="552" t="s">
        <v>41</v>
      </c>
      <c r="H256" s="506">
        <v>138</v>
      </c>
      <c r="I256" s="740">
        <v>81</v>
      </c>
      <c r="J256" s="741">
        <v>10167</v>
      </c>
      <c r="K256" s="740">
        <v>9013</v>
      </c>
      <c r="L256" s="741">
        <v>617</v>
      </c>
      <c r="M256" s="740">
        <v>596</v>
      </c>
      <c r="N256" s="741">
        <v>10956</v>
      </c>
      <c r="O256" s="740">
        <v>9812</v>
      </c>
      <c r="P256" s="479">
        <f t="shared" si="127"/>
        <v>21878</v>
      </c>
      <c r="Q256" s="480">
        <f t="shared" si="128"/>
        <v>729.26666666666665</v>
      </c>
      <c r="R256" s="481">
        <f t="shared" si="129"/>
        <v>19502</v>
      </c>
      <c r="S256" s="482">
        <f t="shared" si="130"/>
        <v>650.06666666666672</v>
      </c>
      <c r="T256" s="506"/>
      <c r="U256" s="507"/>
      <c r="V256" s="479">
        <f t="shared" si="131"/>
        <v>0</v>
      </c>
      <c r="W256" s="478">
        <f t="shared" si="132"/>
        <v>0</v>
      </c>
      <c r="X256" s="506"/>
      <c r="Y256" s="488"/>
      <c r="Z256" s="506"/>
      <c r="AA256" s="488"/>
      <c r="AB256" s="506"/>
      <c r="AC256" s="488"/>
      <c r="AD256" s="506"/>
      <c r="AE256" s="507"/>
      <c r="AF256" s="479">
        <f t="shared" si="123"/>
        <v>0</v>
      </c>
      <c r="AG256" s="480">
        <f t="shared" si="124"/>
        <v>0</v>
      </c>
      <c r="AH256" s="481">
        <f t="shared" si="125"/>
        <v>0</v>
      </c>
      <c r="AI256" s="481">
        <f t="shared" si="126"/>
        <v>0</v>
      </c>
      <c r="AJ256" s="487"/>
      <c r="AK256" s="507"/>
      <c r="AL256" s="479">
        <f t="shared" si="121"/>
        <v>0</v>
      </c>
      <c r="AM256" s="482">
        <f t="shared" si="122"/>
        <v>0</v>
      </c>
      <c r="AN256" s="506"/>
      <c r="AO256" s="742">
        <v>0</v>
      </c>
      <c r="AP256" s="741"/>
      <c r="AQ256" s="742">
        <v>0</v>
      </c>
      <c r="AR256" s="741"/>
      <c r="AS256" s="742">
        <v>0</v>
      </c>
      <c r="AT256" s="741"/>
      <c r="AU256" s="742">
        <v>0</v>
      </c>
      <c r="AV256" s="479">
        <f t="shared" si="133"/>
        <v>0</v>
      </c>
      <c r="AW256" s="483">
        <f t="shared" si="134"/>
        <v>0</v>
      </c>
      <c r="AX256" s="481">
        <f t="shared" si="135"/>
        <v>0</v>
      </c>
      <c r="AY256" s="484">
        <f t="shared" si="136"/>
        <v>0</v>
      </c>
      <c r="AZ256" s="485">
        <f t="shared" si="137"/>
        <v>729.26666666666665</v>
      </c>
      <c r="BA256" s="481">
        <f t="shared" si="138"/>
        <v>650.06666666666672</v>
      </c>
    </row>
    <row r="257" spans="1:53">
      <c r="A257" s="574" t="s">
        <v>270</v>
      </c>
      <c r="B257" s="549" t="s">
        <v>381</v>
      </c>
      <c r="C257" s="575"/>
      <c r="D257" s="548">
        <v>176080</v>
      </c>
      <c r="E257" s="548">
        <v>1</v>
      </c>
      <c r="F257" s="486" t="s">
        <v>41</v>
      </c>
      <c r="G257" s="529"/>
      <c r="H257" s="506"/>
      <c r="I257" s="488"/>
      <c r="J257" s="506">
        <v>196347</v>
      </c>
      <c r="K257" s="488">
        <v>195541</v>
      </c>
      <c r="L257" s="506">
        <v>36323</v>
      </c>
      <c r="M257" s="488">
        <v>32796</v>
      </c>
      <c r="N257" s="506">
        <v>216576</v>
      </c>
      <c r="O257" s="488">
        <v>218812</v>
      </c>
      <c r="P257" s="479">
        <f t="shared" si="127"/>
        <v>449246</v>
      </c>
      <c r="Q257" s="480">
        <f t="shared" si="128"/>
        <v>14974.866666666667</v>
      </c>
      <c r="R257" s="481">
        <f t="shared" si="129"/>
        <v>447149</v>
      </c>
      <c r="S257" s="482">
        <f t="shared" si="130"/>
        <v>14904.966666666667</v>
      </c>
      <c r="T257" s="506"/>
      <c r="U257" s="507"/>
      <c r="V257" s="479">
        <f t="shared" si="131"/>
        <v>0</v>
      </c>
      <c r="W257" s="478">
        <f t="shared" si="132"/>
        <v>0</v>
      </c>
      <c r="X257" s="506"/>
      <c r="Y257" s="488"/>
      <c r="Z257" s="506"/>
      <c r="AA257" s="488"/>
      <c r="AB257" s="506"/>
      <c r="AC257" s="488"/>
      <c r="AD257" s="506"/>
      <c r="AE257" s="507"/>
      <c r="AF257" s="479">
        <f t="shared" si="123"/>
        <v>0</v>
      </c>
      <c r="AG257" s="480">
        <f t="shared" si="124"/>
        <v>0</v>
      </c>
      <c r="AH257" s="481">
        <f t="shared" si="125"/>
        <v>0</v>
      </c>
      <c r="AI257" s="481">
        <f t="shared" si="126"/>
        <v>0</v>
      </c>
      <c r="AJ257" s="487"/>
      <c r="AK257" s="507"/>
      <c r="AL257" s="479">
        <f t="shared" si="121"/>
        <v>0</v>
      </c>
      <c r="AM257" s="482">
        <f t="shared" si="122"/>
        <v>0</v>
      </c>
      <c r="AN257" s="487"/>
      <c r="AO257" s="488"/>
      <c r="AP257" s="487">
        <v>24919</v>
      </c>
      <c r="AQ257" s="488">
        <v>23516</v>
      </c>
      <c r="AR257" s="487">
        <v>12620</v>
      </c>
      <c r="AS257" s="488">
        <v>11552</v>
      </c>
      <c r="AT257" s="487">
        <v>24917</v>
      </c>
      <c r="AU257" s="488">
        <v>23425</v>
      </c>
      <c r="AV257" s="479">
        <f t="shared" si="133"/>
        <v>62456</v>
      </c>
      <c r="AW257" s="483">
        <f t="shared" si="134"/>
        <v>2602.3333333333335</v>
      </c>
      <c r="AX257" s="481">
        <f t="shared" si="135"/>
        <v>58493</v>
      </c>
      <c r="AY257" s="484">
        <f t="shared" si="136"/>
        <v>2437.2083333333335</v>
      </c>
      <c r="AZ257" s="485">
        <f t="shared" si="137"/>
        <v>17577.2</v>
      </c>
      <c r="BA257" s="481">
        <f t="shared" si="138"/>
        <v>17342.174999999999</v>
      </c>
    </row>
    <row r="258" spans="1:53">
      <c r="A258" s="574" t="s">
        <v>270</v>
      </c>
      <c r="B258" s="549" t="s">
        <v>382</v>
      </c>
      <c r="C258" s="576"/>
      <c r="D258" s="548">
        <v>176372</v>
      </c>
      <c r="E258" s="548">
        <v>1</v>
      </c>
      <c r="F258" s="486" t="s">
        <v>41</v>
      </c>
      <c r="G258" s="529"/>
      <c r="H258" s="506"/>
      <c r="I258" s="488"/>
      <c r="J258" s="506">
        <v>150178</v>
      </c>
      <c r="K258" s="488">
        <v>160644</v>
      </c>
      <c r="L258" s="506">
        <v>30038</v>
      </c>
      <c r="M258" s="488">
        <v>29078</v>
      </c>
      <c r="N258" s="506">
        <v>170608</v>
      </c>
      <c r="O258" s="488">
        <v>174255</v>
      </c>
      <c r="P258" s="479">
        <f t="shared" si="127"/>
        <v>350824</v>
      </c>
      <c r="Q258" s="480">
        <f t="shared" si="128"/>
        <v>11694.133333333333</v>
      </c>
      <c r="R258" s="481">
        <f t="shared" si="129"/>
        <v>363977</v>
      </c>
      <c r="S258" s="482">
        <f t="shared" si="130"/>
        <v>12132.566666666668</v>
      </c>
      <c r="T258" s="506"/>
      <c r="U258" s="507"/>
      <c r="V258" s="479">
        <f t="shared" si="131"/>
        <v>0</v>
      </c>
      <c r="W258" s="478">
        <f t="shared" si="132"/>
        <v>0</v>
      </c>
      <c r="X258" s="506"/>
      <c r="Y258" s="488"/>
      <c r="Z258" s="506"/>
      <c r="AA258" s="488"/>
      <c r="AB258" s="506"/>
      <c r="AC258" s="488"/>
      <c r="AD258" s="506"/>
      <c r="AE258" s="507"/>
      <c r="AF258" s="479">
        <f t="shared" si="123"/>
        <v>0</v>
      </c>
      <c r="AG258" s="480">
        <f t="shared" si="124"/>
        <v>0</v>
      </c>
      <c r="AH258" s="481">
        <f t="shared" si="125"/>
        <v>0</v>
      </c>
      <c r="AI258" s="481">
        <f t="shared" si="126"/>
        <v>0</v>
      </c>
      <c r="AJ258" s="487"/>
      <c r="AK258" s="507"/>
      <c r="AL258" s="479">
        <f t="shared" si="121"/>
        <v>0</v>
      </c>
      <c r="AM258" s="482">
        <f t="shared" si="122"/>
        <v>0</v>
      </c>
      <c r="AN258" s="487"/>
      <c r="AO258" s="488"/>
      <c r="AP258" s="487">
        <v>21686</v>
      </c>
      <c r="AQ258" s="488">
        <v>20955</v>
      </c>
      <c r="AR258" s="487">
        <v>11229</v>
      </c>
      <c r="AS258" s="488">
        <v>11220</v>
      </c>
      <c r="AT258" s="487">
        <v>21913</v>
      </c>
      <c r="AU258" s="488">
        <v>23386</v>
      </c>
      <c r="AV258" s="479">
        <f t="shared" si="133"/>
        <v>54828</v>
      </c>
      <c r="AW258" s="483">
        <f t="shared" si="134"/>
        <v>2284.5</v>
      </c>
      <c r="AX258" s="481">
        <f t="shared" si="135"/>
        <v>55561</v>
      </c>
      <c r="AY258" s="484">
        <f t="shared" si="136"/>
        <v>2315.0416666666665</v>
      </c>
      <c r="AZ258" s="485">
        <f t="shared" si="137"/>
        <v>13978.633333333333</v>
      </c>
      <c r="BA258" s="481">
        <f t="shared" si="138"/>
        <v>14447.608333333334</v>
      </c>
    </row>
    <row r="259" spans="1:53">
      <c r="A259" s="574" t="s">
        <v>270</v>
      </c>
      <c r="B259" s="549" t="s">
        <v>383</v>
      </c>
      <c r="C259" s="575"/>
      <c r="D259" s="548">
        <v>175856</v>
      </c>
      <c r="E259" s="548">
        <v>2</v>
      </c>
      <c r="F259" s="486" t="s">
        <v>41</v>
      </c>
      <c r="G259" s="529"/>
      <c r="H259" s="506"/>
      <c r="I259" s="488"/>
      <c r="J259" s="506">
        <v>75959.5</v>
      </c>
      <c r="K259" s="488">
        <v>73905</v>
      </c>
      <c r="L259" s="506">
        <v>13757</v>
      </c>
      <c r="M259" s="488">
        <v>12104</v>
      </c>
      <c r="N259" s="506">
        <v>75741</v>
      </c>
      <c r="O259" s="488">
        <v>78361</v>
      </c>
      <c r="P259" s="479">
        <f t="shared" si="127"/>
        <v>165457.5</v>
      </c>
      <c r="Q259" s="480">
        <f t="shared" si="128"/>
        <v>5515.25</v>
      </c>
      <c r="R259" s="481">
        <f t="shared" si="129"/>
        <v>164370</v>
      </c>
      <c r="S259" s="482">
        <f t="shared" si="130"/>
        <v>5479</v>
      </c>
      <c r="T259" s="506"/>
      <c r="U259" s="507"/>
      <c r="V259" s="479">
        <f t="shared" si="131"/>
        <v>0</v>
      </c>
      <c r="W259" s="478">
        <f t="shared" si="132"/>
        <v>0</v>
      </c>
      <c r="X259" s="506"/>
      <c r="Y259" s="488"/>
      <c r="Z259" s="506"/>
      <c r="AA259" s="488"/>
      <c r="AB259" s="506"/>
      <c r="AC259" s="488"/>
      <c r="AD259" s="506"/>
      <c r="AE259" s="507"/>
      <c r="AF259" s="479">
        <f t="shared" si="123"/>
        <v>0</v>
      </c>
      <c r="AG259" s="480">
        <f t="shared" si="124"/>
        <v>0</v>
      </c>
      <c r="AH259" s="481">
        <f t="shared" si="125"/>
        <v>0</v>
      </c>
      <c r="AI259" s="481">
        <f t="shared" si="126"/>
        <v>0</v>
      </c>
      <c r="AJ259" s="487"/>
      <c r="AK259" s="507"/>
      <c r="AL259" s="479">
        <f t="shared" si="121"/>
        <v>0</v>
      </c>
      <c r="AM259" s="482">
        <f t="shared" si="122"/>
        <v>0</v>
      </c>
      <c r="AN259" s="487"/>
      <c r="AO259" s="488"/>
      <c r="AP259" s="487">
        <v>13819.5</v>
      </c>
      <c r="AQ259" s="488">
        <v>13982</v>
      </c>
      <c r="AR259" s="487">
        <v>5530.5</v>
      </c>
      <c r="AS259" s="488">
        <v>4814</v>
      </c>
      <c r="AT259" s="487">
        <v>14254</v>
      </c>
      <c r="AU259" s="488">
        <v>14907</v>
      </c>
      <c r="AV259" s="479">
        <f t="shared" si="133"/>
        <v>33604</v>
      </c>
      <c r="AW259" s="483">
        <f t="shared" si="134"/>
        <v>1400.1666666666667</v>
      </c>
      <c r="AX259" s="481">
        <f t="shared" si="135"/>
        <v>33703</v>
      </c>
      <c r="AY259" s="484">
        <f t="shared" si="136"/>
        <v>1404.2916666666667</v>
      </c>
      <c r="AZ259" s="485">
        <f t="shared" si="137"/>
        <v>6915.416666666667</v>
      </c>
      <c r="BA259" s="481">
        <f t="shared" si="138"/>
        <v>6883.291666666667</v>
      </c>
    </row>
    <row r="260" spans="1:53">
      <c r="A260" s="574" t="s">
        <v>270</v>
      </c>
      <c r="B260" s="549" t="s">
        <v>384</v>
      </c>
      <c r="C260" s="576"/>
      <c r="D260" s="548">
        <v>176017</v>
      </c>
      <c r="E260" s="548">
        <v>2</v>
      </c>
      <c r="F260" s="486" t="s">
        <v>41</v>
      </c>
      <c r="G260" s="529"/>
      <c r="H260" s="506"/>
      <c r="I260" s="488"/>
      <c r="J260" s="506">
        <v>202880</v>
      </c>
      <c r="K260" s="488">
        <v>206851</v>
      </c>
      <c r="L260" s="506">
        <v>43436</v>
      </c>
      <c r="M260" s="488">
        <v>40669</v>
      </c>
      <c r="N260" s="506">
        <v>216740</v>
      </c>
      <c r="O260" s="488">
        <v>224583</v>
      </c>
      <c r="P260" s="479">
        <f t="shared" si="127"/>
        <v>463056</v>
      </c>
      <c r="Q260" s="480">
        <f t="shared" si="128"/>
        <v>15435.2</v>
      </c>
      <c r="R260" s="481">
        <f t="shared" si="129"/>
        <v>472103</v>
      </c>
      <c r="S260" s="482">
        <f t="shared" si="130"/>
        <v>15736.766666666666</v>
      </c>
      <c r="T260" s="506"/>
      <c r="U260" s="507"/>
      <c r="V260" s="479">
        <f t="shared" si="131"/>
        <v>0</v>
      </c>
      <c r="W260" s="478">
        <f t="shared" si="132"/>
        <v>0</v>
      </c>
      <c r="X260" s="506"/>
      <c r="Y260" s="488"/>
      <c r="Z260" s="506"/>
      <c r="AA260" s="488"/>
      <c r="AB260" s="506"/>
      <c r="AC260" s="488"/>
      <c r="AD260" s="506"/>
      <c r="AE260" s="507"/>
      <c r="AF260" s="479">
        <f t="shared" si="123"/>
        <v>0</v>
      </c>
      <c r="AG260" s="480">
        <f t="shared" si="124"/>
        <v>0</v>
      </c>
      <c r="AH260" s="481">
        <f t="shared" si="125"/>
        <v>0</v>
      </c>
      <c r="AI260" s="481">
        <f t="shared" si="126"/>
        <v>0</v>
      </c>
      <c r="AJ260" s="487"/>
      <c r="AK260" s="507"/>
      <c r="AL260" s="479">
        <f t="shared" si="121"/>
        <v>0</v>
      </c>
      <c r="AM260" s="482">
        <f t="shared" si="122"/>
        <v>0</v>
      </c>
      <c r="AN260" s="487"/>
      <c r="AO260" s="488"/>
      <c r="AP260" s="487">
        <v>24706</v>
      </c>
      <c r="AQ260" s="488">
        <v>27746</v>
      </c>
      <c r="AR260" s="487">
        <v>9335</v>
      </c>
      <c r="AS260" s="488">
        <v>10107</v>
      </c>
      <c r="AT260" s="487">
        <v>24013</v>
      </c>
      <c r="AU260" s="488">
        <v>27276</v>
      </c>
      <c r="AV260" s="479">
        <f t="shared" si="133"/>
        <v>58054</v>
      </c>
      <c r="AW260" s="483">
        <f t="shared" si="134"/>
        <v>2418.9166666666665</v>
      </c>
      <c r="AX260" s="481">
        <f t="shared" si="135"/>
        <v>65129</v>
      </c>
      <c r="AY260" s="484">
        <f t="shared" si="136"/>
        <v>2713.7083333333335</v>
      </c>
      <c r="AZ260" s="485">
        <f t="shared" si="137"/>
        <v>17854.116666666669</v>
      </c>
      <c r="BA260" s="481">
        <f t="shared" si="138"/>
        <v>18450.474999999999</v>
      </c>
    </row>
    <row r="261" spans="1:53">
      <c r="A261" s="574" t="s">
        <v>270</v>
      </c>
      <c r="B261" s="549" t="s">
        <v>385</v>
      </c>
      <c r="C261" s="575"/>
      <c r="D261" s="548">
        <v>175342</v>
      </c>
      <c r="E261" s="548">
        <v>4</v>
      </c>
      <c r="F261" s="486" t="s">
        <v>41</v>
      </c>
      <c r="G261" s="529"/>
      <c r="H261" s="506"/>
      <c r="I261" s="488"/>
      <c r="J261" s="506">
        <v>39157</v>
      </c>
      <c r="K261" s="488">
        <v>38769</v>
      </c>
      <c r="L261" s="506">
        <v>8426</v>
      </c>
      <c r="M261" s="488">
        <v>6567</v>
      </c>
      <c r="N261" s="506">
        <v>42493</v>
      </c>
      <c r="O261" s="488">
        <v>40951</v>
      </c>
      <c r="P261" s="479">
        <f t="shared" si="127"/>
        <v>90076</v>
      </c>
      <c r="Q261" s="480">
        <f t="shared" si="128"/>
        <v>3002.5333333333333</v>
      </c>
      <c r="R261" s="481">
        <f t="shared" si="129"/>
        <v>86287</v>
      </c>
      <c r="S261" s="482">
        <f t="shared" si="130"/>
        <v>2876.2333333333331</v>
      </c>
      <c r="T261" s="506"/>
      <c r="U261" s="507"/>
      <c r="V261" s="479">
        <f t="shared" si="131"/>
        <v>0</v>
      </c>
      <c r="W261" s="478">
        <f t="shared" si="132"/>
        <v>0</v>
      </c>
      <c r="X261" s="506"/>
      <c r="Y261" s="488"/>
      <c r="Z261" s="506"/>
      <c r="AA261" s="488"/>
      <c r="AB261" s="506"/>
      <c r="AC261" s="488"/>
      <c r="AD261" s="506"/>
      <c r="AE261" s="507"/>
      <c r="AF261" s="479">
        <f t="shared" si="123"/>
        <v>0</v>
      </c>
      <c r="AG261" s="480">
        <f t="shared" si="124"/>
        <v>0</v>
      </c>
      <c r="AH261" s="481">
        <f t="shared" si="125"/>
        <v>0</v>
      </c>
      <c r="AI261" s="481">
        <f t="shared" si="126"/>
        <v>0</v>
      </c>
      <c r="AJ261" s="487"/>
      <c r="AK261" s="507"/>
      <c r="AL261" s="479">
        <f t="shared" si="121"/>
        <v>0</v>
      </c>
      <c r="AM261" s="482">
        <f t="shared" si="122"/>
        <v>0</v>
      </c>
      <c r="AN261" s="487"/>
      <c r="AO261" s="488"/>
      <c r="AP261" s="487">
        <v>4792</v>
      </c>
      <c r="AQ261" s="488">
        <v>4614</v>
      </c>
      <c r="AR261" s="487">
        <v>1993</v>
      </c>
      <c r="AS261" s="488">
        <v>1408</v>
      </c>
      <c r="AT261" s="487">
        <v>5133</v>
      </c>
      <c r="AU261" s="488">
        <v>4452</v>
      </c>
      <c r="AV261" s="479">
        <f t="shared" si="133"/>
        <v>11918</v>
      </c>
      <c r="AW261" s="483">
        <f t="shared" si="134"/>
        <v>496.58333333333331</v>
      </c>
      <c r="AX261" s="481">
        <f t="shared" si="135"/>
        <v>10474</v>
      </c>
      <c r="AY261" s="484">
        <f t="shared" si="136"/>
        <v>436.41666666666669</v>
      </c>
      <c r="AZ261" s="485">
        <f t="shared" si="137"/>
        <v>3499.1166666666668</v>
      </c>
      <c r="BA261" s="481">
        <f t="shared" si="138"/>
        <v>3312.6499999999996</v>
      </c>
    </row>
    <row r="262" spans="1:53">
      <c r="A262" s="574" t="s">
        <v>270</v>
      </c>
      <c r="B262" s="549" t="s">
        <v>386</v>
      </c>
      <c r="C262" s="575"/>
      <c r="D262" s="548">
        <v>175616</v>
      </c>
      <c r="E262" s="548">
        <v>4</v>
      </c>
      <c r="F262" s="486" t="s">
        <v>41</v>
      </c>
      <c r="G262" s="529"/>
      <c r="H262" s="506"/>
      <c r="I262" s="488"/>
      <c r="J262" s="506">
        <v>32117</v>
      </c>
      <c r="K262" s="488">
        <v>29971</v>
      </c>
      <c r="L262" s="506">
        <v>5632</v>
      </c>
      <c r="M262" s="488">
        <v>4600</v>
      </c>
      <c r="N262" s="506">
        <v>33378</v>
      </c>
      <c r="O262" s="488">
        <v>33137</v>
      </c>
      <c r="P262" s="479">
        <f t="shared" si="127"/>
        <v>71127</v>
      </c>
      <c r="Q262" s="480">
        <f t="shared" si="128"/>
        <v>2370.9</v>
      </c>
      <c r="R262" s="481">
        <f t="shared" si="129"/>
        <v>67708</v>
      </c>
      <c r="S262" s="482">
        <f t="shared" si="130"/>
        <v>2256.9333333333334</v>
      </c>
      <c r="T262" s="506"/>
      <c r="U262" s="507"/>
      <c r="V262" s="479">
        <f t="shared" si="131"/>
        <v>0</v>
      </c>
      <c r="W262" s="478">
        <f t="shared" si="132"/>
        <v>0</v>
      </c>
      <c r="X262" s="506"/>
      <c r="Y262" s="488"/>
      <c r="Z262" s="506"/>
      <c r="AA262" s="488"/>
      <c r="AB262" s="506"/>
      <c r="AC262" s="488"/>
      <c r="AD262" s="506"/>
      <c r="AE262" s="507"/>
      <c r="AF262" s="479">
        <f t="shared" si="123"/>
        <v>0</v>
      </c>
      <c r="AG262" s="480">
        <f t="shared" si="124"/>
        <v>0</v>
      </c>
      <c r="AH262" s="481">
        <f t="shared" si="125"/>
        <v>0</v>
      </c>
      <c r="AI262" s="481">
        <f t="shared" si="126"/>
        <v>0</v>
      </c>
      <c r="AJ262" s="487"/>
      <c r="AK262" s="507"/>
      <c r="AL262" s="479">
        <f t="shared" si="121"/>
        <v>0</v>
      </c>
      <c r="AM262" s="482">
        <f t="shared" si="122"/>
        <v>0</v>
      </c>
      <c r="AN262" s="487"/>
      <c r="AO262" s="488"/>
      <c r="AP262" s="487">
        <v>5212</v>
      </c>
      <c r="AQ262" s="488">
        <v>5627</v>
      </c>
      <c r="AR262" s="487">
        <v>8143</v>
      </c>
      <c r="AS262" s="488">
        <v>9187</v>
      </c>
      <c r="AT262" s="487">
        <v>15237</v>
      </c>
      <c r="AU262" s="488">
        <v>16468</v>
      </c>
      <c r="AV262" s="479">
        <f t="shared" si="133"/>
        <v>28592</v>
      </c>
      <c r="AW262" s="483">
        <f t="shared" si="134"/>
        <v>1191.3333333333333</v>
      </c>
      <c r="AX262" s="481">
        <f t="shared" si="135"/>
        <v>31282</v>
      </c>
      <c r="AY262" s="484">
        <f t="shared" si="136"/>
        <v>1303.4166666666667</v>
      </c>
      <c r="AZ262" s="485">
        <f t="shared" si="137"/>
        <v>3562.2333333333336</v>
      </c>
      <c r="BA262" s="481">
        <f t="shared" si="138"/>
        <v>3560.3500000000004</v>
      </c>
    </row>
    <row r="263" spans="1:53">
      <c r="A263" s="574" t="s">
        <v>270</v>
      </c>
      <c r="B263" s="549" t="s">
        <v>387</v>
      </c>
      <c r="C263" s="575"/>
      <c r="D263" s="548">
        <v>176044</v>
      </c>
      <c r="E263" s="548">
        <v>4</v>
      </c>
      <c r="F263" s="486" t="s">
        <v>41</v>
      </c>
      <c r="G263" s="529"/>
      <c r="H263" s="506"/>
      <c r="I263" s="488"/>
      <c r="J263" s="506">
        <v>25107</v>
      </c>
      <c r="K263" s="488">
        <v>24094</v>
      </c>
      <c r="L263" s="506">
        <v>5353</v>
      </c>
      <c r="M263" s="488">
        <v>5855</v>
      </c>
      <c r="N263" s="506">
        <v>25041</v>
      </c>
      <c r="O263" s="488">
        <v>25221</v>
      </c>
      <c r="P263" s="479">
        <f t="shared" si="127"/>
        <v>55501</v>
      </c>
      <c r="Q263" s="480">
        <f t="shared" si="128"/>
        <v>1850.0333333333333</v>
      </c>
      <c r="R263" s="481">
        <f t="shared" si="129"/>
        <v>55170</v>
      </c>
      <c r="S263" s="482">
        <f t="shared" si="130"/>
        <v>1839</v>
      </c>
      <c r="T263" s="506"/>
      <c r="U263" s="507"/>
      <c r="V263" s="479">
        <f t="shared" si="131"/>
        <v>0</v>
      </c>
      <c r="W263" s="478">
        <f t="shared" si="132"/>
        <v>0</v>
      </c>
      <c r="X263" s="506"/>
      <c r="Y263" s="488"/>
      <c r="Z263" s="506"/>
      <c r="AA263" s="488"/>
      <c r="AB263" s="506"/>
      <c r="AC263" s="488"/>
      <c r="AD263" s="506"/>
      <c r="AE263" s="507"/>
      <c r="AF263" s="479">
        <f t="shared" si="123"/>
        <v>0</v>
      </c>
      <c r="AG263" s="480">
        <f t="shared" si="124"/>
        <v>0</v>
      </c>
      <c r="AH263" s="481">
        <f t="shared" si="125"/>
        <v>0</v>
      </c>
      <c r="AI263" s="481">
        <f t="shared" si="126"/>
        <v>0</v>
      </c>
      <c r="AJ263" s="487"/>
      <c r="AK263" s="507"/>
      <c r="AL263" s="479">
        <f t="shared" si="121"/>
        <v>0</v>
      </c>
      <c r="AM263" s="482">
        <f t="shared" si="122"/>
        <v>0</v>
      </c>
      <c r="AN263" s="487"/>
      <c r="AO263" s="488"/>
      <c r="AP263" s="487">
        <v>2487</v>
      </c>
      <c r="AQ263" s="488">
        <v>2142</v>
      </c>
      <c r="AR263" s="487">
        <v>327</v>
      </c>
      <c r="AS263" s="488">
        <v>465</v>
      </c>
      <c r="AT263" s="487">
        <v>2121</v>
      </c>
      <c r="AU263" s="488">
        <v>1950</v>
      </c>
      <c r="AV263" s="479">
        <f t="shared" si="133"/>
        <v>4935</v>
      </c>
      <c r="AW263" s="483">
        <f t="shared" si="134"/>
        <v>205.625</v>
      </c>
      <c r="AX263" s="481">
        <f t="shared" si="135"/>
        <v>4557</v>
      </c>
      <c r="AY263" s="484">
        <f t="shared" si="136"/>
        <v>189.875</v>
      </c>
      <c r="AZ263" s="485">
        <f t="shared" si="137"/>
        <v>2055.6583333333333</v>
      </c>
      <c r="BA263" s="481">
        <f t="shared" si="138"/>
        <v>2028.875</v>
      </c>
    </row>
    <row r="264" spans="1:53">
      <c r="A264" s="574" t="s">
        <v>270</v>
      </c>
      <c r="B264" s="549" t="s">
        <v>388</v>
      </c>
      <c r="C264" s="575"/>
      <c r="D264" s="548">
        <v>176035</v>
      </c>
      <c r="E264" s="548">
        <v>5</v>
      </c>
      <c r="F264" s="486" t="s">
        <v>41</v>
      </c>
      <c r="G264" s="529"/>
      <c r="H264" s="506"/>
      <c r="I264" s="488"/>
      <c r="J264" s="506">
        <v>28031</v>
      </c>
      <c r="K264" s="488">
        <v>29570</v>
      </c>
      <c r="L264" s="506">
        <v>9827</v>
      </c>
      <c r="M264" s="488">
        <v>8684</v>
      </c>
      <c r="N264" s="506">
        <v>30461</v>
      </c>
      <c r="O264" s="488">
        <v>29825</v>
      </c>
      <c r="P264" s="479">
        <f t="shared" ref="P264:P327" si="139">SUM(H264,J264,L264,N264)</f>
        <v>68319</v>
      </c>
      <c r="Q264" s="480">
        <f t="shared" ref="Q264:Q327" si="140">+P264/30</f>
        <v>2277.3000000000002</v>
      </c>
      <c r="R264" s="481">
        <f t="shared" ref="R264:R327" si="141">SUM(I264,K264,M264,O264)</f>
        <v>68079</v>
      </c>
      <c r="S264" s="482">
        <f t="shared" ref="S264:S327" si="142">+R264/30</f>
        <v>2269.3000000000002</v>
      </c>
      <c r="T264" s="506"/>
      <c r="U264" s="507"/>
      <c r="V264" s="479">
        <f t="shared" ref="V264:V327" si="143">IF(ISBLANK(T264),0,P264)</f>
        <v>0</v>
      </c>
      <c r="W264" s="478">
        <f t="shared" ref="W264:W327" si="144">IF(ISBLANK(U264),0,R264)</f>
        <v>0</v>
      </c>
      <c r="X264" s="506"/>
      <c r="Y264" s="488"/>
      <c r="Z264" s="506"/>
      <c r="AA264" s="488"/>
      <c r="AB264" s="506"/>
      <c r="AC264" s="488"/>
      <c r="AD264" s="506"/>
      <c r="AE264" s="507"/>
      <c r="AF264" s="479">
        <f t="shared" ref="AF264:AF327" si="145">SUM(X264,Z264,AB264,AD264)</f>
        <v>0</v>
      </c>
      <c r="AG264" s="480">
        <f t="shared" ref="AG264:AG327" si="146">+AF264/900</f>
        <v>0</v>
      </c>
      <c r="AH264" s="481">
        <f t="shared" ref="AH264:AH327" si="147">SUM(Y264,AA264,AC264,AE264)</f>
        <v>0</v>
      </c>
      <c r="AI264" s="481">
        <f t="shared" ref="AI264:AI327" si="148">+AH264/900</f>
        <v>0</v>
      </c>
      <c r="AJ264" s="487"/>
      <c r="AK264" s="507"/>
      <c r="AL264" s="479">
        <f t="shared" ref="AL264:AL327" si="149">IF(ISBLANK(AJ264),0,AF264)</f>
        <v>0</v>
      </c>
      <c r="AM264" s="482">
        <f t="shared" ref="AM264:AM327" si="150">IF(ISBLANK(AK264),0,AH264)</f>
        <v>0</v>
      </c>
      <c r="AN264" s="487"/>
      <c r="AO264" s="488"/>
      <c r="AP264" s="487">
        <v>1462</v>
      </c>
      <c r="AQ264" s="488">
        <v>1323</v>
      </c>
      <c r="AR264" s="487">
        <v>1155</v>
      </c>
      <c r="AS264" s="488">
        <v>1164</v>
      </c>
      <c r="AT264" s="487">
        <v>1277</v>
      </c>
      <c r="AU264" s="488">
        <v>1704</v>
      </c>
      <c r="AV264" s="479">
        <f t="shared" ref="AV264:AV327" si="151">SUM(AN264,AP264,AR264,AT264)</f>
        <v>3894</v>
      </c>
      <c r="AW264" s="483">
        <f t="shared" ref="AW264:AW327" si="152">+AV264/24</f>
        <v>162.25</v>
      </c>
      <c r="AX264" s="481">
        <f t="shared" ref="AX264:AX327" si="153">SUM(AO264,AQ264,AS264,AU264)</f>
        <v>4191</v>
      </c>
      <c r="AY264" s="484">
        <f t="shared" ref="AY264:AY327" si="154">+AX264/24</f>
        <v>174.625</v>
      </c>
      <c r="AZ264" s="485">
        <f t="shared" ref="AZ264:AZ327" si="155">SUM(Q264,AG264,AW264)</f>
        <v>2439.5500000000002</v>
      </c>
      <c r="BA264" s="481">
        <f t="shared" ref="BA264:BA327" si="156">SUM(S264,AI264,AY264)</f>
        <v>2443.9250000000002</v>
      </c>
    </row>
    <row r="265" spans="1:53">
      <c r="A265" s="730" t="s">
        <v>270</v>
      </c>
      <c r="B265" s="731" t="s">
        <v>774</v>
      </c>
      <c r="C265" s="732"/>
      <c r="D265" s="733">
        <v>175786</v>
      </c>
      <c r="E265" s="734">
        <v>8</v>
      </c>
      <c r="F265" s="486" t="s">
        <v>41</v>
      </c>
      <c r="G265" s="529" t="s">
        <v>41</v>
      </c>
      <c r="H265" s="506"/>
      <c r="I265" s="488"/>
      <c r="J265" s="735">
        <v>129154</v>
      </c>
      <c r="K265" s="488">
        <v>124373</v>
      </c>
      <c r="L265" s="534">
        <v>24987</v>
      </c>
      <c r="M265" s="488">
        <v>23076</v>
      </c>
      <c r="N265" s="534">
        <v>143099</v>
      </c>
      <c r="O265" s="488">
        <v>143579</v>
      </c>
      <c r="P265" s="479">
        <f t="shared" si="139"/>
        <v>297240</v>
      </c>
      <c r="Q265" s="480">
        <f t="shared" si="140"/>
        <v>9908</v>
      </c>
      <c r="R265" s="481">
        <f t="shared" si="141"/>
        <v>291028</v>
      </c>
      <c r="S265" s="482">
        <f t="shared" si="142"/>
        <v>9700.9333333333325</v>
      </c>
      <c r="T265" s="534">
        <v>6396</v>
      </c>
      <c r="U265" s="507">
        <v>8787</v>
      </c>
      <c r="V265" s="479">
        <f t="shared" si="143"/>
        <v>297240</v>
      </c>
      <c r="W265" s="478">
        <f t="shared" si="144"/>
        <v>291028</v>
      </c>
      <c r="X265" s="506"/>
      <c r="Y265" s="488"/>
      <c r="Z265" s="506"/>
      <c r="AA265" s="488"/>
      <c r="AB265" s="506"/>
      <c r="AC265" s="488"/>
      <c r="AD265" s="506"/>
      <c r="AE265" s="507"/>
      <c r="AF265" s="479">
        <f t="shared" si="145"/>
        <v>0</v>
      </c>
      <c r="AG265" s="480">
        <f t="shared" si="146"/>
        <v>0</v>
      </c>
      <c r="AH265" s="481">
        <f t="shared" si="147"/>
        <v>0</v>
      </c>
      <c r="AI265" s="481">
        <f t="shared" si="148"/>
        <v>0</v>
      </c>
      <c r="AJ265" s="487"/>
      <c r="AK265" s="507"/>
      <c r="AL265" s="479">
        <f t="shared" si="149"/>
        <v>0</v>
      </c>
      <c r="AM265" s="482">
        <f t="shared" si="150"/>
        <v>0</v>
      </c>
      <c r="AN265" s="487"/>
      <c r="AO265" s="488"/>
      <c r="AP265" s="487"/>
      <c r="AQ265" s="488"/>
      <c r="AR265" s="487"/>
      <c r="AS265" s="488"/>
      <c r="AT265" s="487"/>
      <c r="AU265" s="488"/>
      <c r="AV265" s="479">
        <f t="shared" si="151"/>
        <v>0</v>
      </c>
      <c r="AW265" s="483">
        <f t="shared" si="152"/>
        <v>0</v>
      </c>
      <c r="AX265" s="481">
        <f t="shared" si="153"/>
        <v>0</v>
      </c>
      <c r="AY265" s="484">
        <f t="shared" si="154"/>
        <v>0</v>
      </c>
      <c r="AZ265" s="485">
        <f t="shared" si="155"/>
        <v>9908</v>
      </c>
      <c r="BA265" s="481">
        <f t="shared" si="156"/>
        <v>9700.9333333333325</v>
      </c>
    </row>
    <row r="266" spans="1:53">
      <c r="A266" s="730" t="s">
        <v>270</v>
      </c>
      <c r="B266" s="736" t="s">
        <v>775</v>
      </c>
      <c r="C266" s="732"/>
      <c r="D266" s="733">
        <v>175829</v>
      </c>
      <c r="E266" s="737">
        <v>8</v>
      </c>
      <c r="F266" s="486" t="s">
        <v>41</v>
      </c>
      <c r="G266" s="529" t="s">
        <v>41</v>
      </c>
      <c r="H266" s="506"/>
      <c r="I266" s="488"/>
      <c r="J266" s="735">
        <v>77365</v>
      </c>
      <c r="K266" s="488">
        <v>68038</v>
      </c>
      <c r="L266" s="506">
        <v>10862</v>
      </c>
      <c r="M266" s="488">
        <v>8609</v>
      </c>
      <c r="N266" s="506">
        <v>78218</v>
      </c>
      <c r="O266" s="488">
        <v>75201</v>
      </c>
      <c r="P266" s="479">
        <f t="shared" si="139"/>
        <v>166445</v>
      </c>
      <c r="Q266" s="480">
        <f t="shared" si="140"/>
        <v>5548.166666666667</v>
      </c>
      <c r="R266" s="481">
        <f t="shared" si="141"/>
        <v>151848</v>
      </c>
      <c r="S266" s="482">
        <f t="shared" si="142"/>
        <v>5061.6000000000004</v>
      </c>
      <c r="T266" s="506">
        <v>1187</v>
      </c>
      <c r="U266" s="507">
        <v>1508</v>
      </c>
      <c r="V266" s="479">
        <f t="shared" si="143"/>
        <v>166445</v>
      </c>
      <c r="W266" s="478">
        <f t="shared" si="144"/>
        <v>151848</v>
      </c>
      <c r="X266" s="506"/>
      <c r="Y266" s="488"/>
      <c r="Z266" s="506"/>
      <c r="AA266" s="488"/>
      <c r="AB266" s="506"/>
      <c r="AC266" s="488"/>
      <c r="AD266" s="506"/>
      <c r="AE266" s="507"/>
      <c r="AF266" s="479">
        <f t="shared" si="145"/>
        <v>0</v>
      </c>
      <c r="AG266" s="480">
        <f t="shared" si="146"/>
        <v>0</v>
      </c>
      <c r="AH266" s="481">
        <f t="shared" si="147"/>
        <v>0</v>
      </c>
      <c r="AI266" s="481">
        <f t="shared" si="148"/>
        <v>0</v>
      </c>
      <c r="AJ266" s="487"/>
      <c r="AK266" s="507"/>
      <c r="AL266" s="479">
        <f t="shared" si="149"/>
        <v>0</v>
      </c>
      <c r="AM266" s="482">
        <f t="shared" si="150"/>
        <v>0</v>
      </c>
      <c r="AN266" s="487"/>
      <c r="AO266" s="488"/>
      <c r="AP266" s="487"/>
      <c r="AQ266" s="488"/>
      <c r="AR266" s="487"/>
      <c r="AS266" s="488"/>
      <c r="AT266" s="487"/>
      <c r="AU266" s="488"/>
      <c r="AV266" s="479">
        <f t="shared" si="151"/>
        <v>0</v>
      </c>
      <c r="AW266" s="483">
        <f t="shared" si="152"/>
        <v>0</v>
      </c>
      <c r="AX266" s="481">
        <f t="shared" si="153"/>
        <v>0</v>
      </c>
      <c r="AY266" s="484">
        <f t="shared" si="154"/>
        <v>0</v>
      </c>
      <c r="AZ266" s="485">
        <f t="shared" si="155"/>
        <v>5548.166666666667</v>
      </c>
      <c r="BA266" s="481">
        <f t="shared" si="156"/>
        <v>5061.6000000000004</v>
      </c>
    </row>
    <row r="267" spans="1:53">
      <c r="A267" s="730" t="s">
        <v>270</v>
      </c>
      <c r="B267" s="736" t="s">
        <v>776</v>
      </c>
      <c r="C267" s="732"/>
      <c r="D267" s="733">
        <v>176071</v>
      </c>
      <c r="E267" s="734">
        <v>8</v>
      </c>
      <c r="F267" s="486" t="s">
        <v>41</v>
      </c>
      <c r="G267" s="529" t="s">
        <v>41</v>
      </c>
      <c r="H267" s="738">
        <v>231</v>
      </c>
      <c r="I267" s="488">
        <v>321</v>
      </c>
      <c r="J267" s="735">
        <v>109179</v>
      </c>
      <c r="K267" s="488">
        <v>104386</v>
      </c>
      <c r="L267" s="506">
        <v>24710</v>
      </c>
      <c r="M267" s="488">
        <v>22591</v>
      </c>
      <c r="N267" s="506">
        <v>118537</v>
      </c>
      <c r="O267" s="488">
        <v>119819</v>
      </c>
      <c r="P267" s="479">
        <f t="shared" si="139"/>
        <v>252657</v>
      </c>
      <c r="Q267" s="480">
        <f t="shared" si="140"/>
        <v>8421.9</v>
      </c>
      <c r="R267" s="481">
        <f t="shared" si="141"/>
        <v>247117</v>
      </c>
      <c r="S267" s="482">
        <f t="shared" si="142"/>
        <v>8237.2333333333336</v>
      </c>
      <c r="T267" s="506">
        <v>2157</v>
      </c>
      <c r="U267" s="507">
        <v>2754</v>
      </c>
      <c r="V267" s="479">
        <f t="shared" si="143"/>
        <v>252657</v>
      </c>
      <c r="W267" s="478">
        <f t="shared" si="144"/>
        <v>247117</v>
      </c>
      <c r="X267" s="506"/>
      <c r="Y267" s="488"/>
      <c r="Z267" s="506"/>
      <c r="AA267" s="488"/>
      <c r="AB267" s="506"/>
      <c r="AC267" s="488"/>
      <c r="AD267" s="506"/>
      <c r="AE267" s="507"/>
      <c r="AF267" s="479">
        <f t="shared" si="145"/>
        <v>0</v>
      </c>
      <c r="AG267" s="480">
        <f t="shared" si="146"/>
        <v>0</v>
      </c>
      <c r="AH267" s="481">
        <f t="shared" si="147"/>
        <v>0</v>
      </c>
      <c r="AI267" s="481">
        <f t="shared" si="148"/>
        <v>0</v>
      </c>
      <c r="AJ267" s="487"/>
      <c r="AK267" s="507"/>
      <c r="AL267" s="479">
        <f t="shared" si="149"/>
        <v>0</v>
      </c>
      <c r="AM267" s="482">
        <f t="shared" si="150"/>
        <v>0</v>
      </c>
      <c r="AN267" s="487"/>
      <c r="AO267" s="488"/>
      <c r="AP267" s="487"/>
      <c r="AQ267" s="488"/>
      <c r="AR267" s="487"/>
      <c r="AS267" s="488"/>
      <c r="AT267" s="487"/>
      <c r="AU267" s="488"/>
      <c r="AV267" s="479">
        <f t="shared" si="151"/>
        <v>0</v>
      </c>
      <c r="AW267" s="483">
        <f t="shared" si="152"/>
        <v>0</v>
      </c>
      <c r="AX267" s="481">
        <f t="shared" si="153"/>
        <v>0</v>
      </c>
      <c r="AY267" s="484">
        <f t="shared" si="154"/>
        <v>0</v>
      </c>
      <c r="AZ267" s="485">
        <f t="shared" si="155"/>
        <v>8421.9</v>
      </c>
      <c r="BA267" s="481">
        <f t="shared" si="156"/>
        <v>8237.2333333333336</v>
      </c>
    </row>
    <row r="268" spans="1:53">
      <c r="A268" s="730" t="s">
        <v>270</v>
      </c>
      <c r="B268" s="736" t="s">
        <v>777</v>
      </c>
      <c r="C268" s="732"/>
      <c r="D268" s="733">
        <v>176178</v>
      </c>
      <c r="E268" s="734">
        <v>8</v>
      </c>
      <c r="F268" s="486" t="s">
        <v>41</v>
      </c>
      <c r="G268" s="529" t="s">
        <v>41</v>
      </c>
      <c r="H268" s="506"/>
      <c r="I268" s="488"/>
      <c r="J268" s="735">
        <v>92151</v>
      </c>
      <c r="K268" s="488">
        <v>87255</v>
      </c>
      <c r="L268" s="506">
        <v>16932</v>
      </c>
      <c r="M268" s="488">
        <v>15502</v>
      </c>
      <c r="N268" s="506">
        <v>96143</v>
      </c>
      <c r="O268" s="488">
        <v>85751</v>
      </c>
      <c r="P268" s="479">
        <f t="shared" si="139"/>
        <v>205226</v>
      </c>
      <c r="Q268" s="480">
        <f t="shared" si="140"/>
        <v>6840.8666666666668</v>
      </c>
      <c r="R268" s="481">
        <f t="shared" si="141"/>
        <v>188508</v>
      </c>
      <c r="S268" s="482">
        <f t="shared" si="142"/>
        <v>6283.6</v>
      </c>
      <c r="T268" s="506">
        <v>1327</v>
      </c>
      <c r="U268" s="507">
        <v>1727</v>
      </c>
      <c r="V268" s="479">
        <f t="shared" si="143"/>
        <v>205226</v>
      </c>
      <c r="W268" s="478">
        <f t="shared" si="144"/>
        <v>188508</v>
      </c>
      <c r="X268" s="506"/>
      <c r="Y268" s="488"/>
      <c r="Z268" s="506"/>
      <c r="AA268" s="488"/>
      <c r="AB268" s="506"/>
      <c r="AC268" s="488"/>
      <c r="AD268" s="506"/>
      <c r="AE268" s="507"/>
      <c r="AF268" s="479">
        <f t="shared" si="145"/>
        <v>0</v>
      </c>
      <c r="AG268" s="480">
        <f t="shared" si="146"/>
        <v>0</v>
      </c>
      <c r="AH268" s="481">
        <f t="shared" si="147"/>
        <v>0</v>
      </c>
      <c r="AI268" s="481">
        <f t="shared" si="148"/>
        <v>0</v>
      </c>
      <c r="AJ268" s="487"/>
      <c r="AK268" s="507"/>
      <c r="AL268" s="479">
        <f t="shared" si="149"/>
        <v>0</v>
      </c>
      <c r="AM268" s="482">
        <f t="shared" si="150"/>
        <v>0</v>
      </c>
      <c r="AN268" s="487"/>
      <c r="AO268" s="488"/>
      <c r="AP268" s="487"/>
      <c r="AQ268" s="488"/>
      <c r="AR268" s="487"/>
      <c r="AS268" s="488"/>
      <c r="AT268" s="487"/>
      <c r="AU268" s="488"/>
      <c r="AV268" s="479">
        <f t="shared" si="151"/>
        <v>0</v>
      </c>
      <c r="AW268" s="483">
        <f t="shared" si="152"/>
        <v>0</v>
      </c>
      <c r="AX268" s="481">
        <f t="shared" si="153"/>
        <v>0</v>
      </c>
      <c r="AY268" s="484">
        <f t="shared" si="154"/>
        <v>0</v>
      </c>
      <c r="AZ268" s="485">
        <f t="shared" si="155"/>
        <v>6840.8666666666668</v>
      </c>
      <c r="BA268" s="481">
        <f t="shared" si="156"/>
        <v>6283.6</v>
      </c>
    </row>
    <row r="269" spans="1:53">
      <c r="A269" s="730" t="s">
        <v>270</v>
      </c>
      <c r="B269" s="736" t="s">
        <v>778</v>
      </c>
      <c r="C269" s="732"/>
      <c r="D269" s="733">
        <v>175573</v>
      </c>
      <c r="E269" s="734">
        <v>9</v>
      </c>
      <c r="F269" s="486" t="s">
        <v>41</v>
      </c>
      <c r="G269" s="529" t="s">
        <v>41</v>
      </c>
      <c r="H269" s="506"/>
      <c r="I269" s="488"/>
      <c r="J269" s="735">
        <v>39502</v>
      </c>
      <c r="K269" s="488">
        <v>37195</v>
      </c>
      <c r="L269" s="506">
        <v>6859</v>
      </c>
      <c r="M269" s="488">
        <v>6714</v>
      </c>
      <c r="N269" s="506">
        <v>41919</v>
      </c>
      <c r="O269" s="488">
        <v>38918</v>
      </c>
      <c r="P269" s="479">
        <f t="shared" si="139"/>
        <v>88280</v>
      </c>
      <c r="Q269" s="480">
        <f t="shared" si="140"/>
        <v>2942.6666666666665</v>
      </c>
      <c r="R269" s="481">
        <f t="shared" si="141"/>
        <v>82827</v>
      </c>
      <c r="S269" s="482">
        <f t="shared" si="142"/>
        <v>2760.9</v>
      </c>
      <c r="T269" s="506">
        <v>420</v>
      </c>
      <c r="U269" s="507">
        <v>2437</v>
      </c>
      <c r="V269" s="479">
        <f t="shared" si="143"/>
        <v>88280</v>
      </c>
      <c r="W269" s="478">
        <f t="shared" si="144"/>
        <v>82827</v>
      </c>
      <c r="X269" s="506"/>
      <c r="Y269" s="488"/>
      <c r="Z269" s="506"/>
      <c r="AA269" s="488"/>
      <c r="AB269" s="506"/>
      <c r="AC269" s="488"/>
      <c r="AD269" s="506"/>
      <c r="AE269" s="507"/>
      <c r="AF269" s="479">
        <f t="shared" si="145"/>
        <v>0</v>
      </c>
      <c r="AG269" s="480">
        <f t="shared" si="146"/>
        <v>0</v>
      </c>
      <c r="AH269" s="481">
        <f t="shared" si="147"/>
        <v>0</v>
      </c>
      <c r="AI269" s="481">
        <f t="shared" si="148"/>
        <v>0</v>
      </c>
      <c r="AJ269" s="487"/>
      <c r="AK269" s="507"/>
      <c r="AL269" s="479">
        <f t="shared" si="149"/>
        <v>0</v>
      </c>
      <c r="AM269" s="482">
        <f t="shared" si="150"/>
        <v>0</v>
      </c>
      <c r="AN269" s="487"/>
      <c r="AO269" s="488"/>
      <c r="AP269" s="487"/>
      <c r="AQ269" s="488"/>
      <c r="AR269" s="487"/>
      <c r="AS269" s="488"/>
      <c r="AT269" s="487"/>
      <c r="AU269" s="488"/>
      <c r="AV269" s="479">
        <f t="shared" si="151"/>
        <v>0</v>
      </c>
      <c r="AW269" s="483">
        <f t="shared" si="152"/>
        <v>0</v>
      </c>
      <c r="AX269" s="481">
        <f t="shared" si="153"/>
        <v>0</v>
      </c>
      <c r="AY269" s="484">
        <f t="shared" si="154"/>
        <v>0</v>
      </c>
      <c r="AZ269" s="485">
        <f t="shared" si="155"/>
        <v>2942.6666666666665</v>
      </c>
      <c r="BA269" s="481">
        <f t="shared" si="156"/>
        <v>2760.9</v>
      </c>
    </row>
    <row r="270" spans="1:53">
      <c r="A270" s="730" t="s">
        <v>270</v>
      </c>
      <c r="B270" s="736" t="s">
        <v>779</v>
      </c>
      <c r="C270" s="732"/>
      <c r="D270" s="733">
        <v>175643</v>
      </c>
      <c r="E270" s="734">
        <v>9</v>
      </c>
      <c r="F270" s="486" t="s">
        <v>41</v>
      </c>
      <c r="G270" s="529" t="s">
        <v>41</v>
      </c>
      <c r="H270" s="506"/>
      <c r="I270" s="488"/>
      <c r="J270" s="735">
        <v>29552</v>
      </c>
      <c r="K270" s="488">
        <v>27838</v>
      </c>
      <c r="L270" s="506">
        <v>6374</v>
      </c>
      <c r="M270" s="488">
        <v>4634</v>
      </c>
      <c r="N270" s="506">
        <v>32007</v>
      </c>
      <c r="O270" s="488">
        <v>31802</v>
      </c>
      <c r="P270" s="479">
        <f t="shared" si="139"/>
        <v>67933</v>
      </c>
      <c r="Q270" s="480">
        <f t="shared" si="140"/>
        <v>2264.4333333333334</v>
      </c>
      <c r="R270" s="481">
        <f t="shared" si="141"/>
        <v>64274</v>
      </c>
      <c r="S270" s="482">
        <f t="shared" si="142"/>
        <v>2142.4666666666667</v>
      </c>
      <c r="T270" s="506">
        <v>1251</v>
      </c>
      <c r="U270" s="507">
        <v>1475</v>
      </c>
      <c r="V270" s="479">
        <f t="shared" si="143"/>
        <v>67933</v>
      </c>
      <c r="W270" s="478">
        <f t="shared" si="144"/>
        <v>64274</v>
      </c>
      <c r="X270" s="506"/>
      <c r="Y270" s="488"/>
      <c r="Z270" s="506"/>
      <c r="AA270" s="488"/>
      <c r="AB270" s="506"/>
      <c r="AC270" s="488"/>
      <c r="AD270" s="506"/>
      <c r="AE270" s="507"/>
      <c r="AF270" s="479">
        <f t="shared" si="145"/>
        <v>0</v>
      </c>
      <c r="AG270" s="480">
        <f t="shared" si="146"/>
        <v>0</v>
      </c>
      <c r="AH270" s="481">
        <f t="shared" si="147"/>
        <v>0</v>
      </c>
      <c r="AI270" s="481">
        <f t="shared" si="148"/>
        <v>0</v>
      </c>
      <c r="AJ270" s="487"/>
      <c r="AK270" s="507"/>
      <c r="AL270" s="479">
        <f t="shared" si="149"/>
        <v>0</v>
      </c>
      <c r="AM270" s="482">
        <f t="shared" si="150"/>
        <v>0</v>
      </c>
      <c r="AN270" s="487"/>
      <c r="AO270" s="488"/>
      <c r="AP270" s="487"/>
      <c r="AQ270" s="488"/>
      <c r="AR270" s="487"/>
      <c r="AS270" s="488"/>
      <c r="AT270" s="487"/>
      <c r="AU270" s="488"/>
      <c r="AV270" s="479">
        <f t="shared" si="151"/>
        <v>0</v>
      </c>
      <c r="AW270" s="483">
        <f t="shared" si="152"/>
        <v>0</v>
      </c>
      <c r="AX270" s="481">
        <f t="shared" si="153"/>
        <v>0</v>
      </c>
      <c r="AY270" s="484">
        <f t="shared" si="154"/>
        <v>0</v>
      </c>
      <c r="AZ270" s="485">
        <f t="shared" si="155"/>
        <v>2264.4333333333334</v>
      </c>
      <c r="BA270" s="481">
        <f t="shared" si="156"/>
        <v>2142.4666666666667</v>
      </c>
    </row>
    <row r="271" spans="1:53">
      <c r="A271" s="730" t="s">
        <v>270</v>
      </c>
      <c r="B271" s="736" t="s">
        <v>780</v>
      </c>
      <c r="C271" s="732"/>
      <c r="D271" s="733">
        <v>175652</v>
      </c>
      <c r="E271" s="734">
        <v>9</v>
      </c>
      <c r="F271" s="486" t="s">
        <v>41</v>
      </c>
      <c r="G271" s="529" t="s">
        <v>41</v>
      </c>
      <c r="H271" s="506"/>
      <c r="I271" s="488"/>
      <c r="J271" s="735">
        <v>50856</v>
      </c>
      <c r="K271" s="488">
        <v>50935</v>
      </c>
      <c r="L271" s="506">
        <v>13061</v>
      </c>
      <c r="M271" s="488">
        <v>12174</v>
      </c>
      <c r="N271" s="506">
        <v>56450</v>
      </c>
      <c r="O271" s="488">
        <v>54956</v>
      </c>
      <c r="P271" s="479">
        <f t="shared" si="139"/>
        <v>120367</v>
      </c>
      <c r="Q271" s="480">
        <f t="shared" si="140"/>
        <v>4012.2333333333331</v>
      </c>
      <c r="R271" s="481">
        <f t="shared" si="141"/>
        <v>118065</v>
      </c>
      <c r="S271" s="482">
        <f t="shared" si="142"/>
        <v>3935.5</v>
      </c>
      <c r="T271" s="506">
        <v>1426</v>
      </c>
      <c r="U271" s="507">
        <v>1539</v>
      </c>
      <c r="V271" s="479">
        <f t="shared" si="143"/>
        <v>120367</v>
      </c>
      <c r="W271" s="478">
        <f t="shared" si="144"/>
        <v>118065</v>
      </c>
      <c r="X271" s="506"/>
      <c r="Y271" s="488"/>
      <c r="Z271" s="506"/>
      <c r="AA271" s="488"/>
      <c r="AB271" s="506"/>
      <c r="AC271" s="488"/>
      <c r="AD271" s="506"/>
      <c r="AE271" s="507"/>
      <c r="AF271" s="479">
        <f t="shared" si="145"/>
        <v>0</v>
      </c>
      <c r="AG271" s="480">
        <f t="shared" si="146"/>
        <v>0</v>
      </c>
      <c r="AH271" s="481">
        <f t="shared" si="147"/>
        <v>0</v>
      </c>
      <c r="AI271" s="481">
        <f t="shared" si="148"/>
        <v>0</v>
      </c>
      <c r="AJ271" s="487"/>
      <c r="AK271" s="507"/>
      <c r="AL271" s="479">
        <f t="shared" si="149"/>
        <v>0</v>
      </c>
      <c r="AM271" s="482">
        <f t="shared" si="150"/>
        <v>0</v>
      </c>
      <c r="AN271" s="487"/>
      <c r="AO271" s="488"/>
      <c r="AP271" s="487"/>
      <c r="AQ271" s="488"/>
      <c r="AR271" s="487"/>
      <c r="AS271" s="488"/>
      <c r="AT271" s="487"/>
      <c r="AU271" s="488"/>
      <c r="AV271" s="479">
        <f t="shared" si="151"/>
        <v>0</v>
      </c>
      <c r="AW271" s="483">
        <f t="shared" si="152"/>
        <v>0</v>
      </c>
      <c r="AX271" s="481">
        <f t="shared" si="153"/>
        <v>0</v>
      </c>
      <c r="AY271" s="484">
        <f t="shared" si="154"/>
        <v>0</v>
      </c>
      <c r="AZ271" s="485">
        <f t="shared" si="155"/>
        <v>4012.2333333333331</v>
      </c>
      <c r="BA271" s="481">
        <f t="shared" si="156"/>
        <v>3935.5</v>
      </c>
    </row>
    <row r="272" spans="1:53">
      <c r="A272" s="730" t="s">
        <v>270</v>
      </c>
      <c r="B272" s="736" t="s">
        <v>781</v>
      </c>
      <c r="C272" s="732" t="s">
        <v>789</v>
      </c>
      <c r="D272" s="733">
        <v>175810</v>
      </c>
      <c r="E272" s="734">
        <v>9</v>
      </c>
      <c r="F272" s="486" t="s">
        <v>41</v>
      </c>
      <c r="G272" s="529" t="s">
        <v>41</v>
      </c>
      <c r="H272" s="506"/>
      <c r="I272" s="488"/>
      <c r="J272" s="735">
        <v>65335</v>
      </c>
      <c r="K272" s="488">
        <v>65102</v>
      </c>
      <c r="L272" s="506">
        <v>16641</v>
      </c>
      <c r="M272" s="488">
        <v>15814</v>
      </c>
      <c r="N272" s="506">
        <v>74724</v>
      </c>
      <c r="O272" s="488">
        <v>70441</v>
      </c>
      <c r="P272" s="479">
        <f t="shared" si="139"/>
        <v>156700</v>
      </c>
      <c r="Q272" s="480">
        <f t="shared" si="140"/>
        <v>5223.333333333333</v>
      </c>
      <c r="R272" s="481">
        <f t="shared" si="141"/>
        <v>151357</v>
      </c>
      <c r="S272" s="482">
        <f t="shared" si="142"/>
        <v>5045.2333333333336</v>
      </c>
      <c r="T272" s="506">
        <v>1619</v>
      </c>
      <c r="U272" s="507">
        <v>1892</v>
      </c>
      <c r="V272" s="479">
        <f t="shared" si="143"/>
        <v>156700</v>
      </c>
      <c r="W272" s="478">
        <f t="shared" si="144"/>
        <v>151357</v>
      </c>
      <c r="X272" s="506"/>
      <c r="Y272" s="488"/>
      <c r="Z272" s="506"/>
      <c r="AA272" s="488"/>
      <c r="AB272" s="506"/>
      <c r="AC272" s="488"/>
      <c r="AD272" s="506"/>
      <c r="AE272" s="507"/>
      <c r="AF272" s="479">
        <f t="shared" si="145"/>
        <v>0</v>
      </c>
      <c r="AG272" s="480">
        <f t="shared" si="146"/>
        <v>0</v>
      </c>
      <c r="AH272" s="481">
        <f t="shared" si="147"/>
        <v>0</v>
      </c>
      <c r="AI272" s="481">
        <f t="shared" si="148"/>
        <v>0</v>
      </c>
      <c r="AJ272" s="487"/>
      <c r="AK272" s="507"/>
      <c r="AL272" s="479">
        <f t="shared" si="149"/>
        <v>0</v>
      </c>
      <c r="AM272" s="482">
        <f t="shared" si="150"/>
        <v>0</v>
      </c>
      <c r="AN272" s="487"/>
      <c r="AO272" s="488"/>
      <c r="AP272" s="487"/>
      <c r="AQ272" s="488"/>
      <c r="AR272" s="487"/>
      <c r="AS272" s="488"/>
      <c r="AT272" s="487"/>
      <c r="AU272" s="488"/>
      <c r="AV272" s="479">
        <f t="shared" si="151"/>
        <v>0</v>
      </c>
      <c r="AW272" s="483">
        <f t="shared" si="152"/>
        <v>0</v>
      </c>
      <c r="AX272" s="481">
        <f t="shared" si="153"/>
        <v>0</v>
      </c>
      <c r="AY272" s="484">
        <f t="shared" si="154"/>
        <v>0</v>
      </c>
      <c r="AZ272" s="485">
        <f t="shared" si="155"/>
        <v>5223.333333333333</v>
      </c>
      <c r="BA272" s="481">
        <f t="shared" si="156"/>
        <v>5045.2333333333336</v>
      </c>
    </row>
    <row r="273" spans="1:53">
      <c r="A273" s="730" t="s">
        <v>270</v>
      </c>
      <c r="B273" s="736" t="s">
        <v>782</v>
      </c>
      <c r="C273" s="732"/>
      <c r="D273" s="733">
        <v>175883</v>
      </c>
      <c r="E273" s="734">
        <v>9</v>
      </c>
      <c r="F273" s="486" t="s">
        <v>41</v>
      </c>
      <c r="G273" s="529" t="s">
        <v>41</v>
      </c>
      <c r="H273" s="506"/>
      <c r="I273" s="488"/>
      <c r="J273" s="735">
        <v>51242</v>
      </c>
      <c r="K273" s="488">
        <v>50117</v>
      </c>
      <c r="L273" s="506">
        <v>10469</v>
      </c>
      <c r="M273" s="488">
        <v>10557</v>
      </c>
      <c r="N273" s="506">
        <v>56224</v>
      </c>
      <c r="O273" s="488">
        <v>60756</v>
      </c>
      <c r="P273" s="479">
        <f t="shared" si="139"/>
        <v>117935</v>
      </c>
      <c r="Q273" s="480">
        <f t="shared" si="140"/>
        <v>3931.1666666666665</v>
      </c>
      <c r="R273" s="481">
        <f t="shared" si="141"/>
        <v>121430</v>
      </c>
      <c r="S273" s="482">
        <f t="shared" si="142"/>
        <v>4047.6666666666665</v>
      </c>
      <c r="T273" s="506">
        <v>1729</v>
      </c>
      <c r="U273" s="507">
        <v>2608</v>
      </c>
      <c r="V273" s="479">
        <f t="shared" si="143"/>
        <v>117935</v>
      </c>
      <c r="W273" s="478">
        <f t="shared" si="144"/>
        <v>121430</v>
      </c>
      <c r="X273" s="506"/>
      <c r="Y273" s="488"/>
      <c r="Z273" s="506"/>
      <c r="AA273" s="488"/>
      <c r="AB273" s="506"/>
      <c r="AC273" s="488"/>
      <c r="AD273" s="506"/>
      <c r="AE273" s="507"/>
      <c r="AF273" s="479">
        <f t="shared" si="145"/>
        <v>0</v>
      </c>
      <c r="AG273" s="480">
        <f t="shared" si="146"/>
        <v>0</v>
      </c>
      <c r="AH273" s="481">
        <f t="shared" si="147"/>
        <v>0</v>
      </c>
      <c r="AI273" s="481">
        <f t="shared" si="148"/>
        <v>0</v>
      </c>
      <c r="AJ273" s="487"/>
      <c r="AK273" s="507"/>
      <c r="AL273" s="479">
        <f t="shared" si="149"/>
        <v>0</v>
      </c>
      <c r="AM273" s="482">
        <f t="shared" si="150"/>
        <v>0</v>
      </c>
      <c r="AN273" s="487"/>
      <c r="AO273" s="488"/>
      <c r="AP273" s="487"/>
      <c r="AQ273" s="488"/>
      <c r="AR273" s="487"/>
      <c r="AS273" s="488"/>
      <c r="AT273" s="487"/>
      <c r="AU273" s="488"/>
      <c r="AV273" s="479">
        <f t="shared" si="151"/>
        <v>0</v>
      </c>
      <c r="AW273" s="483">
        <f t="shared" si="152"/>
        <v>0</v>
      </c>
      <c r="AX273" s="481">
        <f t="shared" si="153"/>
        <v>0</v>
      </c>
      <c r="AY273" s="484">
        <f t="shared" si="154"/>
        <v>0</v>
      </c>
      <c r="AZ273" s="485">
        <f t="shared" si="155"/>
        <v>3931.1666666666665</v>
      </c>
      <c r="BA273" s="481">
        <f t="shared" si="156"/>
        <v>4047.6666666666665</v>
      </c>
    </row>
    <row r="274" spans="1:53">
      <c r="A274" s="730" t="s">
        <v>270</v>
      </c>
      <c r="B274" s="736" t="s">
        <v>783</v>
      </c>
      <c r="C274" s="732"/>
      <c r="D274" s="733">
        <v>175935</v>
      </c>
      <c r="E274" s="734">
        <v>9</v>
      </c>
      <c r="F274" s="486" t="s">
        <v>41</v>
      </c>
      <c r="G274" s="529" t="s">
        <v>41</v>
      </c>
      <c r="H274" s="506"/>
      <c r="I274" s="488"/>
      <c r="J274" s="735">
        <v>43057.5</v>
      </c>
      <c r="K274" s="488">
        <v>39695</v>
      </c>
      <c r="L274" s="506">
        <v>7573</v>
      </c>
      <c r="M274" s="488">
        <v>6673</v>
      </c>
      <c r="N274" s="506">
        <v>45047.5</v>
      </c>
      <c r="O274" s="488">
        <v>42458</v>
      </c>
      <c r="P274" s="479">
        <f t="shared" si="139"/>
        <v>95678</v>
      </c>
      <c r="Q274" s="480">
        <f t="shared" si="140"/>
        <v>3189.2666666666669</v>
      </c>
      <c r="R274" s="481">
        <f t="shared" si="141"/>
        <v>88826</v>
      </c>
      <c r="S274" s="482">
        <f t="shared" si="142"/>
        <v>2960.8666666666668</v>
      </c>
      <c r="T274" s="506">
        <v>663</v>
      </c>
      <c r="U274" s="507">
        <v>821</v>
      </c>
      <c r="V274" s="479">
        <f t="shared" si="143"/>
        <v>95678</v>
      </c>
      <c r="W274" s="478">
        <f t="shared" si="144"/>
        <v>88826</v>
      </c>
      <c r="X274" s="506"/>
      <c r="Y274" s="488"/>
      <c r="Z274" s="506"/>
      <c r="AA274" s="488"/>
      <c r="AB274" s="506"/>
      <c r="AC274" s="488"/>
      <c r="AD274" s="506"/>
      <c r="AE274" s="507"/>
      <c r="AF274" s="479">
        <f t="shared" si="145"/>
        <v>0</v>
      </c>
      <c r="AG274" s="480">
        <f t="shared" si="146"/>
        <v>0</v>
      </c>
      <c r="AH274" s="481">
        <f t="shared" si="147"/>
        <v>0</v>
      </c>
      <c r="AI274" s="481">
        <f t="shared" si="148"/>
        <v>0</v>
      </c>
      <c r="AJ274" s="487"/>
      <c r="AK274" s="507"/>
      <c r="AL274" s="479">
        <f t="shared" si="149"/>
        <v>0</v>
      </c>
      <c r="AM274" s="482">
        <f t="shared" si="150"/>
        <v>0</v>
      </c>
      <c r="AN274" s="487"/>
      <c r="AO274" s="488"/>
      <c r="AP274" s="487"/>
      <c r="AQ274" s="488"/>
      <c r="AR274" s="487"/>
      <c r="AS274" s="488"/>
      <c r="AT274" s="487"/>
      <c r="AU274" s="488"/>
      <c r="AV274" s="479">
        <f t="shared" si="151"/>
        <v>0</v>
      </c>
      <c r="AW274" s="483">
        <f t="shared" si="152"/>
        <v>0</v>
      </c>
      <c r="AX274" s="481">
        <f t="shared" si="153"/>
        <v>0</v>
      </c>
      <c r="AY274" s="484">
        <f t="shared" si="154"/>
        <v>0</v>
      </c>
      <c r="AZ274" s="485">
        <f t="shared" si="155"/>
        <v>3189.2666666666669</v>
      </c>
      <c r="BA274" s="481">
        <f t="shared" si="156"/>
        <v>2960.8666666666668</v>
      </c>
    </row>
    <row r="275" spans="1:53">
      <c r="A275" s="730" t="s">
        <v>270</v>
      </c>
      <c r="B275" s="736" t="s">
        <v>784</v>
      </c>
      <c r="C275" s="732"/>
      <c r="D275" s="733">
        <v>176008</v>
      </c>
      <c r="E275" s="734">
        <v>9</v>
      </c>
      <c r="F275" s="486" t="s">
        <v>41</v>
      </c>
      <c r="G275" s="529" t="s">
        <v>41</v>
      </c>
      <c r="H275" s="506"/>
      <c r="I275" s="488"/>
      <c r="J275" s="735">
        <v>38237</v>
      </c>
      <c r="K275" s="488">
        <v>35602</v>
      </c>
      <c r="L275" s="506">
        <v>6047</v>
      </c>
      <c r="M275" s="488">
        <v>5019</v>
      </c>
      <c r="N275" s="506">
        <v>38367</v>
      </c>
      <c r="O275" s="488">
        <v>37699</v>
      </c>
      <c r="P275" s="479">
        <f t="shared" si="139"/>
        <v>82651</v>
      </c>
      <c r="Q275" s="480">
        <f t="shared" si="140"/>
        <v>2755.0333333333333</v>
      </c>
      <c r="R275" s="481">
        <f t="shared" si="141"/>
        <v>78320</v>
      </c>
      <c r="S275" s="482">
        <f t="shared" si="142"/>
        <v>2610.6666666666665</v>
      </c>
      <c r="T275" s="506">
        <v>1394</v>
      </c>
      <c r="U275" s="507">
        <v>1127</v>
      </c>
      <c r="V275" s="479">
        <f t="shared" si="143"/>
        <v>82651</v>
      </c>
      <c r="W275" s="478">
        <f t="shared" si="144"/>
        <v>78320</v>
      </c>
      <c r="X275" s="506"/>
      <c r="Y275" s="488"/>
      <c r="Z275" s="506"/>
      <c r="AA275" s="488"/>
      <c r="AB275" s="506"/>
      <c r="AC275" s="488"/>
      <c r="AD275" s="506"/>
      <c r="AE275" s="507"/>
      <c r="AF275" s="479">
        <f t="shared" si="145"/>
        <v>0</v>
      </c>
      <c r="AG275" s="480">
        <f t="shared" si="146"/>
        <v>0</v>
      </c>
      <c r="AH275" s="481">
        <f t="shared" si="147"/>
        <v>0</v>
      </c>
      <c r="AI275" s="481">
        <f t="shared" si="148"/>
        <v>0</v>
      </c>
      <c r="AJ275" s="487"/>
      <c r="AK275" s="507"/>
      <c r="AL275" s="479">
        <f t="shared" si="149"/>
        <v>0</v>
      </c>
      <c r="AM275" s="482">
        <f t="shared" si="150"/>
        <v>0</v>
      </c>
      <c r="AN275" s="487"/>
      <c r="AO275" s="488"/>
      <c r="AP275" s="487"/>
      <c r="AQ275" s="488"/>
      <c r="AR275" s="487"/>
      <c r="AS275" s="488"/>
      <c r="AT275" s="487"/>
      <c r="AU275" s="488"/>
      <c r="AV275" s="479">
        <f t="shared" si="151"/>
        <v>0</v>
      </c>
      <c r="AW275" s="483">
        <f t="shared" si="152"/>
        <v>0</v>
      </c>
      <c r="AX275" s="481">
        <f t="shared" si="153"/>
        <v>0</v>
      </c>
      <c r="AY275" s="484">
        <f t="shared" si="154"/>
        <v>0</v>
      </c>
      <c r="AZ275" s="485">
        <f t="shared" si="155"/>
        <v>2755.0333333333333</v>
      </c>
      <c r="BA275" s="481">
        <f t="shared" si="156"/>
        <v>2610.6666666666665</v>
      </c>
    </row>
    <row r="276" spans="1:53">
      <c r="A276" s="730" t="s">
        <v>270</v>
      </c>
      <c r="B276" s="736" t="s">
        <v>785</v>
      </c>
      <c r="C276" s="732"/>
      <c r="D276" s="733">
        <v>176169</v>
      </c>
      <c r="E276" s="734">
        <v>9</v>
      </c>
      <c r="F276" s="486" t="s">
        <v>41</v>
      </c>
      <c r="G276" s="529" t="s">
        <v>41</v>
      </c>
      <c r="H276" s="506"/>
      <c r="I276" s="488"/>
      <c r="J276" s="735">
        <v>42980</v>
      </c>
      <c r="K276" s="488">
        <v>39416</v>
      </c>
      <c r="L276" s="506">
        <v>4311</v>
      </c>
      <c r="M276" s="488">
        <v>3638</v>
      </c>
      <c r="N276" s="506">
        <v>44847</v>
      </c>
      <c r="O276" s="488">
        <v>42213</v>
      </c>
      <c r="P276" s="479">
        <f t="shared" si="139"/>
        <v>92138</v>
      </c>
      <c r="Q276" s="480">
        <f t="shared" si="140"/>
        <v>3071.2666666666669</v>
      </c>
      <c r="R276" s="481">
        <f t="shared" si="141"/>
        <v>85267</v>
      </c>
      <c r="S276" s="482">
        <f t="shared" si="142"/>
        <v>2842.2333333333331</v>
      </c>
      <c r="T276" s="506">
        <v>954</v>
      </c>
      <c r="U276" s="507">
        <v>665</v>
      </c>
      <c r="V276" s="479">
        <f t="shared" si="143"/>
        <v>92138</v>
      </c>
      <c r="W276" s="478">
        <f t="shared" si="144"/>
        <v>85267</v>
      </c>
      <c r="X276" s="506"/>
      <c r="Y276" s="488"/>
      <c r="Z276" s="506"/>
      <c r="AA276" s="488"/>
      <c r="AB276" s="506"/>
      <c r="AC276" s="488"/>
      <c r="AD276" s="506"/>
      <c r="AE276" s="507"/>
      <c r="AF276" s="479">
        <f t="shared" si="145"/>
        <v>0</v>
      </c>
      <c r="AG276" s="480">
        <f t="shared" si="146"/>
        <v>0</v>
      </c>
      <c r="AH276" s="481">
        <f t="shared" si="147"/>
        <v>0</v>
      </c>
      <c r="AI276" s="481">
        <f t="shared" si="148"/>
        <v>0</v>
      </c>
      <c r="AJ276" s="487"/>
      <c r="AK276" s="507"/>
      <c r="AL276" s="479">
        <f t="shared" si="149"/>
        <v>0</v>
      </c>
      <c r="AM276" s="482">
        <f t="shared" si="150"/>
        <v>0</v>
      </c>
      <c r="AN276" s="487"/>
      <c r="AO276" s="488"/>
      <c r="AP276" s="487"/>
      <c r="AQ276" s="488"/>
      <c r="AR276" s="487"/>
      <c r="AS276" s="488"/>
      <c r="AT276" s="487"/>
      <c r="AU276" s="488"/>
      <c r="AV276" s="479">
        <f t="shared" si="151"/>
        <v>0</v>
      </c>
      <c r="AW276" s="483">
        <f t="shared" si="152"/>
        <v>0</v>
      </c>
      <c r="AX276" s="481">
        <f t="shared" si="153"/>
        <v>0</v>
      </c>
      <c r="AY276" s="484">
        <f t="shared" si="154"/>
        <v>0</v>
      </c>
      <c r="AZ276" s="485">
        <f t="shared" si="155"/>
        <v>3071.2666666666669</v>
      </c>
      <c r="BA276" s="481">
        <f t="shared" si="156"/>
        <v>2842.2333333333331</v>
      </c>
    </row>
    <row r="277" spans="1:53">
      <c r="A277" s="730" t="s">
        <v>270</v>
      </c>
      <c r="B277" s="736" t="s">
        <v>786</v>
      </c>
      <c r="C277" s="732"/>
      <c r="D277" s="733">
        <v>176239</v>
      </c>
      <c r="E277" s="734">
        <v>9</v>
      </c>
      <c r="F277" s="486" t="s">
        <v>41</v>
      </c>
      <c r="G277" s="529" t="s">
        <v>41</v>
      </c>
      <c r="H277" s="506"/>
      <c r="I277" s="488"/>
      <c r="J277" s="735">
        <v>53088</v>
      </c>
      <c r="K277" s="488">
        <v>49974</v>
      </c>
      <c r="L277" s="506">
        <v>9651</v>
      </c>
      <c r="M277" s="488">
        <v>8844</v>
      </c>
      <c r="N277" s="506">
        <v>55101</v>
      </c>
      <c r="O277" s="488">
        <v>53674</v>
      </c>
      <c r="P277" s="479">
        <f t="shared" si="139"/>
        <v>117840</v>
      </c>
      <c r="Q277" s="480">
        <f t="shared" si="140"/>
        <v>3928</v>
      </c>
      <c r="R277" s="481">
        <f t="shared" si="141"/>
        <v>112492</v>
      </c>
      <c r="S277" s="482">
        <f t="shared" si="142"/>
        <v>3749.7333333333331</v>
      </c>
      <c r="T277" s="506">
        <v>1146</v>
      </c>
      <c r="U277" s="507">
        <v>1871</v>
      </c>
      <c r="V277" s="479">
        <f t="shared" si="143"/>
        <v>117840</v>
      </c>
      <c r="W277" s="478">
        <f t="shared" si="144"/>
        <v>112492</v>
      </c>
      <c r="X277" s="506"/>
      <c r="Y277" s="488"/>
      <c r="Z277" s="506"/>
      <c r="AA277" s="488"/>
      <c r="AB277" s="506"/>
      <c r="AC277" s="488"/>
      <c r="AD277" s="506"/>
      <c r="AE277" s="507"/>
      <c r="AF277" s="479">
        <f t="shared" si="145"/>
        <v>0</v>
      </c>
      <c r="AG277" s="480">
        <f t="shared" si="146"/>
        <v>0</v>
      </c>
      <c r="AH277" s="481">
        <f t="shared" si="147"/>
        <v>0</v>
      </c>
      <c r="AI277" s="481">
        <f t="shared" si="148"/>
        <v>0</v>
      </c>
      <c r="AJ277" s="487"/>
      <c r="AK277" s="507"/>
      <c r="AL277" s="479">
        <f t="shared" si="149"/>
        <v>0</v>
      </c>
      <c r="AM277" s="482">
        <f t="shared" si="150"/>
        <v>0</v>
      </c>
      <c r="AN277" s="487"/>
      <c r="AO277" s="488"/>
      <c r="AP277" s="487"/>
      <c r="AQ277" s="488"/>
      <c r="AR277" s="487"/>
      <c r="AS277" s="488"/>
      <c r="AT277" s="487"/>
      <c r="AU277" s="488"/>
      <c r="AV277" s="479">
        <f t="shared" si="151"/>
        <v>0</v>
      </c>
      <c r="AW277" s="483">
        <f t="shared" si="152"/>
        <v>0</v>
      </c>
      <c r="AX277" s="481">
        <f t="shared" si="153"/>
        <v>0</v>
      </c>
      <c r="AY277" s="484">
        <f t="shared" si="154"/>
        <v>0</v>
      </c>
      <c r="AZ277" s="485">
        <f t="shared" si="155"/>
        <v>3928</v>
      </c>
      <c r="BA277" s="481">
        <f t="shared" si="156"/>
        <v>3749.7333333333331</v>
      </c>
    </row>
    <row r="278" spans="1:53">
      <c r="A278" s="730" t="s">
        <v>270</v>
      </c>
      <c r="B278" s="736" t="s">
        <v>787</v>
      </c>
      <c r="C278" s="732"/>
      <c r="D278" s="733">
        <v>175519</v>
      </c>
      <c r="E278" s="734">
        <v>10</v>
      </c>
      <c r="F278" s="486" t="s">
        <v>41</v>
      </c>
      <c r="G278" s="529" t="s">
        <v>41</v>
      </c>
      <c r="H278" s="506"/>
      <c r="I278" s="488"/>
      <c r="J278" s="735">
        <v>27350</v>
      </c>
      <c r="K278" s="488">
        <v>23742</v>
      </c>
      <c r="L278" s="534">
        <v>2322</v>
      </c>
      <c r="M278" s="488">
        <v>1925</v>
      </c>
      <c r="N278" s="534">
        <v>27665</v>
      </c>
      <c r="O278" s="488">
        <v>19015</v>
      </c>
      <c r="P278" s="479">
        <f t="shared" si="139"/>
        <v>57337</v>
      </c>
      <c r="Q278" s="480">
        <f t="shared" si="140"/>
        <v>1911.2333333333333</v>
      </c>
      <c r="R278" s="481">
        <f t="shared" si="141"/>
        <v>44682</v>
      </c>
      <c r="S278" s="482">
        <f t="shared" si="142"/>
        <v>1489.4</v>
      </c>
      <c r="T278" s="534">
        <v>552</v>
      </c>
      <c r="U278" s="507">
        <v>696</v>
      </c>
      <c r="V278" s="479">
        <f t="shared" si="143"/>
        <v>57337</v>
      </c>
      <c r="W278" s="478">
        <f t="shared" si="144"/>
        <v>44682</v>
      </c>
      <c r="X278" s="506"/>
      <c r="Y278" s="488"/>
      <c r="Z278" s="506"/>
      <c r="AA278" s="488"/>
      <c r="AB278" s="506"/>
      <c r="AC278" s="488"/>
      <c r="AD278" s="506"/>
      <c r="AE278" s="507"/>
      <c r="AF278" s="479">
        <f t="shared" si="145"/>
        <v>0</v>
      </c>
      <c r="AG278" s="480">
        <f t="shared" si="146"/>
        <v>0</v>
      </c>
      <c r="AH278" s="481">
        <f t="shared" si="147"/>
        <v>0</v>
      </c>
      <c r="AI278" s="481">
        <f t="shared" si="148"/>
        <v>0</v>
      </c>
      <c r="AJ278" s="487"/>
      <c r="AK278" s="507"/>
      <c r="AL278" s="479">
        <f t="shared" si="149"/>
        <v>0</v>
      </c>
      <c r="AM278" s="482">
        <f t="shared" si="150"/>
        <v>0</v>
      </c>
      <c r="AN278" s="487"/>
      <c r="AO278" s="488"/>
      <c r="AP278" s="487"/>
      <c r="AQ278" s="488"/>
      <c r="AR278" s="487"/>
      <c r="AS278" s="488"/>
      <c r="AT278" s="487"/>
      <c r="AU278" s="488"/>
      <c r="AV278" s="479">
        <f t="shared" si="151"/>
        <v>0</v>
      </c>
      <c r="AW278" s="483">
        <f t="shared" si="152"/>
        <v>0</v>
      </c>
      <c r="AX278" s="481">
        <f t="shared" si="153"/>
        <v>0</v>
      </c>
      <c r="AY278" s="484">
        <f t="shared" si="154"/>
        <v>0</v>
      </c>
      <c r="AZ278" s="485">
        <f t="shared" si="155"/>
        <v>1911.2333333333333</v>
      </c>
      <c r="BA278" s="481">
        <f t="shared" si="156"/>
        <v>1489.4</v>
      </c>
    </row>
    <row r="279" spans="1:53">
      <c r="A279" s="730" t="s">
        <v>270</v>
      </c>
      <c r="B279" s="736" t="s">
        <v>788</v>
      </c>
      <c r="C279" s="732"/>
      <c r="D279" s="733">
        <v>176354</v>
      </c>
      <c r="E279" s="734">
        <v>10</v>
      </c>
      <c r="F279" s="486" t="s">
        <v>41</v>
      </c>
      <c r="G279" s="529" t="s">
        <v>41</v>
      </c>
      <c r="H279" s="506"/>
      <c r="I279" s="488"/>
      <c r="J279" s="735">
        <v>26090</v>
      </c>
      <c r="K279" s="488">
        <v>22834</v>
      </c>
      <c r="L279" s="506">
        <v>3362</v>
      </c>
      <c r="M279" s="488">
        <v>2538</v>
      </c>
      <c r="N279" s="506">
        <v>27629</v>
      </c>
      <c r="O279" s="488">
        <v>27625</v>
      </c>
      <c r="P279" s="479">
        <f t="shared" si="139"/>
        <v>57081</v>
      </c>
      <c r="Q279" s="480">
        <f t="shared" si="140"/>
        <v>1902.7</v>
      </c>
      <c r="R279" s="481">
        <f t="shared" si="141"/>
        <v>52997</v>
      </c>
      <c r="S279" s="482">
        <f t="shared" si="142"/>
        <v>1766.5666666666666</v>
      </c>
      <c r="T279" s="506">
        <v>728</v>
      </c>
      <c r="U279" s="507">
        <v>929</v>
      </c>
      <c r="V279" s="479">
        <f t="shared" si="143"/>
        <v>57081</v>
      </c>
      <c r="W279" s="478">
        <f t="shared" si="144"/>
        <v>52997</v>
      </c>
      <c r="X279" s="506"/>
      <c r="Y279" s="488"/>
      <c r="Z279" s="506"/>
      <c r="AA279" s="488"/>
      <c r="AB279" s="506"/>
      <c r="AC279" s="488"/>
      <c r="AD279" s="506"/>
      <c r="AE279" s="507"/>
      <c r="AF279" s="479">
        <f t="shared" si="145"/>
        <v>0</v>
      </c>
      <c r="AG279" s="480">
        <f t="shared" si="146"/>
        <v>0</v>
      </c>
      <c r="AH279" s="481">
        <f t="shared" si="147"/>
        <v>0</v>
      </c>
      <c r="AI279" s="481">
        <f t="shared" si="148"/>
        <v>0</v>
      </c>
      <c r="AJ279" s="487"/>
      <c r="AK279" s="507"/>
      <c r="AL279" s="479">
        <f t="shared" si="149"/>
        <v>0</v>
      </c>
      <c r="AM279" s="482">
        <f t="shared" si="150"/>
        <v>0</v>
      </c>
      <c r="AN279" s="487"/>
      <c r="AO279" s="488"/>
      <c r="AP279" s="487"/>
      <c r="AQ279" s="488"/>
      <c r="AR279" s="487"/>
      <c r="AS279" s="488"/>
      <c r="AT279" s="487"/>
      <c r="AU279" s="488"/>
      <c r="AV279" s="479">
        <f t="shared" si="151"/>
        <v>0</v>
      </c>
      <c r="AW279" s="483">
        <f t="shared" si="152"/>
        <v>0</v>
      </c>
      <c r="AX279" s="481">
        <f t="shared" si="153"/>
        <v>0</v>
      </c>
      <c r="AY279" s="484">
        <f t="shared" si="154"/>
        <v>0</v>
      </c>
      <c r="AZ279" s="485">
        <f t="shared" si="155"/>
        <v>1902.7</v>
      </c>
      <c r="BA279" s="481">
        <f t="shared" si="156"/>
        <v>1766.5666666666666</v>
      </c>
    </row>
    <row r="280" spans="1:53">
      <c r="A280" s="577" t="s">
        <v>268</v>
      </c>
      <c r="B280" s="578" t="s">
        <v>389</v>
      </c>
      <c r="C280" s="579"/>
      <c r="D280" s="580">
        <v>199193</v>
      </c>
      <c r="E280" s="581">
        <v>1</v>
      </c>
      <c r="F280" s="486" t="s">
        <v>41</v>
      </c>
      <c r="G280" s="529" t="s">
        <v>41</v>
      </c>
      <c r="H280" s="506"/>
      <c r="I280" s="488"/>
      <c r="J280" s="506">
        <v>323964</v>
      </c>
      <c r="K280" s="488">
        <v>319035</v>
      </c>
      <c r="L280" s="506">
        <v>57251</v>
      </c>
      <c r="M280" s="488">
        <v>53302</v>
      </c>
      <c r="N280" s="506">
        <v>345012</v>
      </c>
      <c r="O280" s="488">
        <v>341052</v>
      </c>
      <c r="P280" s="479">
        <f t="shared" si="139"/>
        <v>726227</v>
      </c>
      <c r="Q280" s="480">
        <f t="shared" si="140"/>
        <v>24207.566666666666</v>
      </c>
      <c r="R280" s="481">
        <f t="shared" si="141"/>
        <v>713389</v>
      </c>
      <c r="S280" s="482">
        <f t="shared" si="142"/>
        <v>23779.633333333335</v>
      </c>
      <c r="T280" s="506">
        <v>0</v>
      </c>
      <c r="U280" s="507">
        <v>283</v>
      </c>
      <c r="V280" s="479">
        <f t="shared" si="143"/>
        <v>726227</v>
      </c>
      <c r="W280" s="478">
        <f t="shared" si="144"/>
        <v>713389</v>
      </c>
      <c r="X280" s="506"/>
      <c r="Y280" s="488"/>
      <c r="Z280" s="506"/>
      <c r="AA280" s="488"/>
      <c r="AB280" s="506"/>
      <c r="AC280" s="488"/>
      <c r="AD280" s="506"/>
      <c r="AE280" s="507"/>
      <c r="AF280" s="479">
        <f t="shared" si="145"/>
        <v>0</v>
      </c>
      <c r="AG280" s="480">
        <f t="shared" si="146"/>
        <v>0</v>
      </c>
      <c r="AH280" s="481">
        <f t="shared" si="147"/>
        <v>0</v>
      </c>
      <c r="AI280" s="481">
        <f t="shared" si="148"/>
        <v>0</v>
      </c>
      <c r="AJ280" s="487"/>
      <c r="AK280" s="507"/>
      <c r="AL280" s="479">
        <f t="shared" si="149"/>
        <v>0</v>
      </c>
      <c r="AM280" s="482">
        <f t="shared" si="150"/>
        <v>0</v>
      </c>
      <c r="AN280" s="487"/>
      <c r="AO280" s="488"/>
      <c r="AP280" s="487">
        <v>65636</v>
      </c>
      <c r="AQ280" s="488">
        <v>62726</v>
      </c>
      <c r="AR280" s="487">
        <v>9790</v>
      </c>
      <c r="AS280" s="488">
        <v>9297</v>
      </c>
      <c r="AT280" s="487">
        <v>69181</v>
      </c>
      <c r="AU280" s="488">
        <v>68211</v>
      </c>
      <c r="AV280" s="479">
        <f t="shared" si="151"/>
        <v>144607</v>
      </c>
      <c r="AW280" s="483">
        <f t="shared" si="152"/>
        <v>6025.291666666667</v>
      </c>
      <c r="AX280" s="481">
        <f t="shared" si="153"/>
        <v>140234</v>
      </c>
      <c r="AY280" s="484">
        <f t="shared" si="154"/>
        <v>5843.083333333333</v>
      </c>
      <c r="AZ280" s="485">
        <f t="shared" si="155"/>
        <v>30232.858333333334</v>
      </c>
      <c r="BA280" s="481">
        <f t="shared" si="156"/>
        <v>29622.716666666667</v>
      </c>
    </row>
    <row r="281" spans="1:53">
      <c r="A281" s="577" t="s">
        <v>268</v>
      </c>
      <c r="B281" s="578" t="s">
        <v>390</v>
      </c>
      <c r="C281" s="579"/>
      <c r="D281" s="580">
        <v>199120</v>
      </c>
      <c r="E281" s="581">
        <v>1</v>
      </c>
      <c r="F281" s="486" t="s">
        <v>41</v>
      </c>
      <c r="G281" s="529" t="s">
        <v>41</v>
      </c>
      <c r="H281" s="506"/>
      <c r="I281" s="488"/>
      <c r="J281" s="506">
        <v>231719</v>
      </c>
      <c r="K281" s="488">
        <v>232437</v>
      </c>
      <c r="L281" s="506">
        <v>33400</v>
      </c>
      <c r="M281" s="488">
        <v>31799</v>
      </c>
      <c r="N281" s="506">
        <v>246807</v>
      </c>
      <c r="O281" s="488">
        <v>246731</v>
      </c>
      <c r="P281" s="479">
        <f t="shared" si="139"/>
        <v>511926</v>
      </c>
      <c r="Q281" s="480">
        <f t="shared" si="140"/>
        <v>17064.2</v>
      </c>
      <c r="R281" s="481">
        <f t="shared" si="141"/>
        <v>510967</v>
      </c>
      <c r="S281" s="482">
        <f t="shared" si="142"/>
        <v>17032.233333333334</v>
      </c>
      <c r="T281" s="506">
        <v>9</v>
      </c>
      <c r="U281" s="507">
        <v>41</v>
      </c>
      <c r="V281" s="479">
        <f t="shared" si="143"/>
        <v>511926</v>
      </c>
      <c r="W281" s="478">
        <f t="shared" si="144"/>
        <v>510967</v>
      </c>
      <c r="X281" s="506"/>
      <c r="Y281" s="488"/>
      <c r="Z281" s="506"/>
      <c r="AA281" s="488"/>
      <c r="AB281" s="506"/>
      <c r="AC281" s="488"/>
      <c r="AD281" s="506"/>
      <c r="AE281" s="507"/>
      <c r="AF281" s="479">
        <f t="shared" si="145"/>
        <v>0</v>
      </c>
      <c r="AG281" s="480">
        <f t="shared" si="146"/>
        <v>0</v>
      </c>
      <c r="AH281" s="481">
        <f t="shared" si="147"/>
        <v>0</v>
      </c>
      <c r="AI281" s="481">
        <f t="shared" si="148"/>
        <v>0</v>
      </c>
      <c r="AJ281" s="487"/>
      <c r="AK281" s="507"/>
      <c r="AL281" s="479">
        <f t="shared" si="149"/>
        <v>0</v>
      </c>
      <c r="AM281" s="482">
        <f t="shared" si="150"/>
        <v>0</v>
      </c>
      <c r="AN281" s="487"/>
      <c r="AO281" s="488"/>
      <c r="AP281" s="487">
        <v>82666</v>
      </c>
      <c r="AQ281" s="488">
        <v>87095</v>
      </c>
      <c r="AR281" s="487">
        <v>12708</v>
      </c>
      <c r="AS281" s="488">
        <v>13082</v>
      </c>
      <c r="AT281" s="487">
        <v>95958</v>
      </c>
      <c r="AU281" s="488">
        <v>93594</v>
      </c>
      <c r="AV281" s="479">
        <f t="shared" si="151"/>
        <v>191332</v>
      </c>
      <c r="AW281" s="483">
        <f t="shared" si="152"/>
        <v>7972.166666666667</v>
      </c>
      <c r="AX281" s="481">
        <f t="shared" si="153"/>
        <v>193771</v>
      </c>
      <c r="AY281" s="484">
        <f t="shared" si="154"/>
        <v>8073.791666666667</v>
      </c>
      <c r="AZ281" s="485">
        <f t="shared" si="155"/>
        <v>25036.366666666669</v>
      </c>
      <c r="BA281" s="481">
        <f t="shared" si="156"/>
        <v>25106.025000000001</v>
      </c>
    </row>
    <row r="282" spans="1:53">
      <c r="A282" s="577" t="s">
        <v>268</v>
      </c>
      <c r="B282" s="582" t="s">
        <v>391</v>
      </c>
      <c r="C282" s="583"/>
      <c r="D282" s="580">
        <v>199148</v>
      </c>
      <c r="E282" s="584">
        <v>1</v>
      </c>
      <c r="F282" s="486" t="s">
        <v>41</v>
      </c>
      <c r="G282" s="529" t="s">
        <v>41</v>
      </c>
      <c r="H282" s="506"/>
      <c r="I282" s="488"/>
      <c r="J282" s="506">
        <v>178744</v>
      </c>
      <c r="K282" s="488">
        <v>182359</v>
      </c>
      <c r="L282" s="506">
        <v>22682</v>
      </c>
      <c r="M282" s="488">
        <v>29577</v>
      </c>
      <c r="N282" s="506">
        <v>195598</v>
      </c>
      <c r="O282" s="488">
        <v>191314</v>
      </c>
      <c r="P282" s="479">
        <f t="shared" si="139"/>
        <v>397024</v>
      </c>
      <c r="Q282" s="480">
        <f t="shared" si="140"/>
        <v>13234.133333333333</v>
      </c>
      <c r="R282" s="481">
        <f t="shared" si="141"/>
        <v>403250</v>
      </c>
      <c r="S282" s="482">
        <f t="shared" si="142"/>
        <v>13441.666666666666</v>
      </c>
      <c r="T282" s="506">
        <v>0</v>
      </c>
      <c r="U282" s="507">
        <v>793</v>
      </c>
      <c r="V282" s="479">
        <f t="shared" si="143"/>
        <v>397024</v>
      </c>
      <c r="W282" s="478">
        <f t="shared" si="144"/>
        <v>403250</v>
      </c>
      <c r="X282" s="506"/>
      <c r="Y282" s="488"/>
      <c r="Z282" s="506"/>
      <c r="AA282" s="488"/>
      <c r="AB282" s="506"/>
      <c r="AC282" s="488"/>
      <c r="AD282" s="506"/>
      <c r="AE282" s="507"/>
      <c r="AF282" s="479">
        <f t="shared" si="145"/>
        <v>0</v>
      </c>
      <c r="AG282" s="480">
        <f t="shared" si="146"/>
        <v>0</v>
      </c>
      <c r="AH282" s="481">
        <f t="shared" si="147"/>
        <v>0</v>
      </c>
      <c r="AI282" s="481">
        <f t="shared" si="148"/>
        <v>0</v>
      </c>
      <c r="AJ282" s="487"/>
      <c r="AK282" s="507"/>
      <c r="AL282" s="479">
        <f t="shared" si="149"/>
        <v>0</v>
      </c>
      <c r="AM282" s="482">
        <f t="shared" si="150"/>
        <v>0</v>
      </c>
      <c r="AN282" s="487"/>
      <c r="AO282" s="488"/>
      <c r="AP282" s="487">
        <v>31008</v>
      </c>
      <c r="AQ282" s="488">
        <v>30540</v>
      </c>
      <c r="AR282" s="487">
        <v>4749</v>
      </c>
      <c r="AS282" s="488">
        <v>6343</v>
      </c>
      <c r="AT282" s="487">
        <v>31337</v>
      </c>
      <c r="AU282" s="488">
        <v>29915</v>
      </c>
      <c r="AV282" s="479">
        <f t="shared" si="151"/>
        <v>67094</v>
      </c>
      <c r="AW282" s="483">
        <f t="shared" si="152"/>
        <v>2795.5833333333335</v>
      </c>
      <c r="AX282" s="481">
        <f t="shared" si="153"/>
        <v>66798</v>
      </c>
      <c r="AY282" s="484">
        <f t="shared" si="154"/>
        <v>2783.25</v>
      </c>
      <c r="AZ282" s="485">
        <f t="shared" si="155"/>
        <v>16029.716666666667</v>
      </c>
      <c r="BA282" s="481">
        <f t="shared" si="156"/>
        <v>16224.916666666666</v>
      </c>
    </row>
    <row r="283" spans="1:53">
      <c r="A283" s="577" t="s">
        <v>268</v>
      </c>
      <c r="B283" s="582" t="s">
        <v>392</v>
      </c>
      <c r="C283" s="583"/>
      <c r="D283" s="580">
        <v>198464</v>
      </c>
      <c r="E283" s="650">
        <v>2</v>
      </c>
      <c r="F283" s="486" t="s">
        <v>41</v>
      </c>
      <c r="G283" s="529" t="s">
        <v>41</v>
      </c>
      <c r="H283" s="506"/>
      <c r="I283" s="488"/>
      <c r="J283" s="506">
        <v>259153</v>
      </c>
      <c r="K283" s="488">
        <v>253531</v>
      </c>
      <c r="L283" s="506">
        <v>33163</v>
      </c>
      <c r="M283" s="488">
        <v>49366</v>
      </c>
      <c r="N283" s="506">
        <v>277036</v>
      </c>
      <c r="O283" s="488">
        <v>280838</v>
      </c>
      <c r="P283" s="479">
        <f t="shared" si="139"/>
        <v>569352</v>
      </c>
      <c r="Q283" s="480">
        <f t="shared" si="140"/>
        <v>18978.400000000001</v>
      </c>
      <c r="R283" s="481">
        <f t="shared" si="141"/>
        <v>583735</v>
      </c>
      <c r="S283" s="482">
        <f t="shared" si="142"/>
        <v>19457.833333333332</v>
      </c>
      <c r="T283" s="506">
        <v>600</v>
      </c>
      <c r="U283" s="507">
        <v>1254</v>
      </c>
      <c r="V283" s="479">
        <f t="shared" si="143"/>
        <v>569352</v>
      </c>
      <c r="W283" s="478">
        <f t="shared" si="144"/>
        <v>583735</v>
      </c>
      <c r="X283" s="506"/>
      <c r="Y283" s="488"/>
      <c r="Z283" s="506"/>
      <c r="AA283" s="488"/>
      <c r="AB283" s="506"/>
      <c r="AC283" s="488"/>
      <c r="AD283" s="506"/>
      <c r="AE283" s="507"/>
      <c r="AF283" s="479">
        <f t="shared" si="145"/>
        <v>0</v>
      </c>
      <c r="AG283" s="480">
        <f t="shared" si="146"/>
        <v>0</v>
      </c>
      <c r="AH283" s="481">
        <f t="shared" si="147"/>
        <v>0</v>
      </c>
      <c r="AI283" s="481">
        <f t="shared" si="148"/>
        <v>0</v>
      </c>
      <c r="AJ283" s="487"/>
      <c r="AK283" s="507"/>
      <c r="AL283" s="479">
        <f t="shared" si="149"/>
        <v>0</v>
      </c>
      <c r="AM283" s="482">
        <f t="shared" si="150"/>
        <v>0</v>
      </c>
      <c r="AN283" s="487"/>
      <c r="AO283" s="488"/>
      <c r="AP283" s="487">
        <v>40980</v>
      </c>
      <c r="AQ283" s="488">
        <v>33892</v>
      </c>
      <c r="AR283" s="487">
        <v>12385</v>
      </c>
      <c r="AS283" s="488">
        <v>16525</v>
      </c>
      <c r="AT283" s="487">
        <v>37321</v>
      </c>
      <c r="AU283" s="488">
        <v>34680</v>
      </c>
      <c r="AV283" s="479">
        <f t="shared" si="151"/>
        <v>90686</v>
      </c>
      <c r="AW283" s="483">
        <f t="shared" si="152"/>
        <v>3778.5833333333335</v>
      </c>
      <c r="AX283" s="481">
        <f t="shared" si="153"/>
        <v>85097</v>
      </c>
      <c r="AY283" s="484">
        <f t="shared" si="154"/>
        <v>3545.7083333333335</v>
      </c>
      <c r="AZ283" s="485">
        <f t="shared" si="155"/>
        <v>22756.983333333334</v>
      </c>
      <c r="BA283" s="481">
        <f t="shared" si="156"/>
        <v>23003.541666666664</v>
      </c>
    </row>
    <row r="284" spans="1:53">
      <c r="A284" s="577" t="s">
        <v>268</v>
      </c>
      <c r="B284" s="578" t="s">
        <v>393</v>
      </c>
      <c r="C284" s="579" t="s">
        <v>611</v>
      </c>
      <c r="D284" s="580">
        <v>199139</v>
      </c>
      <c r="E284" s="581">
        <v>2</v>
      </c>
      <c r="F284" s="486" t="s">
        <v>41</v>
      </c>
      <c r="G284" s="529" t="s">
        <v>41</v>
      </c>
      <c r="H284" s="506"/>
      <c r="I284" s="488"/>
      <c r="J284" s="506">
        <v>256102</v>
      </c>
      <c r="K284" s="488">
        <v>264729</v>
      </c>
      <c r="L284" s="506">
        <v>42295</v>
      </c>
      <c r="M284" s="488">
        <v>41891</v>
      </c>
      <c r="N284" s="506">
        <v>284908</v>
      </c>
      <c r="O284" s="488">
        <v>289413</v>
      </c>
      <c r="P284" s="479">
        <f t="shared" si="139"/>
        <v>583305</v>
      </c>
      <c r="Q284" s="480">
        <f t="shared" si="140"/>
        <v>19443.5</v>
      </c>
      <c r="R284" s="481">
        <f t="shared" si="141"/>
        <v>596033</v>
      </c>
      <c r="S284" s="482">
        <f t="shared" si="142"/>
        <v>19867.766666666666</v>
      </c>
      <c r="T284" s="506">
        <v>0</v>
      </c>
      <c r="U284" s="507">
        <v>0</v>
      </c>
      <c r="V284" s="479">
        <f t="shared" si="143"/>
        <v>583305</v>
      </c>
      <c r="W284" s="478">
        <f t="shared" si="144"/>
        <v>596033</v>
      </c>
      <c r="X284" s="506"/>
      <c r="Y284" s="488"/>
      <c r="Z284" s="506"/>
      <c r="AA284" s="488"/>
      <c r="AB284" s="506"/>
      <c r="AC284" s="488"/>
      <c r="AD284" s="506"/>
      <c r="AE284" s="507"/>
      <c r="AF284" s="479">
        <f t="shared" si="145"/>
        <v>0</v>
      </c>
      <c r="AG284" s="480">
        <f t="shared" si="146"/>
        <v>0</v>
      </c>
      <c r="AH284" s="481">
        <f t="shared" si="147"/>
        <v>0</v>
      </c>
      <c r="AI284" s="481">
        <f t="shared" si="148"/>
        <v>0</v>
      </c>
      <c r="AJ284" s="487"/>
      <c r="AK284" s="507"/>
      <c r="AL284" s="479">
        <f t="shared" si="149"/>
        <v>0</v>
      </c>
      <c r="AM284" s="482">
        <f t="shared" si="150"/>
        <v>0</v>
      </c>
      <c r="AN284" s="487"/>
      <c r="AO284" s="488"/>
      <c r="AP284" s="487">
        <v>30187</v>
      </c>
      <c r="AQ284" s="488">
        <v>31326</v>
      </c>
      <c r="AR284" s="487">
        <v>9789</v>
      </c>
      <c r="AS284" s="488">
        <v>10021</v>
      </c>
      <c r="AT284" s="487">
        <v>32560</v>
      </c>
      <c r="AU284" s="488">
        <v>34620</v>
      </c>
      <c r="AV284" s="479">
        <f t="shared" si="151"/>
        <v>72536</v>
      </c>
      <c r="AW284" s="483">
        <f t="shared" si="152"/>
        <v>3022.3333333333335</v>
      </c>
      <c r="AX284" s="481">
        <f t="shared" si="153"/>
        <v>75967</v>
      </c>
      <c r="AY284" s="484">
        <f t="shared" si="154"/>
        <v>3165.2916666666665</v>
      </c>
      <c r="AZ284" s="485">
        <f t="shared" si="155"/>
        <v>22465.833333333332</v>
      </c>
      <c r="BA284" s="481">
        <f t="shared" si="156"/>
        <v>23033.058333333334</v>
      </c>
    </row>
    <row r="285" spans="1:53">
      <c r="A285" s="577" t="s">
        <v>268</v>
      </c>
      <c r="B285" s="578" t="s">
        <v>394</v>
      </c>
      <c r="C285" s="579"/>
      <c r="D285" s="580">
        <v>197869</v>
      </c>
      <c r="E285" s="581">
        <v>3</v>
      </c>
      <c r="F285" s="486" t="s">
        <v>41</v>
      </c>
      <c r="G285" s="529" t="s">
        <v>41</v>
      </c>
      <c r="H285" s="506"/>
      <c r="I285" s="488"/>
      <c r="J285" s="506">
        <v>213142</v>
      </c>
      <c r="K285" s="488">
        <v>215067</v>
      </c>
      <c r="L285" s="506">
        <v>32298</v>
      </c>
      <c r="M285" s="488">
        <v>33474</v>
      </c>
      <c r="N285" s="506">
        <v>229156</v>
      </c>
      <c r="O285" s="488">
        <v>233852</v>
      </c>
      <c r="P285" s="479">
        <f t="shared" si="139"/>
        <v>474596</v>
      </c>
      <c r="Q285" s="480">
        <f t="shared" si="140"/>
        <v>15819.866666666667</v>
      </c>
      <c r="R285" s="481">
        <f t="shared" si="141"/>
        <v>482393</v>
      </c>
      <c r="S285" s="482">
        <f t="shared" si="142"/>
        <v>16079.766666666666</v>
      </c>
      <c r="T285" s="506">
        <v>0</v>
      </c>
      <c r="U285" s="507">
        <v>0</v>
      </c>
      <c r="V285" s="479">
        <f t="shared" si="143"/>
        <v>474596</v>
      </c>
      <c r="W285" s="478">
        <f t="shared" si="144"/>
        <v>482393</v>
      </c>
      <c r="X285" s="506"/>
      <c r="Y285" s="488"/>
      <c r="Z285" s="506"/>
      <c r="AA285" s="488"/>
      <c r="AB285" s="506"/>
      <c r="AC285" s="488"/>
      <c r="AD285" s="506"/>
      <c r="AE285" s="507"/>
      <c r="AF285" s="479">
        <f t="shared" si="145"/>
        <v>0</v>
      </c>
      <c r="AG285" s="480">
        <f t="shared" si="146"/>
        <v>0</v>
      </c>
      <c r="AH285" s="481">
        <f t="shared" si="147"/>
        <v>0</v>
      </c>
      <c r="AI285" s="481">
        <f t="shared" si="148"/>
        <v>0</v>
      </c>
      <c r="AJ285" s="487"/>
      <c r="AK285" s="507"/>
      <c r="AL285" s="479">
        <f t="shared" si="149"/>
        <v>0</v>
      </c>
      <c r="AM285" s="482">
        <f t="shared" si="150"/>
        <v>0</v>
      </c>
      <c r="AN285" s="487"/>
      <c r="AO285" s="488"/>
      <c r="AP285" s="487">
        <v>13946</v>
      </c>
      <c r="AQ285" s="488">
        <v>13852</v>
      </c>
      <c r="AR285" s="487">
        <v>7312</v>
      </c>
      <c r="AS285" s="488">
        <v>7766</v>
      </c>
      <c r="AT285" s="487">
        <v>14147</v>
      </c>
      <c r="AU285" s="488">
        <v>14208</v>
      </c>
      <c r="AV285" s="479">
        <f t="shared" si="151"/>
        <v>35405</v>
      </c>
      <c r="AW285" s="483">
        <f t="shared" si="152"/>
        <v>1475.2083333333333</v>
      </c>
      <c r="AX285" s="481">
        <f t="shared" si="153"/>
        <v>35826</v>
      </c>
      <c r="AY285" s="484">
        <f t="shared" si="154"/>
        <v>1492.75</v>
      </c>
      <c r="AZ285" s="485">
        <f t="shared" si="155"/>
        <v>17295.075000000001</v>
      </c>
      <c r="BA285" s="481">
        <f t="shared" si="156"/>
        <v>17572.516666666666</v>
      </c>
    </row>
    <row r="286" spans="1:53">
      <c r="A286" s="577" t="s">
        <v>268</v>
      </c>
      <c r="B286" s="578" t="s">
        <v>395</v>
      </c>
      <c r="C286" s="579"/>
      <c r="D286" s="580">
        <v>199102</v>
      </c>
      <c r="E286" s="581">
        <v>3</v>
      </c>
      <c r="F286" s="486" t="s">
        <v>41</v>
      </c>
      <c r="G286" s="529" t="s">
        <v>41</v>
      </c>
      <c r="H286" s="506"/>
      <c r="I286" s="488"/>
      <c r="J286" s="506">
        <v>116005</v>
      </c>
      <c r="K286" s="488">
        <v>114742</v>
      </c>
      <c r="L286" s="506">
        <v>18704</v>
      </c>
      <c r="M286" s="488">
        <v>17414</v>
      </c>
      <c r="N286" s="506">
        <v>122533</v>
      </c>
      <c r="O286" s="488">
        <v>122753</v>
      </c>
      <c r="P286" s="479">
        <f t="shared" si="139"/>
        <v>257242</v>
      </c>
      <c r="Q286" s="480">
        <f t="shared" si="140"/>
        <v>8574.7333333333336</v>
      </c>
      <c r="R286" s="481">
        <f t="shared" si="141"/>
        <v>254909</v>
      </c>
      <c r="S286" s="482">
        <f t="shared" si="142"/>
        <v>8496.9666666666672</v>
      </c>
      <c r="T286" s="506">
        <v>370</v>
      </c>
      <c r="U286" s="507">
        <v>36</v>
      </c>
      <c r="V286" s="479">
        <f t="shared" si="143"/>
        <v>257242</v>
      </c>
      <c r="W286" s="478">
        <f t="shared" si="144"/>
        <v>254909</v>
      </c>
      <c r="X286" s="506"/>
      <c r="Y286" s="488"/>
      <c r="Z286" s="506"/>
      <c r="AA286" s="488"/>
      <c r="AB286" s="506"/>
      <c r="AC286" s="488"/>
      <c r="AD286" s="506"/>
      <c r="AE286" s="507"/>
      <c r="AF286" s="479">
        <f t="shared" si="145"/>
        <v>0</v>
      </c>
      <c r="AG286" s="480">
        <f t="shared" si="146"/>
        <v>0</v>
      </c>
      <c r="AH286" s="481">
        <f t="shared" si="147"/>
        <v>0</v>
      </c>
      <c r="AI286" s="481">
        <f t="shared" si="148"/>
        <v>0</v>
      </c>
      <c r="AJ286" s="487"/>
      <c r="AK286" s="507"/>
      <c r="AL286" s="479">
        <f t="shared" si="149"/>
        <v>0</v>
      </c>
      <c r="AM286" s="482">
        <f t="shared" si="150"/>
        <v>0</v>
      </c>
      <c r="AN286" s="487"/>
      <c r="AO286" s="488"/>
      <c r="AP286" s="487">
        <v>14873</v>
      </c>
      <c r="AQ286" s="488">
        <v>14296</v>
      </c>
      <c r="AR286" s="487">
        <v>3905</v>
      </c>
      <c r="AS286" s="488">
        <v>3363</v>
      </c>
      <c r="AT286" s="487">
        <v>14548</v>
      </c>
      <c r="AU286" s="488">
        <v>15085</v>
      </c>
      <c r="AV286" s="479">
        <f t="shared" si="151"/>
        <v>33326</v>
      </c>
      <c r="AW286" s="483">
        <f t="shared" si="152"/>
        <v>1388.5833333333333</v>
      </c>
      <c r="AX286" s="481">
        <f t="shared" si="153"/>
        <v>32744</v>
      </c>
      <c r="AY286" s="484">
        <f t="shared" si="154"/>
        <v>1364.3333333333333</v>
      </c>
      <c r="AZ286" s="485">
        <f t="shared" si="155"/>
        <v>9963.3166666666675</v>
      </c>
      <c r="BA286" s="481">
        <f t="shared" si="156"/>
        <v>9861.3000000000011</v>
      </c>
    </row>
    <row r="287" spans="1:53">
      <c r="A287" s="585" t="s">
        <v>268</v>
      </c>
      <c r="B287" s="578" t="s">
        <v>396</v>
      </c>
      <c r="C287" s="579"/>
      <c r="D287" s="580">
        <v>199157</v>
      </c>
      <c r="E287" s="581">
        <v>3</v>
      </c>
      <c r="F287" s="486" t="s">
        <v>41</v>
      </c>
      <c r="G287" s="529" t="s">
        <v>41</v>
      </c>
      <c r="H287" s="506"/>
      <c r="I287" s="488"/>
      <c r="J287" s="506">
        <v>80446</v>
      </c>
      <c r="K287" s="488">
        <v>82055</v>
      </c>
      <c r="L287" s="506">
        <v>20406</v>
      </c>
      <c r="M287" s="488">
        <v>20041</v>
      </c>
      <c r="N287" s="506">
        <v>87385</v>
      </c>
      <c r="O287" s="488">
        <v>82933</v>
      </c>
      <c r="P287" s="479">
        <f t="shared" si="139"/>
        <v>188237</v>
      </c>
      <c r="Q287" s="480">
        <f t="shared" si="140"/>
        <v>6274.5666666666666</v>
      </c>
      <c r="R287" s="481">
        <f t="shared" si="141"/>
        <v>185029</v>
      </c>
      <c r="S287" s="482">
        <f t="shared" si="142"/>
        <v>6167.6333333333332</v>
      </c>
      <c r="T287" s="506">
        <v>4031</v>
      </c>
      <c r="U287" s="507">
        <v>3951</v>
      </c>
      <c r="V287" s="479">
        <f t="shared" si="143"/>
        <v>188237</v>
      </c>
      <c r="W287" s="478">
        <f t="shared" si="144"/>
        <v>185029</v>
      </c>
      <c r="X287" s="506"/>
      <c r="Y287" s="488"/>
      <c r="Z287" s="506"/>
      <c r="AA287" s="488"/>
      <c r="AB287" s="506"/>
      <c r="AC287" s="488"/>
      <c r="AD287" s="506"/>
      <c r="AE287" s="507"/>
      <c r="AF287" s="479">
        <f t="shared" si="145"/>
        <v>0</v>
      </c>
      <c r="AG287" s="480">
        <f t="shared" si="146"/>
        <v>0</v>
      </c>
      <c r="AH287" s="481">
        <f t="shared" si="147"/>
        <v>0</v>
      </c>
      <c r="AI287" s="481">
        <f t="shared" si="148"/>
        <v>0</v>
      </c>
      <c r="AJ287" s="487"/>
      <c r="AK287" s="507"/>
      <c r="AL287" s="479">
        <f t="shared" si="149"/>
        <v>0</v>
      </c>
      <c r="AM287" s="482">
        <f t="shared" si="150"/>
        <v>0</v>
      </c>
      <c r="AN287" s="487"/>
      <c r="AO287" s="488"/>
      <c r="AP287" s="487">
        <v>16569</v>
      </c>
      <c r="AQ287" s="488">
        <v>17032</v>
      </c>
      <c r="AR287" s="487">
        <v>4720</v>
      </c>
      <c r="AS287" s="488">
        <v>4178</v>
      </c>
      <c r="AT287" s="487">
        <v>18295</v>
      </c>
      <c r="AU287" s="488">
        <v>18058</v>
      </c>
      <c r="AV287" s="479">
        <f t="shared" si="151"/>
        <v>39584</v>
      </c>
      <c r="AW287" s="483">
        <f t="shared" si="152"/>
        <v>1649.3333333333333</v>
      </c>
      <c r="AX287" s="481">
        <f t="shared" si="153"/>
        <v>39268</v>
      </c>
      <c r="AY287" s="484">
        <f t="shared" si="154"/>
        <v>1636.1666666666667</v>
      </c>
      <c r="AZ287" s="485">
        <f t="shared" si="155"/>
        <v>7923.9</v>
      </c>
      <c r="BA287" s="481">
        <f t="shared" si="156"/>
        <v>7803.8</v>
      </c>
    </row>
    <row r="288" spans="1:53">
      <c r="A288" s="577" t="s">
        <v>268</v>
      </c>
      <c r="B288" s="578" t="s">
        <v>397</v>
      </c>
      <c r="C288" s="579"/>
      <c r="D288" s="580">
        <v>199218</v>
      </c>
      <c r="E288" s="581">
        <v>3</v>
      </c>
      <c r="F288" s="486" t="s">
        <v>41</v>
      </c>
      <c r="G288" s="529" t="s">
        <v>41</v>
      </c>
      <c r="H288" s="506"/>
      <c r="I288" s="488"/>
      <c r="J288" s="506">
        <v>155231</v>
      </c>
      <c r="K288" s="488">
        <v>162385</v>
      </c>
      <c r="L288" s="506">
        <v>30569</v>
      </c>
      <c r="M288" s="488">
        <v>31076</v>
      </c>
      <c r="N288" s="506">
        <v>174508</v>
      </c>
      <c r="O288" s="507">
        <v>175583</v>
      </c>
      <c r="P288" s="479">
        <f t="shared" si="139"/>
        <v>360308</v>
      </c>
      <c r="Q288" s="480">
        <f t="shared" si="140"/>
        <v>12010.266666666666</v>
      </c>
      <c r="R288" s="481">
        <f t="shared" si="141"/>
        <v>369044</v>
      </c>
      <c r="S288" s="482">
        <f t="shared" si="142"/>
        <v>12301.466666666667</v>
      </c>
      <c r="T288" s="506">
        <v>2102</v>
      </c>
      <c r="U288" s="507">
        <v>1993</v>
      </c>
      <c r="V288" s="479">
        <f t="shared" si="143"/>
        <v>360308</v>
      </c>
      <c r="W288" s="478">
        <f t="shared" si="144"/>
        <v>369044</v>
      </c>
      <c r="X288" s="506"/>
      <c r="Y288" s="488"/>
      <c r="Z288" s="506"/>
      <c r="AA288" s="488"/>
      <c r="AB288" s="506"/>
      <c r="AC288" s="488"/>
      <c r="AD288" s="506"/>
      <c r="AE288" s="507"/>
      <c r="AF288" s="479">
        <f t="shared" si="145"/>
        <v>0</v>
      </c>
      <c r="AG288" s="480">
        <f t="shared" si="146"/>
        <v>0</v>
      </c>
      <c r="AH288" s="481">
        <f t="shared" si="147"/>
        <v>0</v>
      </c>
      <c r="AI288" s="481">
        <f t="shared" si="148"/>
        <v>0</v>
      </c>
      <c r="AJ288" s="487"/>
      <c r="AK288" s="507"/>
      <c r="AL288" s="479">
        <f t="shared" si="149"/>
        <v>0</v>
      </c>
      <c r="AM288" s="482">
        <f t="shared" si="150"/>
        <v>0</v>
      </c>
      <c r="AN288" s="487"/>
      <c r="AO288" s="488"/>
      <c r="AP288" s="487">
        <v>8473</v>
      </c>
      <c r="AQ288" s="507">
        <v>9527</v>
      </c>
      <c r="AR288" s="487">
        <v>2347</v>
      </c>
      <c r="AS288" s="488">
        <v>2962</v>
      </c>
      <c r="AT288" s="487">
        <v>9568</v>
      </c>
      <c r="AU288" s="507">
        <v>10695</v>
      </c>
      <c r="AV288" s="479">
        <f t="shared" si="151"/>
        <v>20388</v>
      </c>
      <c r="AW288" s="483">
        <f t="shared" si="152"/>
        <v>849.5</v>
      </c>
      <c r="AX288" s="481">
        <f t="shared" si="153"/>
        <v>23184</v>
      </c>
      <c r="AY288" s="484">
        <f t="shared" si="154"/>
        <v>966</v>
      </c>
      <c r="AZ288" s="485">
        <f t="shared" si="155"/>
        <v>12859.766666666666</v>
      </c>
      <c r="BA288" s="481">
        <f t="shared" si="156"/>
        <v>13267.466666666667</v>
      </c>
    </row>
    <row r="289" spans="1:53">
      <c r="A289" s="577" t="s">
        <v>268</v>
      </c>
      <c r="B289" s="578" t="s">
        <v>398</v>
      </c>
      <c r="C289" s="579"/>
      <c r="D289" s="580">
        <v>200004</v>
      </c>
      <c r="E289" s="581">
        <v>3</v>
      </c>
      <c r="F289" s="486" t="s">
        <v>41</v>
      </c>
      <c r="G289" s="529" t="s">
        <v>41</v>
      </c>
      <c r="H289" s="506"/>
      <c r="I289" s="488"/>
      <c r="J289" s="506">
        <v>98306</v>
      </c>
      <c r="K289" s="488">
        <v>102833</v>
      </c>
      <c r="L289" s="506">
        <v>14850</v>
      </c>
      <c r="M289" s="488">
        <v>15270</v>
      </c>
      <c r="N289" s="506">
        <v>108766</v>
      </c>
      <c r="O289" s="507">
        <v>114489</v>
      </c>
      <c r="P289" s="479">
        <f t="shared" si="139"/>
        <v>221922</v>
      </c>
      <c r="Q289" s="480">
        <f t="shared" si="140"/>
        <v>7397.4</v>
      </c>
      <c r="R289" s="481">
        <f t="shared" si="141"/>
        <v>232592</v>
      </c>
      <c r="S289" s="482">
        <f t="shared" si="142"/>
        <v>7753.0666666666666</v>
      </c>
      <c r="T289" s="506">
        <v>0</v>
      </c>
      <c r="U289" s="507">
        <v>0</v>
      </c>
      <c r="V289" s="479">
        <f t="shared" si="143"/>
        <v>221922</v>
      </c>
      <c r="W289" s="478">
        <f t="shared" si="144"/>
        <v>232592</v>
      </c>
      <c r="X289" s="506"/>
      <c r="Y289" s="488"/>
      <c r="Z289" s="506"/>
      <c r="AA289" s="488"/>
      <c r="AB289" s="506"/>
      <c r="AC289" s="488"/>
      <c r="AD289" s="506"/>
      <c r="AE289" s="507"/>
      <c r="AF289" s="479">
        <f t="shared" si="145"/>
        <v>0</v>
      </c>
      <c r="AG289" s="480">
        <f t="shared" si="146"/>
        <v>0</v>
      </c>
      <c r="AH289" s="481">
        <f t="shared" si="147"/>
        <v>0</v>
      </c>
      <c r="AI289" s="481">
        <f t="shared" si="148"/>
        <v>0</v>
      </c>
      <c r="AJ289" s="487"/>
      <c r="AK289" s="507"/>
      <c r="AL289" s="479">
        <f t="shared" si="149"/>
        <v>0</v>
      </c>
      <c r="AM289" s="482">
        <f t="shared" si="150"/>
        <v>0</v>
      </c>
      <c r="AN289" s="487"/>
      <c r="AO289" s="488"/>
      <c r="AP289" s="487">
        <v>11963</v>
      </c>
      <c r="AQ289" s="507">
        <v>11708</v>
      </c>
      <c r="AR289" s="487">
        <v>5550</v>
      </c>
      <c r="AS289" s="488">
        <v>5583</v>
      </c>
      <c r="AT289" s="487">
        <v>12320</v>
      </c>
      <c r="AU289" s="507">
        <v>12728</v>
      </c>
      <c r="AV289" s="479">
        <f t="shared" si="151"/>
        <v>29833</v>
      </c>
      <c r="AW289" s="483">
        <f t="shared" si="152"/>
        <v>1243.0416666666667</v>
      </c>
      <c r="AX289" s="481">
        <f t="shared" si="153"/>
        <v>30019</v>
      </c>
      <c r="AY289" s="484">
        <f t="shared" si="154"/>
        <v>1250.7916666666667</v>
      </c>
      <c r="AZ289" s="485">
        <f t="shared" si="155"/>
        <v>8640.4416666666657</v>
      </c>
      <c r="BA289" s="481">
        <f t="shared" si="156"/>
        <v>9003.8583333333336</v>
      </c>
    </row>
    <row r="290" spans="1:53">
      <c r="A290" s="577" t="s">
        <v>268</v>
      </c>
      <c r="B290" s="582" t="s">
        <v>399</v>
      </c>
      <c r="C290" s="579"/>
      <c r="D290" s="580">
        <v>198543</v>
      </c>
      <c r="E290" s="581">
        <v>4</v>
      </c>
      <c r="F290" s="486" t="s">
        <v>41</v>
      </c>
      <c r="G290" s="529" t="s">
        <v>41</v>
      </c>
      <c r="H290" s="506"/>
      <c r="I290" s="488"/>
      <c r="J290" s="506">
        <v>60826</v>
      </c>
      <c r="K290" s="488">
        <v>59950</v>
      </c>
      <c r="L290" s="506">
        <v>19319</v>
      </c>
      <c r="M290" s="488">
        <v>19490</v>
      </c>
      <c r="N290" s="506">
        <v>68677</v>
      </c>
      <c r="O290" s="507">
        <v>69561</v>
      </c>
      <c r="P290" s="479">
        <f t="shared" si="139"/>
        <v>148822</v>
      </c>
      <c r="Q290" s="480">
        <f t="shared" si="140"/>
        <v>4960.7333333333336</v>
      </c>
      <c r="R290" s="481">
        <f t="shared" si="141"/>
        <v>149001</v>
      </c>
      <c r="S290" s="482">
        <f t="shared" si="142"/>
        <v>4966.7</v>
      </c>
      <c r="T290" s="506">
        <v>2538</v>
      </c>
      <c r="U290" s="507">
        <v>3200</v>
      </c>
      <c r="V290" s="479">
        <f t="shared" si="143"/>
        <v>148822</v>
      </c>
      <c r="W290" s="478">
        <f t="shared" si="144"/>
        <v>149001</v>
      </c>
      <c r="X290" s="506"/>
      <c r="Y290" s="488"/>
      <c r="Z290" s="506"/>
      <c r="AA290" s="488"/>
      <c r="AB290" s="506"/>
      <c r="AC290" s="488"/>
      <c r="AD290" s="506"/>
      <c r="AE290" s="507"/>
      <c r="AF290" s="479">
        <f t="shared" si="145"/>
        <v>0</v>
      </c>
      <c r="AG290" s="480">
        <f t="shared" si="146"/>
        <v>0</v>
      </c>
      <c r="AH290" s="481">
        <f t="shared" si="147"/>
        <v>0</v>
      </c>
      <c r="AI290" s="481">
        <f t="shared" si="148"/>
        <v>0</v>
      </c>
      <c r="AJ290" s="487"/>
      <c r="AK290" s="507"/>
      <c r="AL290" s="479">
        <f t="shared" si="149"/>
        <v>0</v>
      </c>
      <c r="AM290" s="482">
        <f t="shared" si="150"/>
        <v>0</v>
      </c>
      <c r="AN290" s="487"/>
      <c r="AO290" s="488"/>
      <c r="AP290" s="487">
        <v>4607</v>
      </c>
      <c r="AQ290" s="507">
        <v>4992</v>
      </c>
      <c r="AR290" s="487">
        <v>1713</v>
      </c>
      <c r="AS290" s="488">
        <v>1771</v>
      </c>
      <c r="AT290" s="487">
        <v>5052</v>
      </c>
      <c r="AU290" s="507">
        <v>5811</v>
      </c>
      <c r="AV290" s="479">
        <f t="shared" si="151"/>
        <v>11372</v>
      </c>
      <c r="AW290" s="483">
        <f t="shared" si="152"/>
        <v>473.83333333333331</v>
      </c>
      <c r="AX290" s="481">
        <f t="shared" si="153"/>
        <v>12574</v>
      </c>
      <c r="AY290" s="484">
        <f t="shared" si="154"/>
        <v>523.91666666666663</v>
      </c>
      <c r="AZ290" s="485">
        <f t="shared" si="155"/>
        <v>5434.5666666666666</v>
      </c>
      <c r="BA290" s="481">
        <f t="shared" si="156"/>
        <v>5490.6166666666668</v>
      </c>
    </row>
    <row r="291" spans="1:53">
      <c r="A291" s="577" t="s">
        <v>268</v>
      </c>
      <c r="B291" s="578" t="s">
        <v>400</v>
      </c>
      <c r="C291" s="579"/>
      <c r="D291" s="580">
        <v>199281</v>
      </c>
      <c r="E291" s="581">
        <v>5</v>
      </c>
      <c r="F291" s="486" t="s">
        <v>41</v>
      </c>
      <c r="G291" s="529" t="s">
        <v>41</v>
      </c>
      <c r="H291" s="506"/>
      <c r="I291" s="488"/>
      <c r="J291" s="506">
        <v>64653</v>
      </c>
      <c r="K291" s="488">
        <v>63968</v>
      </c>
      <c r="L291" s="506">
        <v>16862</v>
      </c>
      <c r="M291" s="488">
        <v>17871</v>
      </c>
      <c r="N291" s="506">
        <v>70795</v>
      </c>
      <c r="O291" s="507">
        <v>68851</v>
      </c>
      <c r="P291" s="479">
        <f t="shared" si="139"/>
        <v>152310</v>
      </c>
      <c r="Q291" s="480">
        <f t="shared" si="140"/>
        <v>5077</v>
      </c>
      <c r="R291" s="481">
        <f t="shared" si="141"/>
        <v>150690</v>
      </c>
      <c r="S291" s="482">
        <f t="shared" si="142"/>
        <v>5023</v>
      </c>
      <c r="T291" s="506">
        <v>0</v>
      </c>
      <c r="U291" s="507">
        <v>0</v>
      </c>
      <c r="V291" s="479">
        <f t="shared" si="143"/>
        <v>152310</v>
      </c>
      <c r="W291" s="478">
        <f t="shared" si="144"/>
        <v>150690</v>
      </c>
      <c r="X291" s="506"/>
      <c r="Y291" s="488"/>
      <c r="Z291" s="506"/>
      <c r="AA291" s="488"/>
      <c r="AB291" s="506"/>
      <c r="AC291" s="488"/>
      <c r="AD291" s="506"/>
      <c r="AE291" s="507"/>
      <c r="AF291" s="479">
        <f t="shared" si="145"/>
        <v>0</v>
      </c>
      <c r="AG291" s="480">
        <f t="shared" si="146"/>
        <v>0</v>
      </c>
      <c r="AH291" s="481">
        <f t="shared" si="147"/>
        <v>0</v>
      </c>
      <c r="AI291" s="481">
        <f t="shared" si="148"/>
        <v>0</v>
      </c>
      <c r="AJ291" s="487"/>
      <c r="AK291" s="507"/>
      <c r="AL291" s="479">
        <f t="shared" si="149"/>
        <v>0</v>
      </c>
      <c r="AM291" s="482">
        <f t="shared" si="150"/>
        <v>0</v>
      </c>
      <c r="AN291" s="487"/>
      <c r="AO291" s="488"/>
      <c r="AP291" s="487">
        <v>4368</v>
      </c>
      <c r="AQ291" s="507">
        <v>4538</v>
      </c>
      <c r="AR291" s="487">
        <v>2796</v>
      </c>
      <c r="AS291" s="488">
        <v>2402</v>
      </c>
      <c r="AT291" s="487">
        <v>4689</v>
      </c>
      <c r="AU291" s="507">
        <v>5311</v>
      </c>
      <c r="AV291" s="479">
        <f t="shared" si="151"/>
        <v>11853</v>
      </c>
      <c r="AW291" s="483">
        <f t="shared" si="152"/>
        <v>493.875</v>
      </c>
      <c r="AX291" s="481">
        <f t="shared" si="153"/>
        <v>12251</v>
      </c>
      <c r="AY291" s="484">
        <f t="shared" si="154"/>
        <v>510.45833333333331</v>
      </c>
      <c r="AZ291" s="485">
        <f t="shared" si="155"/>
        <v>5570.875</v>
      </c>
      <c r="BA291" s="481">
        <f t="shared" si="156"/>
        <v>5533.458333333333</v>
      </c>
    </row>
    <row r="292" spans="1:53">
      <c r="A292" s="577" t="s">
        <v>268</v>
      </c>
      <c r="B292" s="578" t="s">
        <v>401</v>
      </c>
      <c r="C292" s="579"/>
      <c r="D292" s="580">
        <v>199999</v>
      </c>
      <c r="E292" s="581">
        <v>5</v>
      </c>
      <c r="F292" s="486" t="s">
        <v>41</v>
      </c>
      <c r="G292" s="529" t="s">
        <v>41</v>
      </c>
      <c r="H292" s="506"/>
      <c r="I292" s="488"/>
      <c r="J292" s="506">
        <v>70916</v>
      </c>
      <c r="K292" s="488">
        <v>68156</v>
      </c>
      <c r="L292" s="506">
        <v>13800</v>
      </c>
      <c r="M292" s="488">
        <v>11503</v>
      </c>
      <c r="N292" s="506">
        <v>70763</v>
      </c>
      <c r="O292" s="507">
        <v>67143</v>
      </c>
      <c r="P292" s="479">
        <f t="shared" si="139"/>
        <v>155479</v>
      </c>
      <c r="Q292" s="480">
        <f t="shared" si="140"/>
        <v>5182.6333333333332</v>
      </c>
      <c r="R292" s="481">
        <f t="shared" si="141"/>
        <v>146802</v>
      </c>
      <c r="S292" s="482">
        <f t="shared" si="142"/>
        <v>4893.3999999999996</v>
      </c>
      <c r="T292" s="506">
        <v>0</v>
      </c>
      <c r="U292" s="507">
        <v>0</v>
      </c>
      <c r="V292" s="479">
        <f t="shared" si="143"/>
        <v>155479</v>
      </c>
      <c r="W292" s="478">
        <f t="shared" si="144"/>
        <v>146802</v>
      </c>
      <c r="X292" s="506"/>
      <c r="Y292" s="488"/>
      <c r="Z292" s="506"/>
      <c r="AA292" s="488"/>
      <c r="AB292" s="506"/>
      <c r="AC292" s="488"/>
      <c r="AD292" s="506"/>
      <c r="AE292" s="507"/>
      <c r="AF292" s="479">
        <f t="shared" si="145"/>
        <v>0</v>
      </c>
      <c r="AG292" s="480">
        <f t="shared" si="146"/>
        <v>0</v>
      </c>
      <c r="AH292" s="481">
        <f t="shared" si="147"/>
        <v>0</v>
      </c>
      <c r="AI292" s="481">
        <f t="shared" si="148"/>
        <v>0</v>
      </c>
      <c r="AJ292" s="487"/>
      <c r="AK292" s="507"/>
      <c r="AL292" s="479">
        <f t="shared" si="149"/>
        <v>0</v>
      </c>
      <c r="AM292" s="482">
        <f t="shared" si="150"/>
        <v>0</v>
      </c>
      <c r="AN292" s="487"/>
      <c r="AO292" s="488"/>
      <c r="AP292" s="487">
        <v>4665</v>
      </c>
      <c r="AQ292" s="507">
        <v>4357</v>
      </c>
      <c r="AR292" s="487">
        <v>2195</v>
      </c>
      <c r="AS292" s="488">
        <v>2230</v>
      </c>
      <c r="AT292" s="487">
        <v>4157</v>
      </c>
      <c r="AU292" s="507">
        <v>4612</v>
      </c>
      <c r="AV292" s="479">
        <f t="shared" si="151"/>
        <v>11017</v>
      </c>
      <c r="AW292" s="483">
        <f t="shared" si="152"/>
        <v>459.04166666666669</v>
      </c>
      <c r="AX292" s="481">
        <f t="shared" si="153"/>
        <v>11199</v>
      </c>
      <c r="AY292" s="484">
        <f t="shared" si="154"/>
        <v>466.625</v>
      </c>
      <c r="AZ292" s="485">
        <f t="shared" si="155"/>
        <v>5641.6750000000002</v>
      </c>
      <c r="BA292" s="481">
        <f t="shared" si="156"/>
        <v>5360.0249999999996</v>
      </c>
    </row>
    <row r="293" spans="1:53">
      <c r="A293" s="577" t="s">
        <v>268</v>
      </c>
      <c r="B293" s="578" t="s">
        <v>402</v>
      </c>
      <c r="C293" s="579" t="s">
        <v>616</v>
      </c>
      <c r="D293" s="580">
        <v>198507</v>
      </c>
      <c r="E293" s="581">
        <v>6</v>
      </c>
      <c r="F293" s="486" t="s">
        <v>41</v>
      </c>
      <c r="G293" s="529" t="s">
        <v>41</v>
      </c>
      <c r="H293" s="506"/>
      <c r="I293" s="488"/>
      <c r="J293" s="506">
        <v>37173</v>
      </c>
      <c r="K293" s="488">
        <v>34765</v>
      </c>
      <c r="L293" s="506">
        <v>8111</v>
      </c>
      <c r="M293" s="488">
        <v>6993</v>
      </c>
      <c r="N293" s="506">
        <v>39528</v>
      </c>
      <c r="O293" s="507">
        <v>33748</v>
      </c>
      <c r="P293" s="479">
        <f t="shared" si="139"/>
        <v>84812</v>
      </c>
      <c r="Q293" s="480">
        <f t="shared" si="140"/>
        <v>2827.0666666666666</v>
      </c>
      <c r="R293" s="481">
        <f t="shared" si="141"/>
        <v>75506</v>
      </c>
      <c r="S293" s="482">
        <f t="shared" si="142"/>
        <v>2516.8666666666668</v>
      </c>
      <c r="T293" s="506">
        <v>0</v>
      </c>
      <c r="U293" s="507">
        <v>0</v>
      </c>
      <c r="V293" s="479">
        <f t="shared" si="143"/>
        <v>84812</v>
      </c>
      <c r="W293" s="478">
        <f t="shared" si="144"/>
        <v>75506</v>
      </c>
      <c r="X293" s="506"/>
      <c r="Y293" s="488"/>
      <c r="Z293" s="506"/>
      <c r="AA293" s="488"/>
      <c r="AB293" s="506"/>
      <c r="AC293" s="488"/>
      <c r="AD293" s="506"/>
      <c r="AE293" s="507"/>
      <c r="AF293" s="479">
        <f t="shared" si="145"/>
        <v>0</v>
      </c>
      <c r="AG293" s="480">
        <f t="shared" si="146"/>
        <v>0</v>
      </c>
      <c r="AH293" s="481">
        <f t="shared" si="147"/>
        <v>0</v>
      </c>
      <c r="AI293" s="481">
        <f t="shared" si="148"/>
        <v>0</v>
      </c>
      <c r="AJ293" s="487"/>
      <c r="AK293" s="507"/>
      <c r="AL293" s="479">
        <f t="shared" si="149"/>
        <v>0</v>
      </c>
      <c r="AM293" s="482">
        <f t="shared" si="150"/>
        <v>0</v>
      </c>
      <c r="AN293" s="487"/>
      <c r="AO293" s="488"/>
      <c r="AP293" s="487">
        <v>768</v>
      </c>
      <c r="AQ293" s="507">
        <v>597</v>
      </c>
      <c r="AR293" s="487">
        <v>637</v>
      </c>
      <c r="AS293" s="488">
        <v>451</v>
      </c>
      <c r="AT293" s="487">
        <v>685</v>
      </c>
      <c r="AU293" s="507">
        <v>459</v>
      </c>
      <c r="AV293" s="479">
        <f t="shared" si="151"/>
        <v>2090</v>
      </c>
      <c r="AW293" s="483">
        <f t="shared" si="152"/>
        <v>87.083333333333329</v>
      </c>
      <c r="AX293" s="481">
        <f t="shared" si="153"/>
        <v>1507</v>
      </c>
      <c r="AY293" s="484">
        <f t="shared" si="154"/>
        <v>62.791666666666664</v>
      </c>
      <c r="AZ293" s="485">
        <f t="shared" si="155"/>
        <v>2914.15</v>
      </c>
      <c r="BA293" s="481">
        <f t="shared" si="156"/>
        <v>2579.6583333333333</v>
      </c>
    </row>
    <row r="294" spans="1:53">
      <c r="A294" s="577" t="s">
        <v>268</v>
      </c>
      <c r="B294" s="578" t="s">
        <v>403</v>
      </c>
      <c r="C294" s="579"/>
      <c r="D294" s="580">
        <v>199111</v>
      </c>
      <c r="E294" s="581">
        <v>6</v>
      </c>
      <c r="F294" s="486" t="s">
        <v>41</v>
      </c>
      <c r="G294" s="529" t="s">
        <v>41</v>
      </c>
      <c r="H294" s="506"/>
      <c r="I294" s="488"/>
      <c r="J294" s="506">
        <v>45490</v>
      </c>
      <c r="K294" s="488">
        <v>45032</v>
      </c>
      <c r="L294" s="506">
        <v>5120</v>
      </c>
      <c r="M294" s="488">
        <v>4594</v>
      </c>
      <c r="N294" s="506">
        <v>47102</v>
      </c>
      <c r="O294" s="507">
        <v>48904</v>
      </c>
      <c r="P294" s="479">
        <f t="shared" si="139"/>
        <v>97712</v>
      </c>
      <c r="Q294" s="480">
        <f t="shared" si="140"/>
        <v>3257.0666666666666</v>
      </c>
      <c r="R294" s="481">
        <f t="shared" si="141"/>
        <v>98530</v>
      </c>
      <c r="S294" s="482">
        <f t="shared" si="142"/>
        <v>3284.3333333333335</v>
      </c>
      <c r="T294" s="506">
        <v>0</v>
      </c>
      <c r="U294" s="507">
        <v>0</v>
      </c>
      <c r="V294" s="479">
        <f t="shared" si="143"/>
        <v>97712</v>
      </c>
      <c r="W294" s="478">
        <f t="shared" si="144"/>
        <v>98530</v>
      </c>
      <c r="X294" s="506"/>
      <c r="Y294" s="488"/>
      <c r="Z294" s="506"/>
      <c r="AA294" s="488"/>
      <c r="AB294" s="506"/>
      <c r="AC294" s="488"/>
      <c r="AD294" s="506"/>
      <c r="AE294" s="507"/>
      <c r="AF294" s="479">
        <f t="shared" si="145"/>
        <v>0</v>
      </c>
      <c r="AG294" s="480">
        <f t="shared" si="146"/>
        <v>0</v>
      </c>
      <c r="AH294" s="481">
        <f t="shared" si="147"/>
        <v>0</v>
      </c>
      <c r="AI294" s="481">
        <f t="shared" si="148"/>
        <v>0</v>
      </c>
      <c r="AJ294" s="487"/>
      <c r="AK294" s="507"/>
      <c r="AL294" s="479">
        <f t="shared" si="149"/>
        <v>0</v>
      </c>
      <c r="AM294" s="482">
        <f t="shared" si="150"/>
        <v>0</v>
      </c>
      <c r="AN294" s="487"/>
      <c r="AO294" s="488"/>
      <c r="AP294" s="487">
        <v>236</v>
      </c>
      <c r="AQ294" s="507">
        <v>249</v>
      </c>
      <c r="AR294" s="487">
        <v>3</v>
      </c>
      <c r="AS294" s="488">
        <v>3</v>
      </c>
      <c r="AT294" s="487">
        <v>252</v>
      </c>
      <c r="AU294" s="507">
        <v>236</v>
      </c>
      <c r="AV294" s="479">
        <f t="shared" si="151"/>
        <v>491</v>
      </c>
      <c r="AW294" s="483">
        <f t="shared" si="152"/>
        <v>20.458333333333332</v>
      </c>
      <c r="AX294" s="481">
        <f t="shared" si="153"/>
        <v>488</v>
      </c>
      <c r="AY294" s="484">
        <f t="shared" si="154"/>
        <v>20.333333333333332</v>
      </c>
      <c r="AZ294" s="485">
        <f t="shared" si="155"/>
        <v>3277.5250000000001</v>
      </c>
      <c r="BA294" s="481">
        <f t="shared" si="156"/>
        <v>3304.666666666667</v>
      </c>
    </row>
    <row r="295" spans="1:53">
      <c r="A295" s="666" t="s">
        <v>268</v>
      </c>
      <c r="B295" s="553" t="s">
        <v>621</v>
      </c>
      <c r="C295" s="667"/>
      <c r="D295" s="668">
        <v>197887</v>
      </c>
      <c r="E295" s="561">
        <v>8</v>
      </c>
      <c r="F295" s="486" t="s">
        <v>41</v>
      </c>
      <c r="G295" s="529"/>
      <c r="H295" s="506"/>
      <c r="I295" s="488"/>
      <c r="J295" s="506">
        <v>69136</v>
      </c>
      <c r="K295" s="488">
        <v>69995</v>
      </c>
      <c r="L295" s="506">
        <v>17198</v>
      </c>
      <c r="M295" s="488">
        <v>16476</v>
      </c>
      <c r="N295" s="506">
        <v>70508</v>
      </c>
      <c r="O295" s="507">
        <v>72995</v>
      </c>
      <c r="P295" s="479">
        <f t="shared" si="139"/>
        <v>156842</v>
      </c>
      <c r="Q295" s="480">
        <f t="shared" si="140"/>
        <v>5228.0666666666666</v>
      </c>
      <c r="R295" s="481">
        <f t="shared" si="141"/>
        <v>159466</v>
      </c>
      <c r="S295" s="482">
        <f t="shared" si="142"/>
        <v>5315.5333333333338</v>
      </c>
      <c r="T295" s="506">
        <v>12314</v>
      </c>
      <c r="U295" s="507">
        <v>10027</v>
      </c>
      <c r="V295" s="479">
        <f t="shared" si="143"/>
        <v>156842</v>
      </c>
      <c r="W295" s="478">
        <f t="shared" si="144"/>
        <v>159466</v>
      </c>
      <c r="X295" s="506"/>
      <c r="Y295" s="488"/>
      <c r="Z295" s="506">
        <v>297168</v>
      </c>
      <c r="AA295" s="669">
        <v>281887</v>
      </c>
      <c r="AB295" s="506">
        <v>216090</v>
      </c>
      <c r="AC295" s="670">
        <v>210050</v>
      </c>
      <c r="AD295" s="506">
        <v>317643</v>
      </c>
      <c r="AE295" s="671">
        <v>278080</v>
      </c>
      <c r="AF295" s="479">
        <f t="shared" si="145"/>
        <v>830901</v>
      </c>
      <c r="AG295" s="480">
        <f t="shared" si="146"/>
        <v>923.22333333333336</v>
      </c>
      <c r="AH295" s="481">
        <f t="shared" si="147"/>
        <v>770017</v>
      </c>
      <c r="AI295" s="481">
        <f t="shared" si="148"/>
        <v>855.57444444444445</v>
      </c>
      <c r="AJ295" s="487"/>
      <c r="AK295" s="507"/>
      <c r="AL295" s="479">
        <f t="shared" si="149"/>
        <v>0</v>
      </c>
      <c r="AM295" s="482">
        <f t="shared" si="150"/>
        <v>0</v>
      </c>
      <c r="AN295" s="487"/>
      <c r="AO295" s="488"/>
      <c r="AP295" s="487"/>
      <c r="AQ295" s="507"/>
      <c r="AR295" s="487"/>
      <c r="AS295" s="488"/>
      <c r="AT295" s="487"/>
      <c r="AU295" s="507"/>
      <c r="AV295" s="479">
        <f t="shared" si="151"/>
        <v>0</v>
      </c>
      <c r="AW295" s="483">
        <f t="shared" si="152"/>
        <v>0</v>
      </c>
      <c r="AX295" s="481">
        <f t="shared" si="153"/>
        <v>0</v>
      </c>
      <c r="AY295" s="484">
        <f t="shared" si="154"/>
        <v>0</v>
      </c>
      <c r="AZ295" s="485">
        <f t="shared" si="155"/>
        <v>6151.29</v>
      </c>
      <c r="BA295" s="481">
        <f t="shared" si="156"/>
        <v>6171.1077777777782</v>
      </c>
    </row>
    <row r="296" spans="1:53">
      <c r="A296" s="672" t="s">
        <v>268</v>
      </c>
      <c r="B296" s="553" t="s">
        <v>622</v>
      </c>
      <c r="C296" s="667"/>
      <c r="D296" s="668">
        <v>198154</v>
      </c>
      <c r="E296" s="561">
        <v>8</v>
      </c>
      <c r="F296" s="486" t="s">
        <v>41</v>
      </c>
      <c r="G296" s="529"/>
      <c r="H296" s="506"/>
      <c r="I296" s="488"/>
      <c r="J296" s="506">
        <v>91258</v>
      </c>
      <c r="K296" s="488">
        <v>89333</v>
      </c>
      <c r="L296" s="506">
        <v>22082</v>
      </c>
      <c r="M296" s="488">
        <v>22006</v>
      </c>
      <c r="N296" s="506">
        <v>96721</v>
      </c>
      <c r="O296" s="507">
        <v>93195</v>
      </c>
      <c r="P296" s="479">
        <f t="shared" si="139"/>
        <v>210061</v>
      </c>
      <c r="Q296" s="480">
        <f t="shared" si="140"/>
        <v>7002.0333333333338</v>
      </c>
      <c r="R296" s="481">
        <f t="shared" si="141"/>
        <v>204534</v>
      </c>
      <c r="S296" s="482">
        <f t="shared" si="142"/>
        <v>6817.8</v>
      </c>
      <c r="T296" s="506">
        <v>6511</v>
      </c>
      <c r="U296" s="507">
        <v>5417</v>
      </c>
      <c r="V296" s="479">
        <f t="shared" si="143"/>
        <v>210061</v>
      </c>
      <c r="W296" s="478">
        <f t="shared" si="144"/>
        <v>204534</v>
      </c>
      <c r="X296" s="506"/>
      <c r="Y296" s="488"/>
      <c r="Z296" s="506">
        <v>382873</v>
      </c>
      <c r="AA296" s="669">
        <v>359779</v>
      </c>
      <c r="AB296" s="506">
        <v>205771</v>
      </c>
      <c r="AC296" s="670">
        <v>203012</v>
      </c>
      <c r="AD296" s="506">
        <v>427387</v>
      </c>
      <c r="AE296" s="671">
        <v>390950</v>
      </c>
      <c r="AF296" s="479">
        <f t="shared" si="145"/>
        <v>1016031</v>
      </c>
      <c r="AG296" s="480">
        <f t="shared" si="146"/>
        <v>1128.9233333333334</v>
      </c>
      <c r="AH296" s="481">
        <f t="shared" si="147"/>
        <v>953741</v>
      </c>
      <c r="AI296" s="481">
        <f t="shared" si="148"/>
        <v>1059.7122222222222</v>
      </c>
      <c r="AJ296" s="487"/>
      <c r="AK296" s="507"/>
      <c r="AL296" s="479">
        <f t="shared" si="149"/>
        <v>0</v>
      </c>
      <c r="AM296" s="482">
        <f t="shared" si="150"/>
        <v>0</v>
      </c>
      <c r="AN296" s="487"/>
      <c r="AO296" s="488"/>
      <c r="AP296" s="487"/>
      <c r="AQ296" s="507"/>
      <c r="AR296" s="487"/>
      <c r="AS296" s="488"/>
      <c r="AT296" s="487"/>
      <c r="AU296" s="507"/>
      <c r="AV296" s="479">
        <f t="shared" si="151"/>
        <v>0</v>
      </c>
      <c r="AW296" s="483">
        <f t="shared" si="152"/>
        <v>0</v>
      </c>
      <c r="AX296" s="481">
        <f t="shared" si="153"/>
        <v>0</v>
      </c>
      <c r="AY296" s="484">
        <f t="shared" si="154"/>
        <v>0</v>
      </c>
      <c r="AZ296" s="485">
        <f t="shared" si="155"/>
        <v>8130.9566666666669</v>
      </c>
      <c r="BA296" s="481">
        <f t="shared" si="156"/>
        <v>7877.5122222222226</v>
      </c>
    </row>
    <row r="297" spans="1:53">
      <c r="A297" s="672" t="s">
        <v>268</v>
      </c>
      <c r="B297" s="553" t="s">
        <v>623</v>
      </c>
      <c r="C297" s="667"/>
      <c r="D297" s="668">
        <v>198260</v>
      </c>
      <c r="E297" s="561">
        <v>8</v>
      </c>
      <c r="F297" s="486" t="s">
        <v>41</v>
      </c>
      <c r="G297" s="529"/>
      <c r="H297" s="506"/>
      <c r="I297" s="488"/>
      <c r="J297" s="506">
        <v>173581</v>
      </c>
      <c r="K297" s="488">
        <v>175633</v>
      </c>
      <c r="L297" s="506">
        <v>47577</v>
      </c>
      <c r="M297" s="488">
        <v>48695</v>
      </c>
      <c r="N297" s="506">
        <v>176942</v>
      </c>
      <c r="O297" s="507">
        <v>172352</v>
      </c>
      <c r="P297" s="479">
        <f t="shared" si="139"/>
        <v>398100</v>
      </c>
      <c r="Q297" s="480">
        <f t="shared" si="140"/>
        <v>13270</v>
      </c>
      <c r="R297" s="481">
        <f t="shared" si="141"/>
        <v>396680</v>
      </c>
      <c r="S297" s="482">
        <f t="shared" si="142"/>
        <v>13222.666666666666</v>
      </c>
      <c r="T297" s="506">
        <v>4922</v>
      </c>
      <c r="U297" s="507">
        <v>3823</v>
      </c>
      <c r="V297" s="479">
        <f t="shared" si="143"/>
        <v>398100</v>
      </c>
      <c r="W297" s="478">
        <f t="shared" si="144"/>
        <v>396680</v>
      </c>
      <c r="X297" s="506"/>
      <c r="Y297" s="488"/>
      <c r="Z297" s="506">
        <v>736360</v>
      </c>
      <c r="AA297" s="669">
        <v>750559</v>
      </c>
      <c r="AB297" s="506">
        <v>320976</v>
      </c>
      <c r="AC297" s="670">
        <v>302224</v>
      </c>
      <c r="AD297" s="506">
        <v>774775</v>
      </c>
      <c r="AE297" s="671">
        <v>705421</v>
      </c>
      <c r="AF297" s="479">
        <f t="shared" si="145"/>
        <v>1832111</v>
      </c>
      <c r="AG297" s="480">
        <f t="shared" si="146"/>
        <v>2035.6788888888889</v>
      </c>
      <c r="AH297" s="481">
        <f t="shared" si="147"/>
        <v>1758204</v>
      </c>
      <c r="AI297" s="481">
        <f t="shared" si="148"/>
        <v>1953.56</v>
      </c>
      <c r="AJ297" s="487"/>
      <c r="AK297" s="507"/>
      <c r="AL297" s="479">
        <f t="shared" si="149"/>
        <v>0</v>
      </c>
      <c r="AM297" s="482">
        <f t="shared" si="150"/>
        <v>0</v>
      </c>
      <c r="AN297" s="487"/>
      <c r="AO297" s="488"/>
      <c r="AP297" s="487"/>
      <c r="AQ297" s="507"/>
      <c r="AR297" s="487"/>
      <c r="AS297" s="488"/>
      <c r="AT297" s="487"/>
      <c r="AU297" s="507"/>
      <c r="AV297" s="479">
        <f t="shared" si="151"/>
        <v>0</v>
      </c>
      <c r="AW297" s="483">
        <f t="shared" si="152"/>
        <v>0</v>
      </c>
      <c r="AX297" s="481">
        <f t="shared" si="153"/>
        <v>0</v>
      </c>
      <c r="AY297" s="484">
        <f t="shared" si="154"/>
        <v>0</v>
      </c>
      <c r="AZ297" s="485">
        <f t="shared" si="155"/>
        <v>15305.67888888889</v>
      </c>
      <c r="BA297" s="481">
        <f t="shared" si="156"/>
        <v>15176.226666666666</v>
      </c>
    </row>
    <row r="298" spans="1:53">
      <c r="A298" s="672" t="s">
        <v>268</v>
      </c>
      <c r="B298" s="553" t="s">
        <v>624</v>
      </c>
      <c r="C298" s="667"/>
      <c r="D298" s="668">
        <v>198534</v>
      </c>
      <c r="E298" s="561">
        <v>8</v>
      </c>
      <c r="F298" s="486" t="s">
        <v>41</v>
      </c>
      <c r="G298" s="529"/>
      <c r="H298" s="506"/>
      <c r="I298" s="488"/>
      <c r="J298" s="506">
        <v>112408</v>
      </c>
      <c r="K298" s="488">
        <v>115607</v>
      </c>
      <c r="L298" s="506">
        <v>29835</v>
      </c>
      <c r="M298" s="488">
        <v>28527</v>
      </c>
      <c r="N298" s="506">
        <v>108229</v>
      </c>
      <c r="O298" s="507">
        <v>115452</v>
      </c>
      <c r="P298" s="479">
        <f t="shared" si="139"/>
        <v>250472</v>
      </c>
      <c r="Q298" s="480">
        <f t="shared" si="140"/>
        <v>8349.0666666666675</v>
      </c>
      <c r="R298" s="481">
        <f t="shared" si="141"/>
        <v>259586</v>
      </c>
      <c r="S298" s="482">
        <f t="shared" si="142"/>
        <v>8652.8666666666668</v>
      </c>
      <c r="T298" s="506">
        <v>4736</v>
      </c>
      <c r="U298" s="507">
        <v>4407</v>
      </c>
      <c r="V298" s="479">
        <f t="shared" si="143"/>
        <v>250472</v>
      </c>
      <c r="W298" s="478">
        <f t="shared" si="144"/>
        <v>259586</v>
      </c>
      <c r="X298" s="506"/>
      <c r="Y298" s="488"/>
      <c r="Z298" s="506">
        <v>746911</v>
      </c>
      <c r="AA298" s="669">
        <v>762025</v>
      </c>
      <c r="AB298" s="506">
        <v>607552</v>
      </c>
      <c r="AC298" s="670">
        <v>584456</v>
      </c>
      <c r="AD298" s="506">
        <v>786134</v>
      </c>
      <c r="AE298" s="671">
        <v>920098</v>
      </c>
      <c r="AF298" s="479">
        <f t="shared" si="145"/>
        <v>2140597</v>
      </c>
      <c r="AG298" s="480">
        <f t="shared" si="146"/>
        <v>2378.4411111111112</v>
      </c>
      <c r="AH298" s="481">
        <f t="shared" si="147"/>
        <v>2266579</v>
      </c>
      <c r="AI298" s="481">
        <f t="shared" si="148"/>
        <v>2518.4211111111113</v>
      </c>
      <c r="AJ298" s="487"/>
      <c r="AK298" s="507"/>
      <c r="AL298" s="479">
        <f t="shared" si="149"/>
        <v>0</v>
      </c>
      <c r="AM298" s="482">
        <f t="shared" si="150"/>
        <v>0</v>
      </c>
      <c r="AN298" s="487"/>
      <c r="AO298" s="488"/>
      <c r="AP298" s="487"/>
      <c r="AQ298" s="507"/>
      <c r="AR298" s="487"/>
      <c r="AS298" s="488"/>
      <c r="AT298" s="487"/>
      <c r="AU298" s="507"/>
      <c r="AV298" s="479">
        <f t="shared" si="151"/>
        <v>0</v>
      </c>
      <c r="AW298" s="483">
        <f t="shared" si="152"/>
        <v>0</v>
      </c>
      <c r="AX298" s="481">
        <f t="shared" si="153"/>
        <v>0</v>
      </c>
      <c r="AY298" s="484">
        <f t="shared" si="154"/>
        <v>0</v>
      </c>
      <c r="AZ298" s="485">
        <f t="shared" si="155"/>
        <v>10727.507777777779</v>
      </c>
      <c r="BA298" s="481">
        <f t="shared" si="156"/>
        <v>11171.287777777778</v>
      </c>
    </row>
    <row r="299" spans="1:53">
      <c r="A299" s="672" t="s">
        <v>268</v>
      </c>
      <c r="B299" s="553" t="s">
        <v>625</v>
      </c>
      <c r="C299" s="667"/>
      <c r="D299" s="668">
        <v>198552</v>
      </c>
      <c r="E299" s="561">
        <v>8</v>
      </c>
      <c r="F299" s="486" t="s">
        <v>41</v>
      </c>
      <c r="G299" s="529"/>
      <c r="H299" s="506"/>
      <c r="I299" s="488"/>
      <c r="J299" s="506">
        <v>97225</v>
      </c>
      <c r="K299" s="488">
        <v>92142</v>
      </c>
      <c r="L299" s="506">
        <v>25496</v>
      </c>
      <c r="M299" s="488">
        <v>25179</v>
      </c>
      <c r="N299" s="506">
        <v>102925</v>
      </c>
      <c r="O299" s="507">
        <v>95657</v>
      </c>
      <c r="P299" s="479">
        <f t="shared" si="139"/>
        <v>225646</v>
      </c>
      <c r="Q299" s="480">
        <f t="shared" si="140"/>
        <v>7521.5333333333338</v>
      </c>
      <c r="R299" s="481">
        <f t="shared" si="141"/>
        <v>212978</v>
      </c>
      <c r="S299" s="482">
        <f t="shared" si="142"/>
        <v>7099.2666666666664</v>
      </c>
      <c r="T299" s="506">
        <v>7310</v>
      </c>
      <c r="U299" s="507">
        <v>8373</v>
      </c>
      <c r="V299" s="479">
        <f t="shared" si="143"/>
        <v>225646</v>
      </c>
      <c r="W299" s="478">
        <f t="shared" si="144"/>
        <v>212978</v>
      </c>
      <c r="X299" s="506"/>
      <c r="Y299" s="488"/>
      <c r="Z299" s="506">
        <v>429484</v>
      </c>
      <c r="AA299" s="669">
        <v>438431</v>
      </c>
      <c r="AB299" s="506">
        <v>298463</v>
      </c>
      <c r="AC299" s="670">
        <v>255613</v>
      </c>
      <c r="AD299" s="506">
        <v>507932</v>
      </c>
      <c r="AE299" s="671">
        <v>456910</v>
      </c>
      <c r="AF299" s="479">
        <f t="shared" si="145"/>
        <v>1235879</v>
      </c>
      <c r="AG299" s="480">
        <f t="shared" si="146"/>
        <v>1373.1988888888889</v>
      </c>
      <c r="AH299" s="481">
        <f t="shared" si="147"/>
        <v>1150954</v>
      </c>
      <c r="AI299" s="481">
        <f t="shared" si="148"/>
        <v>1278.8377777777778</v>
      </c>
      <c r="AJ299" s="487"/>
      <c r="AK299" s="507"/>
      <c r="AL299" s="479">
        <f t="shared" si="149"/>
        <v>0</v>
      </c>
      <c r="AM299" s="482">
        <f t="shared" si="150"/>
        <v>0</v>
      </c>
      <c r="AN299" s="487"/>
      <c r="AO299" s="488"/>
      <c r="AP299" s="487"/>
      <c r="AQ299" s="507"/>
      <c r="AR299" s="487"/>
      <c r="AS299" s="488"/>
      <c r="AT299" s="487"/>
      <c r="AU299" s="507"/>
      <c r="AV299" s="479">
        <f t="shared" si="151"/>
        <v>0</v>
      </c>
      <c r="AW299" s="483">
        <f t="shared" si="152"/>
        <v>0</v>
      </c>
      <c r="AX299" s="481">
        <f t="shared" si="153"/>
        <v>0</v>
      </c>
      <c r="AY299" s="484">
        <f t="shared" si="154"/>
        <v>0</v>
      </c>
      <c r="AZ299" s="485">
        <f t="shared" si="155"/>
        <v>8894.7322222222228</v>
      </c>
      <c r="BA299" s="481">
        <f t="shared" si="156"/>
        <v>8378.1044444444451</v>
      </c>
    </row>
    <row r="300" spans="1:53">
      <c r="A300" s="672" t="s">
        <v>268</v>
      </c>
      <c r="B300" s="673" t="s">
        <v>626</v>
      </c>
      <c r="C300" s="679" t="s">
        <v>679</v>
      </c>
      <c r="D300" s="675">
        <v>198570</v>
      </c>
      <c r="E300" s="560">
        <v>9</v>
      </c>
      <c r="F300" s="486" t="s">
        <v>41</v>
      </c>
      <c r="G300" s="529"/>
      <c r="H300" s="506"/>
      <c r="I300" s="488"/>
      <c r="J300" s="506">
        <v>58933</v>
      </c>
      <c r="K300" s="488">
        <v>56522</v>
      </c>
      <c r="L300" s="506">
        <v>11536</v>
      </c>
      <c r="M300" s="488">
        <v>12209</v>
      </c>
      <c r="N300" s="506">
        <v>62327</v>
      </c>
      <c r="O300" s="507">
        <v>60793</v>
      </c>
      <c r="P300" s="479">
        <f t="shared" si="139"/>
        <v>132796</v>
      </c>
      <c r="Q300" s="480">
        <f t="shared" si="140"/>
        <v>4426.5333333333338</v>
      </c>
      <c r="R300" s="481">
        <f t="shared" si="141"/>
        <v>129524</v>
      </c>
      <c r="S300" s="482">
        <f t="shared" si="142"/>
        <v>4317.4666666666662</v>
      </c>
      <c r="T300" s="506">
        <v>3388</v>
      </c>
      <c r="U300" s="507">
        <v>873</v>
      </c>
      <c r="V300" s="479">
        <f t="shared" si="143"/>
        <v>132796</v>
      </c>
      <c r="W300" s="478">
        <f t="shared" si="144"/>
        <v>129524</v>
      </c>
      <c r="X300" s="506"/>
      <c r="Y300" s="488"/>
      <c r="Z300" s="506">
        <v>204396</v>
      </c>
      <c r="AA300" s="669">
        <v>194774</v>
      </c>
      <c r="AB300" s="506">
        <v>117792</v>
      </c>
      <c r="AC300" s="670">
        <v>116332</v>
      </c>
      <c r="AD300" s="506">
        <v>189290</v>
      </c>
      <c r="AE300" s="671">
        <v>167692</v>
      </c>
      <c r="AF300" s="479">
        <f t="shared" si="145"/>
        <v>511478</v>
      </c>
      <c r="AG300" s="480">
        <f t="shared" si="146"/>
        <v>568.30888888888887</v>
      </c>
      <c r="AH300" s="481">
        <f t="shared" si="147"/>
        <v>478798</v>
      </c>
      <c r="AI300" s="481">
        <f t="shared" si="148"/>
        <v>531.99777777777774</v>
      </c>
      <c r="AJ300" s="487"/>
      <c r="AK300" s="507"/>
      <c r="AL300" s="479">
        <f t="shared" si="149"/>
        <v>0</v>
      </c>
      <c r="AM300" s="482">
        <f t="shared" si="150"/>
        <v>0</v>
      </c>
      <c r="AN300" s="487"/>
      <c r="AO300" s="488"/>
      <c r="AP300" s="487"/>
      <c r="AQ300" s="507"/>
      <c r="AR300" s="487"/>
      <c r="AS300" s="488"/>
      <c r="AT300" s="487"/>
      <c r="AU300" s="507"/>
      <c r="AV300" s="479">
        <f t="shared" si="151"/>
        <v>0</v>
      </c>
      <c r="AW300" s="483">
        <f t="shared" si="152"/>
        <v>0</v>
      </c>
      <c r="AX300" s="481">
        <f t="shared" si="153"/>
        <v>0</v>
      </c>
      <c r="AY300" s="484">
        <f t="shared" si="154"/>
        <v>0</v>
      </c>
      <c r="AZ300" s="485">
        <f t="shared" si="155"/>
        <v>4994.8422222222225</v>
      </c>
      <c r="BA300" s="481">
        <f t="shared" si="156"/>
        <v>4849.4644444444439</v>
      </c>
    </row>
    <row r="301" spans="1:53">
      <c r="A301" s="672" t="s">
        <v>268</v>
      </c>
      <c r="B301" s="553" t="s">
        <v>627</v>
      </c>
      <c r="C301" s="667"/>
      <c r="D301" s="668">
        <v>198622</v>
      </c>
      <c r="E301" s="561">
        <v>8</v>
      </c>
      <c r="F301" s="486" t="s">
        <v>41</v>
      </c>
      <c r="G301" s="529"/>
      <c r="H301" s="506"/>
      <c r="I301" s="488"/>
      <c r="J301" s="506">
        <v>153384</v>
      </c>
      <c r="K301" s="488">
        <v>149680</v>
      </c>
      <c r="L301" s="506">
        <v>33401</v>
      </c>
      <c r="M301" s="488">
        <v>32545</v>
      </c>
      <c r="N301" s="506">
        <v>159423</v>
      </c>
      <c r="O301" s="507">
        <v>151139</v>
      </c>
      <c r="P301" s="479">
        <f t="shared" si="139"/>
        <v>346208</v>
      </c>
      <c r="Q301" s="480">
        <f t="shared" si="140"/>
        <v>11540.266666666666</v>
      </c>
      <c r="R301" s="481">
        <f t="shared" si="141"/>
        <v>333364</v>
      </c>
      <c r="S301" s="482">
        <f t="shared" si="142"/>
        <v>11112.133333333333</v>
      </c>
      <c r="T301" s="506">
        <v>4737</v>
      </c>
      <c r="U301" s="507">
        <v>4587</v>
      </c>
      <c r="V301" s="479">
        <f t="shared" si="143"/>
        <v>346208</v>
      </c>
      <c r="W301" s="478">
        <f t="shared" si="144"/>
        <v>333364</v>
      </c>
      <c r="X301" s="506"/>
      <c r="Y301" s="488"/>
      <c r="Z301" s="506">
        <v>566303</v>
      </c>
      <c r="AA301" s="669">
        <v>610806</v>
      </c>
      <c r="AB301" s="506">
        <v>309291</v>
      </c>
      <c r="AC301" s="670">
        <v>299257</v>
      </c>
      <c r="AD301" s="506">
        <v>553629</v>
      </c>
      <c r="AE301" s="671">
        <v>587662</v>
      </c>
      <c r="AF301" s="479">
        <f t="shared" si="145"/>
        <v>1429223</v>
      </c>
      <c r="AG301" s="480">
        <f t="shared" si="146"/>
        <v>1588.0255555555555</v>
      </c>
      <c r="AH301" s="481">
        <f t="shared" si="147"/>
        <v>1497725</v>
      </c>
      <c r="AI301" s="481">
        <f t="shared" si="148"/>
        <v>1664.1388888888889</v>
      </c>
      <c r="AJ301" s="487"/>
      <c r="AK301" s="507"/>
      <c r="AL301" s="479">
        <f t="shared" si="149"/>
        <v>0</v>
      </c>
      <c r="AM301" s="482">
        <f t="shared" si="150"/>
        <v>0</v>
      </c>
      <c r="AN301" s="487"/>
      <c r="AO301" s="488"/>
      <c r="AP301" s="487"/>
      <c r="AQ301" s="507"/>
      <c r="AR301" s="487"/>
      <c r="AS301" s="488"/>
      <c r="AT301" s="487"/>
      <c r="AU301" s="507"/>
      <c r="AV301" s="479">
        <f t="shared" si="151"/>
        <v>0</v>
      </c>
      <c r="AW301" s="483">
        <f t="shared" si="152"/>
        <v>0</v>
      </c>
      <c r="AX301" s="481">
        <f t="shared" si="153"/>
        <v>0</v>
      </c>
      <c r="AY301" s="484">
        <f t="shared" si="154"/>
        <v>0</v>
      </c>
      <c r="AZ301" s="485">
        <f t="shared" si="155"/>
        <v>13128.292222222222</v>
      </c>
      <c r="BA301" s="481">
        <f t="shared" si="156"/>
        <v>12776.272222222222</v>
      </c>
    </row>
    <row r="302" spans="1:53">
      <c r="A302" s="672" t="s">
        <v>268</v>
      </c>
      <c r="B302" s="553" t="s">
        <v>628</v>
      </c>
      <c r="C302" s="667"/>
      <c r="D302" s="668">
        <v>199333</v>
      </c>
      <c r="E302" s="561">
        <v>8</v>
      </c>
      <c r="F302" s="486" t="s">
        <v>41</v>
      </c>
      <c r="G302" s="529"/>
      <c r="H302" s="506"/>
      <c r="I302" s="488"/>
      <c r="J302" s="506">
        <v>84596</v>
      </c>
      <c r="K302" s="488">
        <v>88952</v>
      </c>
      <c r="L302" s="506">
        <v>24011</v>
      </c>
      <c r="M302" s="488">
        <v>24019</v>
      </c>
      <c r="N302" s="506">
        <v>87378</v>
      </c>
      <c r="O302" s="507">
        <v>93043</v>
      </c>
      <c r="P302" s="479">
        <f t="shared" si="139"/>
        <v>195985</v>
      </c>
      <c r="Q302" s="480">
        <f t="shared" si="140"/>
        <v>6532.833333333333</v>
      </c>
      <c r="R302" s="481">
        <f t="shared" si="141"/>
        <v>206014</v>
      </c>
      <c r="S302" s="482">
        <f t="shared" si="142"/>
        <v>6867.1333333333332</v>
      </c>
      <c r="T302" s="506">
        <v>2404</v>
      </c>
      <c r="U302" s="507">
        <v>2602</v>
      </c>
      <c r="V302" s="479">
        <f t="shared" si="143"/>
        <v>195985</v>
      </c>
      <c r="W302" s="478">
        <f t="shared" si="144"/>
        <v>206014</v>
      </c>
      <c r="X302" s="506"/>
      <c r="Y302" s="488"/>
      <c r="Z302" s="506">
        <v>256942</v>
      </c>
      <c r="AA302" s="669">
        <v>272979</v>
      </c>
      <c r="AB302" s="506">
        <v>192545</v>
      </c>
      <c r="AC302" s="670">
        <v>187275</v>
      </c>
      <c r="AD302" s="506">
        <v>300179</v>
      </c>
      <c r="AE302" s="671">
        <v>343192</v>
      </c>
      <c r="AF302" s="479">
        <f t="shared" si="145"/>
        <v>749666</v>
      </c>
      <c r="AG302" s="480">
        <f t="shared" si="146"/>
        <v>832.96222222222218</v>
      </c>
      <c r="AH302" s="481">
        <f t="shared" si="147"/>
        <v>803446</v>
      </c>
      <c r="AI302" s="481">
        <f t="shared" si="148"/>
        <v>892.71777777777777</v>
      </c>
      <c r="AJ302" s="487"/>
      <c r="AK302" s="507"/>
      <c r="AL302" s="479">
        <f t="shared" si="149"/>
        <v>0</v>
      </c>
      <c r="AM302" s="482">
        <f t="shared" si="150"/>
        <v>0</v>
      </c>
      <c r="AN302" s="487"/>
      <c r="AO302" s="488"/>
      <c r="AP302" s="487"/>
      <c r="AQ302" s="507"/>
      <c r="AR302" s="487"/>
      <c r="AS302" s="488"/>
      <c r="AT302" s="487"/>
      <c r="AU302" s="507"/>
      <c r="AV302" s="479">
        <f t="shared" si="151"/>
        <v>0</v>
      </c>
      <c r="AW302" s="483">
        <f t="shared" si="152"/>
        <v>0</v>
      </c>
      <c r="AX302" s="481">
        <f t="shared" si="153"/>
        <v>0</v>
      </c>
      <c r="AY302" s="484">
        <f t="shared" si="154"/>
        <v>0</v>
      </c>
      <c r="AZ302" s="485">
        <f t="shared" si="155"/>
        <v>7365.7955555555554</v>
      </c>
      <c r="BA302" s="481">
        <f t="shared" si="156"/>
        <v>7759.8511111111111</v>
      </c>
    </row>
    <row r="303" spans="1:53">
      <c r="A303" s="672" t="s">
        <v>268</v>
      </c>
      <c r="B303" s="553" t="s">
        <v>629</v>
      </c>
      <c r="C303" s="676"/>
      <c r="D303" s="677">
        <v>199494</v>
      </c>
      <c r="E303" s="563">
        <v>8</v>
      </c>
      <c r="F303" s="486" t="s">
        <v>41</v>
      </c>
      <c r="G303" s="529"/>
      <c r="H303" s="506"/>
      <c r="I303" s="488"/>
      <c r="J303" s="506">
        <v>62869</v>
      </c>
      <c r="K303" s="488">
        <v>62635</v>
      </c>
      <c r="L303" s="506">
        <v>16118</v>
      </c>
      <c r="M303" s="488">
        <v>16117</v>
      </c>
      <c r="N303" s="506">
        <v>67507</v>
      </c>
      <c r="O303" s="507">
        <v>63486</v>
      </c>
      <c r="P303" s="479">
        <f t="shared" si="139"/>
        <v>146494</v>
      </c>
      <c r="Q303" s="480">
        <f t="shared" si="140"/>
        <v>4883.1333333333332</v>
      </c>
      <c r="R303" s="481">
        <f t="shared" si="141"/>
        <v>142238</v>
      </c>
      <c r="S303" s="482">
        <f t="shared" si="142"/>
        <v>4741.2666666666664</v>
      </c>
      <c r="T303" s="506">
        <v>7256</v>
      </c>
      <c r="U303" s="507">
        <v>7714</v>
      </c>
      <c r="V303" s="479">
        <f t="shared" si="143"/>
        <v>146494</v>
      </c>
      <c r="W303" s="478">
        <f t="shared" si="144"/>
        <v>142238</v>
      </c>
      <c r="X303" s="506"/>
      <c r="Y303" s="488"/>
      <c r="Z303" s="506">
        <v>277100</v>
      </c>
      <c r="AA303" s="669">
        <v>310621</v>
      </c>
      <c r="AB303" s="506">
        <v>201755</v>
      </c>
      <c r="AC303" s="670">
        <v>198095</v>
      </c>
      <c r="AD303" s="506">
        <v>305452</v>
      </c>
      <c r="AE303" s="671">
        <v>308373</v>
      </c>
      <c r="AF303" s="479">
        <f t="shared" si="145"/>
        <v>784307</v>
      </c>
      <c r="AG303" s="480">
        <f t="shared" si="146"/>
        <v>871.45222222222219</v>
      </c>
      <c r="AH303" s="481">
        <f t="shared" si="147"/>
        <v>817089</v>
      </c>
      <c r="AI303" s="481">
        <f t="shared" si="148"/>
        <v>907.87666666666667</v>
      </c>
      <c r="AJ303" s="487"/>
      <c r="AK303" s="507"/>
      <c r="AL303" s="479">
        <f t="shared" si="149"/>
        <v>0</v>
      </c>
      <c r="AM303" s="482">
        <f t="shared" si="150"/>
        <v>0</v>
      </c>
      <c r="AN303" s="487"/>
      <c r="AO303" s="488"/>
      <c r="AP303" s="487"/>
      <c r="AQ303" s="507"/>
      <c r="AR303" s="487"/>
      <c r="AS303" s="488"/>
      <c r="AT303" s="487"/>
      <c r="AU303" s="507"/>
      <c r="AV303" s="479">
        <f t="shared" si="151"/>
        <v>0</v>
      </c>
      <c r="AW303" s="483">
        <f t="shared" si="152"/>
        <v>0</v>
      </c>
      <c r="AX303" s="481">
        <f t="shared" si="153"/>
        <v>0</v>
      </c>
      <c r="AY303" s="484">
        <f t="shared" si="154"/>
        <v>0</v>
      </c>
      <c r="AZ303" s="485">
        <f t="shared" si="155"/>
        <v>5754.5855555555554</v>
      </c>
      <c r="BA303" s="481">
        <f t="shared" si="156"/>
        <v>5649.1433333333334</v>
      </c>
    </row>
    <row r="304" spans="1:53">
      <c r="A304" s="672" t="s">
        <v>268</v>
      </c>
      <c r="B304" s="553" t="s">
        <v>630</v>
      </c>
      <c r="C304" s="667"/>
      <c r="D304" s="668">
        <v>199856</v>
      </c>
      <c r="E304" s="561">
        <v>8</v>
      </c>
      <c r="F304" s="486" t="s">
        <v>41</v>
      </c>
      <c r="G304" s="529"/>
      <c r="H304" s="506"/>
      <c r="I304" s="488"/>
      <c r="J304" s="506">
        <v>174894</v>
      </c>
      <c r="K304" s="488">
        <v>189405</v>
      </c>
      <c r="L304" s="506">
        <v>40427</v>
      </c>
      <c r="M304" s="488">
        <v>43674</v>
      </c>
      <c r="N304" s="506">
        <v>179588</v>
      </c>
      <c r="O304" s="507">
        <v>193128</v>
      </c>
      <c r="P304" s="479">
        <f t="shared" si="139"/>
        <v>394909</v>
      </c>
      <c r="Q304" s="480">
        <f t="shared" si="140"/>
        <v>13163.633333333333</v>
      </c>
      <c r="R304" s="481">
        <f t="shared" si="141"/>
        <v>426207</v>
      </c>
      <c r="S304" s="482">
        <f t="shared" si="142"/>
        <v>14206.9</v>
      </c>
      <c r="T304" s="506">
        <v>5011</v>
      </c>
      <c r="U304" s="507">
        <v>4544</v>
      </c>
      <c r="V304" s="479">
        <f t="shared" si="143"/>
        <v>394909</v>
      </c>
      <c r="W304" s="478">
        <f t="shared" si="144"/>
        <v>426207</v>
      </c>
      <c r="X304" s="506"/>
      <c r="Y304" s="488"/>
      <c r="Z304" s="506">
        <v>848662</v>
      </c>
      <c r="AA304" s="669">
        <v>883579</v>
      </c>
      <c r="AB304" s="506">
        <v>559989</v>
      </c>
      <c r="AC304" s="670">
        <v>601042</v>
      </c>
      <c r="AD304" s="506">
        <v>839804</v>
      </c>
      <c r="AE304" s="671">
        <v>851247</v>
      </c>
      <c r="AF304" s="479">
        <f t="shared" si="145"/>
        <v>2248455</v>
      </c>
      <c r="AG304" s="480">
        <f t="shared" si="146"/>
        <v>2498.2833333333333</v>
      </c>
      <c r="AH304" s="481">
        <f t="shared" si="147"/>
        <v>2335868</v>
      </c>
      <c r="AI304" s="481">
        <f t="shared" si="148"/>
        <v>2595.4088888888887</v>
      </c>
      <c r="AJ304" s="487"/>
      <c r="AK304" s="507"/>
      <c r="AL304" s="479">
        <f t="shared" si="149"/>
        <v>0</v>
      </c>
      <c r="AM304" s="482">
        <f t="shared" si="150"/>
        <v>0</v>
      </c>
      <c r="AN304" s="487"/>
      <c r="AO304" s="488"/>
      <c r="AP304" s="487"/>
      <c r="AQ304" s="507"/>
      <c r="AR304" s="487"/>
      <c r="AS304" s="488"/>
      <c r="AT304" s="487"/>
      <c r="AU304" s="507"/>
      <c r="AV304" s="479">
        <f t="shared" si="151"/>
        <v>0</v>
      </c>
      <c r="AW304" s="483">
        <f t="shared" si="152"/>
        <v>0</v>
      </c>
      <c r="AX304" s="481">
        <f t="shared" si="153"/>
        <v>0</v>
      </c>
      <c r="AY304" s="484">
        <f t="shared" si="154"/>
        <v>0</v>
      </c>
      <c r="AZ304" s="485">
        <f t="shared" si="155"/>
        <v>15661.916666666666</v>
      </c>
      <c r="BA304" s="481">
        <f t="shared" si="156"/>
        <v>16802.308888888889</v>
      </c>
    </row>
    <row r="305" spans="1:53">
      <c r="A305" s="672" t="s">
        <v>268</v>
      </c>
      <c r="B305" s="553" t="s">
        <v>631</v>
      </c>
      <c r="C305" s="674"/>
      <c r="D305" s="668">
        <v>199786</v>
      </c>
      <c r="E305" s="561">
        <v>9</v>
      </c>
      <c r="F305" s="486" t="s">
        <v>41</v>
      </c>
      <c r="G305" s="529"/>
      <c r="H305" s="506"/>
      <c r="I305" s="488"/>
      <c r="J305" s="506">
        <v>44880</v>
      </c>
      <c r="K305" s="488">
        <v>41603</v>
      </c>
      <c r="L305" s="506">
        <v>9029</v>
      </c>
      <c r="M305" s="488">
        <v>8837</v>
      </c>
      <c r="N305" s="506">
        <v>48022</v>
      </c>
      <c r="O305" s="507">
        <v>43082</v>
      </c>
      <c r="P305" s="479">
        <f t="shared" si="139"/>
        <v>101931</v>
      </c>
      <c r="Q305" s="480">
        <f t="shared" si="140"/>
        <v>3397.7</v>
      </c>
      <c r="R305" s="481">
        <f t="shared" si="141"/>
        <v>93522</v>
      </c>
      <c r="S305" s="482">
        <f t="shared" si="142"/>
        <v>3117.4</v>
      </c>
      <c r="T305" s="506">
        <v>4687</v>
      </c>
      <c r="U305" s="507">
        <v>4101</v>
      </c>
      <c r="V305" s="479">
        <f t="shared" si="143"/>
        <v>101931</v>
      </c>
      <c r="W305" s="478">
        <f t="shared" si="144"/>
        <v>93522</v>
      </c>
      <c r="X305" s="506"/>
      <c r="Y305" s="488"/>
      <c r="Z305" s="506">
        <v>177274</v>
      </c>
      <c r="AA305" s="669">
        <v>199190</v>
      </c>
      <c r="AB305" s="506">
        <v>127954</v>
      </c>
      <c r="AC305" s="670">
        <v>118396</v>
      </c>
      <c r="AD305" s="506">
        <v>215302</v>
      </c>
      <c r="AE305" s="671">
        <v>195242</v>
      </c>
      <c r="AF305" s="479">
        <f t="shared" si="145"/>
        <v>520530</v>
      </c>
      <c r="AG305" s="480">
        <f t="shared" si="146"/>
        <v>578.36666666666667</v>
      </c>
      <c r="AH305" s="481">
        <f t="shared" si="147"/>
        <v>512828</v>
      </c>
      <c r="AI305" s="481">
        <f t="shared" si="148"/>
        <v>569.80888888888887</v>
      </c>
      <c r="AJ305" s="487"/>
      <c r="AK305" s="507"/>
      <c r="AL305" s="479">
        <f t="shared" si="149"/>
        <v>0</v>
      </c>
      <c r="AM305" s="482">
        <f t="shared" si="150"/>
        <v>0</v>
      </c>
      <c r="AN305" s="487"/>
      <c r="AO305" s="488"/>
      <c r="AP305" s="487"/>
      <c r="AQ305" s="507"/>
      <c r="AR305" s="487"/>
      <c r="AS305" s="488"/>
      <c r="AT305" s="487"/>
      <c r="AU305" s="507"/>
      <c r="AV305" s="479">
        <f t="shared" si="151"/>
        <v>0</v>
      </c>
      <c r="AW305" s="483">
        <f t="shared" si="152"/>
        <v>0</v>
      </c>
      <c r="AX305" s="481">
        <f t="shared" si="153"/>
        <v>0</v>
      </c>
      <c r="AY305" s="484">
        <f t="shared" si="154"/>
        <v>0</v>
      </c>
      <c r="AZ305" s="485">
        <f t="shared" si="155"/>
        <v>3976.0666666666666</v>
      </c>
      <c r="BA305" s="481">
        <f t="shared" si="156"/>
        <v>3687.2088888888889</v>
      </c>
    </row>
    <row r="306" spans="1:53" ht="15" customHeight="1">
      <c r="A306" s="672" t="s">
        <v>268</v>
      </c>
      <c r="B306" s="553" t="s">
        <v>632</v>
      </c>
      <c r="C306" s="674"/>
      <c r="D306" s="668">
        <v>198118</v>
      </c>
      <c r="E306" s="561">
        <v>9</v>
      </c>
      <c r="F306" s="486" t="s">
        <v>41</v>
      </c>
      <c r="G306" s="529"/>
      <c r="H306" s="506"/>
      <c r="I306" s="488"/>
      <c r="J306" s="506">
        <v>41910</v>
      </c>
      <c r="K306" s="488">
        <v>38756</v>
      </c>
      <c r="L306" s="506">
        <v>10531</v>
      </c>
      <c r="M306" s="488">
        <v>8700</v>
      </c>
      <c r="N306" s="506">
        <v>44408</v>
      </c>
      <c r="O306" s="507">
        <v>42316</v>
      </c>
      <c r="P306" s="479">
        <f t="shared" si="139"/>
        <v>96849</v>
      </c>
      <c r="Q306" s="480">
        <f t="shared" si="140"/>
        <v>3228.3</v>
      </c>
      <c r="R306" s="481">
        <f t="shared" si="141"/>
        <v>89772</v>
      </c>
      <c r="S306" s="482">
        <f t="shared" si="142"/>
        <v>2992.4</v>
      </c>
      <c r="T306" s="506">
        <v>8134</v>
      </c>
      <c r="U306" s="507">
        <v>6958</v>
      </c>
      <c r="V306" s="479">
        <f t="shared" si="143"/>
        <v>96849</v>
      </c>
      <c r="W306" s="478">
        <f t="shared" si="144"/>
        <v>89772</v>
      </c>
      <c r="X306" s="506"/>
      <c r="Y306" s="488"/>
      <c r="Z306" s="506">
        <v>193972</v>
      </c>
      <c r="AA306" s="669">
        <v>209854</v>
      </c>
      <c r="AB306" s="506">
        <v>147355</v>
      </c>
      <c r="AC306" s="670">
        <v>126257</v>
      </c>
      <c r="AD306" s="506">
        <v>259194</v>
      </c>
      <c r="AE306" s="671">
        <v>242717</v>
      </c>
      <c r="AF306" s="479">
        <f t="shared" si="145"/>
        <v>600521</v>
      </c>
      <c r="AG306" s="480">
        <f t="shared" si="146"/>
        <v>667.2455555555556</v>
      </c>
      <c r="AH306" s="481">
        <f t="shared" si="147"/>
        <v>578828</v>
      </c>
      <c r="AI306" s="481">
        <f t="shared" si="148"/>
        <v>643.14222222222224</v>
      </c>
      <c r="AJ306" s="487"/>
      <c r="AK306" s="507"/>
      <c r="AL306" s="479">
        <f t="shared" si="149"/>
        <v>0</v>
      </c>
      <c r="AM306" s="482">
        <f t="shared" si="150"/>
        <v>0</v>
      </c>
      <c r="AN306" s="487"/>
      <c r="AO306" s="488"/>
      <c r="AP306" s="487"/>
      <c r="AQ306" s="507"/>
      <c r="AR306" s="487"/>
      <c r="AS306" s="488"/>
      <c r="AT306" s="487"/>
      <c r="AU306" s="507"/>
      <c r="AV306" s="479">
        <f t="shared" si="151"/>
        <v>0</v>
      </c>
      <c r="AW306" s="483">
        <f t="shared" si="152"/>
        <v>0</v>
      </c>
      <c r="AX306" s="481">
        <f t="shared" si="153"/>
        <v>0</v>
      </c>
      <c r="AY306" s="484">
        <f t="shared" si="154"/>
        <v>0</v>
      </c>
      <c r="AZ306" s="485">
        <f t="shared" si="155"/>
        <v>3895.5455555555559</v>
      </c>
      <c r="BA306" s="481">
        <f t="shared" si="156"/>
        <v>3635.5422222222223</v>
      </c>
    </row>
    <row r="307" spans="1:53" ht="15" customHeight="1">
      <c r="A307" s="672" t="s">
        <v>268</v>
      </c>
      <c r="B307" s="673" t="s">
        <v>633</v>
      </c>
      <c r="C307" s="674"/>
      <c r="D307" s="675">
        <v>198233</v>
      </c>
      <c r="E307" s="556">
        <v>9</v>
      </c>
      <c r="F307" s="486" t="s">
        <v>41</v>
      </c>
      <c r="G307" s="529"/>
      <c r="H307" s="506"/>
      <c r="I307" s="488"/>
      <c r="J307" s="506">
        <v>44845</v>
      </c>
      <c r="K307" s="488">
        <v>39837</v>
      </c>
      <c r="L307" s="506">
        <v>11758</v>
      </c>
      <c r="M307" s="488">
        <v>9901</v>
      </c>
      <c r="N307" s="506">
        <v>47396</v>
      </c>
      <c r="O307" s="507">
        <v>42550</v>
      </c>
      <c r="P307" s="479">
        <f t="shared" si="139"/>
        <v>103999</v>
      </c>
      <c r="Q307" s="480">
        <f t="shared" si="140"/>
        <v>3466.6333333333332</v>
      </c>
      <c r="R307" s="481">
        <f t="shared" si="141"/>
        <v>92288</v>
      </c>
      <c r="S307" s="482">
        <f t="shared" si="142"/>
        <v>3076.2666666666669</v>
      </c>
      <c r="T307" s="506">
        <v>8491</v>
      </c>
      <c r="U307" s="507">
        <v>8767</v>
      </c>
      <c r="V307" s="479">
        <f t="shared" si="143"/>
        <v>103999</v>
      </c>
      <c r="W307" s="478">
        <f t="shared" si="144"/>
        <v>92288</v>
      </c>
      <c r="X307" s="506"/>
      <c r="Y307" s="488"/>
      <c r="Z307" s="506">
        <v>247588</v>
      </c>
      <c r="AA307" s="669">
        <v>267016</v>
      </c>
      <c r="AB307" s="506">
        <v>150779</v>
      </c>
      <c r="AC307" s="670">
        <v>171483</v>
      </c>
      <c r="AD307" s="506">
        <v>260008</v>
      </c>
      <c r="AE307" s="671">
        <v>276350</v>
      </c>
      <c r="AF307" s="479">
        <f t="shared" si="145"/>
        <v>658375</v>
      </c>
      <c r="AG307" s="480">
        <f t="shared" si="146"/>
        <v>731.52777777777783</v>
      </c>
      <c r="AH307" s="481">
        <f t="shared" si="147"/>
        <v>714849</v>
      </c>
      <c r="AI307" s="481">
        <f t="shared" si="148"/>
        <v>794.27666666666664</v>
      </c>
      <c r="AJ307" s="487"/>
      <c r="AK307" s="507"/>
      <c r="AL307" s="479">
        <f t="shared" si="149"/>
        <v>0</v>
      </c>
      <c r="AM307" s="482">
        <f t="shared" si="150"/>
        <v>0</v>
      </c>
      <c r="AN307" s="487"/>
      <c r="AO307" s="488"/>
      <c r="AP307" s="487"/>
      <c r="AQ307" s="507"/>
      <c r="AR307" s="487"/>
      <c r="AS307" s="488"/>
      <c r="AT307" s="487"/>
      <c r="AU307" s="507"/>
      <c r="AV307" s="479">
        <f t="shared" si="151"/>
        <v>0</v>
      </c>
      <c r="AW307" s="483">
        <f t="shared" si="152"/>
        <v>0</v>
      </c>
      <c r="AX307" s="481">
        <f t="shared" si="153"/>
        <v>0</v>
      </c>
      <c r="AY307" s="484">
        <f t="shared" si="154"/>
        <v>0</v>
      </c>
      <c r="AZ307" s="485">
        <f t="shared" si="155"/>
        <v>4198.1611111111106</v>
      </c>
      <c r="BA307" s="481">
        <f t="shared" si="156"/>
        <v>3870.5433333333335</v>
      </c>
    </row>
    <row r="308" spans="1:53" ht="15" customHeight="1">
      <c r="A308" s="672" t="s">
        <v>268</v>
      </c>
      <c r="B308" s="673" t="s">
        <v>634</v>
      </c>
      <c r="C308" s="674"/>
      <c r="D308" s="675">
        <v>198251</v>
      </c>
      <c r="E308" s="556">
        <v>9</v>
      </c>
      <c r="F308" s="486" t="s">
        <v>41</v>
      </c>
      <c r="G308" s="529"/>
      <c r="H308" s="506"/>
      <c r="I308" s="488"/>
      <c r="J308" s="506">
        <v>39235</v>
      </c>
      <c r="K308" s="488">
        <v>39011</v>
      </c>
      <c r="L308" s="506">
        <v>6982</v>
      </c>
      <c r="M308" s="488">
        <v>7264</v>
      </c>
      <c r="N308" s="506">
        <v>41427</v>
      </c>
      <c r="O308" s="507">
        <v>44323</v>
      </c>
      <c r="P308" s="479">
        <f t="shared" si="139"/>
        <v>87644</v>
      </c>
      <c r="Q308" s="480">
        <f t="shared" si="140"/>
        <v>2921.4666666666667</v>
      </c>
      <c r="R308" s="481">
        <f t="shared" si="141"/>
        <v>90598</v>
      </c>
      <c r="S308" s="482">
        <f t="shared" si="142"/>
        <v>3019.9333333333334</v>
      </c>
      <c r="T308" s="506">
        <v>9327</v>
      </c>
      <c r="U308" s="507">
        <v>6777</v>
      </c>
      <c r="V308" s="479">
        <f t="shared" si="143"/>
        <v>87644</v>
      </c>
      <c r="W308" s="478">
        <f t="shared" si="144"/>
        <v>90598</v>
      </c>
      <c r="X308" s="506"/>
      <c r="Y308" s="488"/>
      <c r="Z308" s="506">
        <v>434372</v>
      </c>
      <c r="AA308" s="669">
        <v>480583</v>
      </c>
      <c r="AB308" s="506">
        <v>285076</v>
      </c>
      <c r="AC308" s="670">
        <v>268358</v>
      </c>
      <c r="AD308" s="506">
        <v>476844</v>
      </c>
      <c r="AE308" s="671">
        <v>472646</v>
      </c>
      <c r="AF308" s="479">
        <f t="shared" si="145"/>
        <v>1196292</v>
      </c>
      <c r="AG308" s="480">
        <f t="shared" si="146"/>
        <v>1329.2133333333334</v>
      </c>
      <c r="AH308" s="481">
        <f t="shared" si="147"/>
        <v>1221587</v>
      </c>
      <c r="AI308" s="481">
        <f t="shared" si="148"/>
        <v>1357.318888888889</v>
      </c>
      <c r="AJ308" s="487"/>
      <c r="AK308" s="507"/>
      <c r="AL308" s="479">
        <f t="shared" si="149"/>
        <v>0</v>
      </c>
      <c r="AM308" s="482">
        <f t="shared" si="150"/>
        <v>0</v>
      </c>
      <c r="AN308" s="487"/>
      <c r="AO308" s="488"/>
      <c r="AP308" s="487"/>
      <c r="AQ308" s="507"/>
      <c r="AR308" s="487"/>
      <c r="AS308" s="488"/>
      <c r="AT308" s="487"/>
      <c r="AU308" s="507"/>
      <c r="AV308" s="479">
        <f t="shared" si="151"/>
        <v>0</v>
      </c>
      <c r="AW308" s="483">
        <f t="shared" si="152"/>
        <v>0</v>
      </c>
      <c r="AX308" s="481">
        <f t="shared" si="153"/>
        <v>0</v>
      </c>
      <c r="AY308" s="484">
        <f t="shared" si="154"/>
        <v>0</v>
      </c>
      <c r="AZ308" s="485">
        <f t="shared" si="155"/>
        <v>4250.68</v>
      </c>
      <c r="BA308" s="481">
        <f t="shared" si="156"/>
        <v>4377.2522222222224</v>
      </c>
    </row>
    <row r="309" spans="1:53" ht="15" customHeight="1">
      <c r="A309" s="672" t="s">
        <v>268</v>
      </c>
      <c r="B309" s="553" t="s">
        <v>635</v>
      </c>
      <c r="C309" s="674"/>
      <c r="D309" s="668">
        <v>198321</v>
      </c>
      <c r="E309" s="561">
        <v>9</v>
      </c>
      <c r="F309" s="486" t="s">
        <v>41</v>
      </c>
      <c r="G309" s="529"/>
      <c r="H309" s="506"/>
      <c r="I309" s="488"/>
      <c r="J309" s="506">
        <v>28243</v>
      </c>
      <c r="K309" s="488">
        <v>28569</v>
      </c>
      <c r="L309" s="506">
        <v>3792</v>
      </c>
      <c r="M309" s="488">
        <v>3323</v>
      </c>
      <c r="N309" s="506">
        <v>31082</v>
      </c>
      <c r="O309" s="507">
        <v>29453</v>
      </c>
      <c r="P309" s="479">
        <f t="shared" si="139"/>
        <v>63117</v>
      </c>
      <c r="Q309" s="480">
        <f t="shared" si="140"/>
        <v>2103.9</v>
      </c>
      <c r="R309" s="481">
        <f t="shared" si="141"/>
        <v>61345</v>
      </c>
      <c r="S309" s="482">
        <f t="shared" si="142"/>
        <v>2044.8333333333333</v>
      </c>
      <c r="T309" s="506">
        <v>7598</v>
      </c>
      <c r="U309" s="507">
        <v>9518</v>
      </c>
      <c r="V309" s="479">
        <f t="shared" si="143"/>
        <v>63117</v>
      </c>
      <c r="W309" s="478">
        <f t="shared" si="144"/>
        <v>61345</v>
      </c>
      <c r="X309" s="506"/>
      <c r="Y309" s="488"/>
      <c r="Z309" s="506">
        <v>150090</v>
      </c>
      <c r="AA309" s="669">
        <v>169786</v>
      </c>
      <c r="AB309" s="506">
        <v>91102</v>
      </c>
      <c r="AC309" s="670">
        <v>97552</v>
      </c>
      <c r="AD309" s="506">
        <v>151566</v>
      </c>
      <c r="AE309" s="671">
        <v>171928</v>
      </c>
      <c r="AF309" s="479">
        <f t="shared" si="145"/>
        <v>392758</v>
      </c>
      <c r="AG309" s="480">
        <f t="shared" si="146"/>
        <v>436.39777777777778</v>
      </c>
      <c r="AH309" s="481">
        <f t="shared" si="147"/>
        <v>439266</v>
      </c>
      <c r="AI309" s="481">
        <f t="shared" si="148"/>
        <v>488.07333333333332</v>
      </c>
      <c r="AJ309" s="487"/>
      <c r="AK309" s="507"/>
      <c r="AL309" s="479">
        <f t="shared" si="149"/>
        <v>0</v>
      </c>
      <c r="AM309" s="482">
        <f t="shared" si="150"/>
        <v>0</v>
      </c>
      <c r="AN309" s="487"/>
      <c r="AO309" s="488"/>
      <c r="AP309" s="487"/>
      <c r="AQ309" s="507"/>
      <c r="AR309" s="487"/>
      <c r="AS309" s="488"/>
      <c r="AT309" s="487"/>
      <c r="AU309" s="507"/>
      <c r="AV309" s="479">
        <f t="shared" si="151"/>
        <v>0</v>
      </c>
      <c r="AW309" s="483">
        <f t="shared" si="152"/>
        <v>0</v>
      </c>
      <c r="AX309" s="481">
        <f t="shared" si="153"/>
        <v>0</v>
      </c>
      <c r="AY309" s="484">
        <f t="shared" si="154"/>
        <v>0</v>
      </c>
      <c r="AZ309" s="485">
        <f t="shared" si="155"/>
        <v>2540.2977777777778</v>
      </c>
      <c r="BA309" s="481">
        <f t="shared" si="156"/>
        <v>2532.9066666666668</v>
      </c>
    </row>
    <row r="310" spans="1:53" ht="15" customHeight="1">
      <c r="A310" s="672" t="s">
        <v>268</v>
      </c>
      <c r="B310" s="562" t="s">
        <v>636</v>
      </c>
      <c r="C310" s="678"/>
      <c r="D310" s="668">
        <v>198330</v>
      </c>
      <c r="E310" s="561">
        <v>9</v>
      </c>
      <c r="F310" s="486" t="s">
        <v>41</v>
      </c>
      <c r="G310" s="529"/>
      <c r="H310" s="506"/>
      <c r="I310" s="488"/>
      <c r="J310" s="506">
        <v>46872</v>
      </c>
      <c r="K310" s="488">
        <v>45960</v>
      </c>
      <c r="L310" s="506">
        <v>19332</v>
      </c>
      <c r="M310" s="488">
        <v>18275</v>
      </c>
      <c r="N310" s="506">
        <v>47944</v>
      </c>
      <c r="O310" s="507">
        <v>47646</v>
      </c>
      <c r="P310" s="479">
        <f t="shared" si="139"/>
        <v>114148</v>
      </c>
      <c r="Q310" s="480">
        <f t="shared" si="140"/>
        <v>3804.9333333333334</v>
      </c>
      <c r="R310" s="481">
        <f t="shared" si="141"/>
        <v>111881</v>
      </c>
      <c r="S310" s="482">
        <f t="shared" si="142"/>
        <v>3729.3666666666668</v>
      </c>
      <c r="T310" s="506">
        <v>664</v>
      </c>
      <c r="U310" s="507">
        <v>716</v>
      </c>
      <c r="V310" s="479">
        <f t="shared" si="143"/>
        <v>114148</v>
      </c>
      <c r="W310" s="478">
        <f t="shared" si="144"/>
        <v>111881</v>
      </c>
      <c r="X310" s="506"/>
      <c r="Y310" s="488"/>
      <c r="Z310" s="506">
        <v>258569</v>
      </c>
      <c r="AA310" s="669">
        <v>225220</v>
      </c>
      <c r="AB310" s="506">
        <v>194891</v>
      </c>
      <c r="AC310" s="670">
        <v>162642</v>
      </c>
      <c r="AD310" s="506">
        <v>314904</v>
      </c>
      <c r="AE310" s="671">
        <v>301784</v>
      </c>
      <c r="AF310" s="479">
        <f t="shared" si="145"/>
        <v>768364</v>
      </c>
      <c r="AG310" s="480">
        <f t="shared" si="146"/>
        <v>853.73777777777775</v>
      </c>
      <c r="AH310" s="481">
        <f t="shared" si="147"/>
        <v>689646</v>
      </c>
      <c r="AI310" s="481">
        <f t="shared" si="148"/>
        <v>766.27333333333331</v>
      </c>
      <c r="AJ310" s="487"/>
      <c r="AK310" s="507"/>
      <c r="AL310" s="479">
        <f t="shared" si="149"/>
        <v>0</v>
      </c>
      <c r="AM310" s="482">
        <f t="shared" si="150"/>
        <v>0</v>
      </c>
      <c r="AN310" s="487"/>
      <c r="AO310" s="488"/>
      <c r="AP310" s="487"/>
      <c r="AQ310" s="507"/>
      <c r="AR310" s="487"/>
      <c r="AS310" s="488"/>
      <c r="AT310" s="487"/>
      <c r="AU310" s="507"/>
      <c r="AV310" s="479">
        <f t="shared" si="151"/>
        <v>0</v>
      </c>
      <c r="AW310" s="483">
        <f t="shared" si="152"/>
        <v>0</v>
      </c>
      <c r="AX310" s="481">
        <f t="shared" si="153"/>
        <v>0</v>
      </c>
      <c r="AY310" s="484">
        <f t="shared" si="154"/>
        <v>0</v>
      </c>
      <c r="AZ310" s="485">
        <f t="shared" si="155"/>
        <v>4658.6711111111108</v>
      </c>
      <c r="BA310" s="481">
        <f t="shared" si="156"/>
        <v>4495.6400000000003</v>
      </c>
    </row>
    <row r="311" spans="1:53" ht="15" customHeight="1">
      <c r="A311" s="672" t="s">
        <v>268</v>
      </c>
      <c r="B311" s="553" t="s">
        <v>637</v>
      </c>
      <c r="C311" s="667"/>
      <c r="D311" s="668">
        <v>198367</v>
      </c>
      <c r="E311" s="561">
        <v>9</v>
      </c>
      <c r="F311" s="486" t="s">
        <v>41</v>
      </c>
      <c r="G311" s="529"/>
      <c r="H311" s="506"/>
      <c r="I311" s="488"/>
      <c r="J311" s="506">
        <v>31385</v>
      </c>
      <c r="K311" s="488">
        <v>28636</v>
      </c>
      <c r="L311" s="506">
        <v>7294</v>
      </c>
      <c r="M311" s="488">
        <v>7496</v>
      </c>
      <c r="N311" s="506">
        <v>32837</v>
      </c>
      <c r="O311" s="507">
        <v>28787</v>
      </c>
      <c r="P311" s="479">
        <f t="shared" si="139"/>
        <v>71516</v>
      </c>
      <c r="Q311" s="480">
        <f t="shared" si="140"/>
        <v>2383.8666666666668</v>
      </c>
      <c r="R311" s="481">
        <f t="shared" si="141"/>
        <v>64919</v>
      </c>
      <c r="S311" s="482">
        <f t="shared" si="142"/>
        <v>2163.9666666666667</v>
      </c>
      <c r="T311" s="506">
        <v>4375</v>
      </c>
      <c r="U311" s="507">
        <v>4513</v>
      </c>
      <c r="V311" s="479">
        <f t="shared" si="143"/>
        <v>71516</v>
      </c>
      <c r="W311" s="478">
        <f t="shared" si="144"/>
        <v>64919</v>
      </c>
      <c r="X311" s="506"/>
      <c r="Y311" s="488"/>
      <c r="Z311" s="506">
        <v>148437</v>
      </c>
      <c r="AA311" s="488">
        <v>130010</v>
      </c>
      <c r="AB311" s="506">
        <v>86014</v>
      </c>
      <c r="AC311" s="488">
        <v>90935</v>
      </c>
      <c r="AD311" s="506">
        <v>136842</v>
      </c>
      <c r="AE311" s="507">
        <v>163808</v>
      </c>
      <c r="AF311" s="479">
        <f t="shared" si="145"/>
        <v>371293</v>
      </c>
      <c r="AG311" s="480">
        <f t="shared" si="146"/>
        <v>412.54777777777775</v>
      </c>
      <c r="AH311" s="481">
        <f t="shared" si="147"/>
        <v>384753</v>
      </c>
      <c r="AI311" s="481">
        <f t="shared" si="148"/>
        <v>427.50333333333333</v>
      </c>
      <c r="AJ311" s="487"/>
      <c r="AK311" s="507"/>
      <c r="AL311" s="479">
        <f t="shared" si="149"/>
        <v>0</v>
      </c>
      <c r="AM311" s="482">
        <f t="shared" si="150"/>
        <v>0</v>
      </c>
      <c r="AN311" s="487"/>
      <c r="AO311" s="488"/>
      <c r="AP311" s="487"/>
      <c r="AQ311" s="507"/>
      <c r="AR311" s="487"/>
      <c r="AS311" s="488"/>
      <c r="AT311" s="487"/>
      <c r="AU311" s="507"/>
      <c r="AV311" s="479">
        <f t="shared" si="151"/>
        <v>0</v>
      </c>
      <c r="AW311" s="483">
        <f t="shared" si="152"/>
        <v>0</v>
      </c>
      <c r="AX311" s="481">
        <f t="shared" si="153"/>
        <v>0</v>
      </c>
      <c r="AY311" s="484">
        <f t="shared" si="154"/>
        <v>0</v>
      </c>
      <c r="AZ311" s="485">
        <f t="shared" si="155"/>
        <v>2796.4144444444446</v>
      </c>
      <c r="BA311" s="481">
        <f t="shared" si="156"/>
        <v>2591.4700000000003</v>
      </c>
    </row>
    <row r="312" spans="1:53" ht="15" customHeight="1">
      <c r="A312" s="672" t="s">
        <v>268</v>
      </c>
      <c r="B312" s="553" t="s">
        <v>638</v>
      </c>
      <c r="C312" s="667"/>
      <c r="D312" s="668">
        <v>198376</v>
      </c>
      <c r="E312" s="561">
        <v>9</v>
      </c>
      <c r="F312" s="486" t="s">
        <v>41</v>
      </c>
      <c r="G312" s="529"/>
      <c r="H312" s="506"/>
      <c r="I312" s="488"/>
      <c r="J312" s="506">
        <v>38027</v>
      </c>
      <c r="K312" s="488">
        <v>36069</v>
      </c>
      <c r="L312" s="506">
        <v>8257</v>
      </c>
      <c r="M312" s="488">
        <v>7707</v>
      </c>
      <c r="N312" s="506">
        <v>40368</v>
      </c>
      <c r="O312" s="507">
        <v>38066</v>
      </c>
      <c r="P312" s="479">
        <f t="shared" si="139"/>
        <v>86652</v>
      </c>
      <c r="Q312" s="480">
        <f t="shared" si="140"/>
        <v>2888.4</v>
      </c>
      <c r="R312" s="481">
        <f t="shared" si="141"/>
        <v>81842</v>
      </c>
      <c r="S312" s="482">
        <f t="shared" si="142"/>
        <v>2728.0666666666666</v>
      </c>
      <c r="T312" s="506">
        <v>5860</v>
      </c>
      <c r="U312" s="507">
        <v>5361</v>
      </c>
      <c r="V312" s="479">
        <f t="shared" si="143"/>
        <v>86652</v>
      </c>
      <c r="W312" s="478">
        <f t="shared" si="144"/>
        <v>81842</v>
      </c>
      <c r="X312" s="506"/>
      <c r="Y312" s="488"/>
      <c r="Z312" s="506">
        <v>231630</v>
      </c>
      <c r="AA312" s="488">
        <v>238351</v>
      </c>
      <c r="AB312" s="506">
        <v>162517</v>
      </c>
      <c r="AC312" s="488">
        <v>153545</v>
      </c>
      <c r="AD312" s="506">
        <v>264415</v>
      </c>
      <c r="AE312" s="507">
        <v>251878</v>
      </c>
      <c r="AF312" s="479">
        <f t="shared" si="145"/>
        <v>658562</v>
      </c>
      <c r="AG312" s="480">
        <f t="shared" si="146"/>
        <v>731.73555555555561</v>
      </c>
      <c r="AH312" s="481">
        <f t="shared" si="147"/>
        <v>643774</v>
      </c>
      <c r="AI312" s="481">
        <f t="shared" si="148"/>
        <v>715.30444444444447</v>
      </c>
      <c r="AJ312" s="487"/>
      <c r="AK312" s="507"/>
      <c r="AL312" s="479">
        <f t="shared" si="149"/>
        <v>0</v>
      </c>
      <c r="AM312" s="482">
        <f t="shared" si="150"/>
        <v>0</v>
      </c>
      <c r="AN312" s="487"/>
      <c r="AO312" s="488"/>
      <c r="AP312" s="487"/>
      <c r="AQ312" s="507"/>
      <c r="AR312" s="487"/>
      <c r="AS312" s="488"/>
      <c r="AT312" s="487"/>
      <c r="AU312" s="507"/>
      <c r="AV312" s="479">
        <f t="shared" si="151"/>
        <v>0</v>
      </c>
      <c r="AW312" s="483">
        <f t="shared" si="152"/>
        <v>0</v>
      </c>
      <c r="AX312" s="481">
        <f t="shared" si="153"/>
        <v>0</v>
      </c>
      <c r="AY312" s="484">
        <f t="shared" si="154"/>
        <v>0</v>
      </c>
      <c r="AZ312" s="485">
        <f t="shared" si="155"/>
        <v>3620.1355555555556</v>
      </c>
      <c r="BA312" s="481">
        <f t="shared" si="156"/>
        <v>3443.3711111111111</v>
      </c>
    </row>
    <row r="313" spans="1:53" ht="15" customHeight="1">
      <c r="A313" s="672" t="s">
        <v>268</v>
      </c>
      <c r="B313" s="673" t="s">
        <v>639</v>
      </c>
      <c r="C313" s="674"/>
      <c r="D313" s="677">
        <v>198455</v>
      </c>
      <c r="E313" s="556">
        <v>9</v>
      </c>
      <c r="F313" s="486" t="s">
        <v>41</v>
      </c>
      <c r="G313" s="529"/>
      <c r="H313" s="506"/>
      <c r="I313" s="488"/>
      <c r="J313" s="506">
        <v>45879</v>
      </c>
      <c r="K313" s="488">
        <v>46216</v>
      </c>
      <c r="L313" s="506">
        <v>11437</v>
      </c>
      <c r="M313" s="488">
        <v>11149</v>
      </c>
      <c r="N313" s="506">
        <v>43958</v>
      </c>
      <c r="O313" s="507">
        <v>46419</v>
      </c>
      <c r="P313" s="479">
        <f t="shared" si="139"/>
        <v>101274</v>
      </c>
      <c r="Q313" s="480">
        <f t="shared" si="140"/>
        <v>3375.8</v>
      </c>
      <c r="R313" s="481">
        <f t="shared" si="141"/>
        <v>103784</v>
      </c>
      <c r="S313" s="482">
        <f t="shared" si="142"/>
        <v>3459.4666666666667</v>
      </c>
      <c r="T313" s="506">
        <v>2205</v>
      </c>
      <c r="U313" s="507">
        <v>2494</v>
      </c>
      <c r="V313" s="479">
        <f t="shared" si="143"/>
        <v>101274</v>
      </c>
      <c r="W313" s="478">
        <f t="shared" si="144"/>
        <v>103784</v>
      </c>
      <c r="X313" s="506"/>
      <c r="Y313" s="488"/>
      <c r="Z313" s="506">
        <v>313043</v>
      </c>
      <c r="AA313" s="488">
        <v>260976</v>
      </c>
      <c r="AB313" s="506">
        <v>160151</v>
      </c>
      <c r="AC313" s="488">
        <v>154465</v>
      </c>
      <c r="AD313" s="506">
        <v>340806</v>
      </c>
      <c r="AE313" s="507">
        <v>298399</v>
      </c>
      <c r="AF313" s="479">
        <f t="shared" si="145"/>
        <v>814000</v>
      </c>
      <c r="AG313" s="480">
        <f t="shared" si="146"/>
        <v>904.44444444444446</v>
      </c>
      <c r="AH313" s="481">
        <f t="shared" si="147"/>
        <v>713840</v>
      </c>
      <c r="AI313" s="481">
        <f t="shared" si="148"/>
        <v>793.15555555555557</v>
      </c>
      <c r="AJ313" s="487"/>
      <c r="AK313" s="507"/>
      <c r="AL313" s="479">
        <f t="shared" si="149"/>
        <v>0</v>
      </c>
      <c r="AM313" s="482">
        <f t="shared" si="150"/>
        <v>0</v>
      </c>
      <c r="AN313" s="487"/>
      <c r="AO313" s="488"/>
      <c r="AP313" s="487"/>
      <c r="AQ313" s="507"/>
      <c r="AR313" s="487"/>
      <c r="AS313" s="488"/>
      <c r="AT313" s="487"/>
      <c r="AU313" s="507"/>
      <c r="AV313" s="479">
        <f t="shared" si="151"/>
        <v>0</v>
      </c>
      <c r="AW313" s="483">
        <f t="shared" si="152"/>
        <v>0</v>
      </c>
      <c r="AX313" s="481">
        <f t="shared" si="153"/>
        <v>0</v>
      </c>
      <c r="AY313" s="484">
        <f t="shared" si="154"/>
        <v>0</v>
      </c>
      <c r="AZ313" s="485">
        <f t="shared" si="155"/>
        <v>4280.2444444444445</v>
      </c>
      <c r="BA313" s="481">
        <f t="shared" si="156"/>
        <v>4252.6222222222223</v>
      </c>
    </row>
    <row r="314" spans="1:53" ht="15" customHeight="1">
      <c r="A314" s="672" t="s">
        <v>268</v>
      </c>
      <c r="B314" s="553" t="s">
        <v>640</v>
      </c>
      <c r="C314" s="667"/>
      <c r="D314" s="668">
        <v>198491</v>
      </c>
      <c r="E314" s="561">
        <v>9</v>
      </c>
      <c r="F314" s="486" t="s">
        <v>41</v>
      </c>
      <c r="G314" s="529"/>
      <c r="H314" s="506"/>
      <c r="I314" s="488"/>
      <c r="J314" s="506">
        <v>29892</v>
      </c>
      <c r="K314" s="488">
        <v>27315</v>
      </c>
      <c r="L314" s="506">
        <v>7234</v>
      </c>
      <c r="M314" s="488">
        <v>7489</v>
      </c>
      <c r="N314" s="506">
        <v>32198</v>
      </c>
      <c r="O314" s="507">
        <v>29678</v>
      </c>
      <c r="P314" s="479">
        <f t="shared" si="139"/>
        <v>69324</v>
      </c>
      <c r="Q314" s="480">
        <f t="shared" si="140"/>
        <v>2310.8000000000002</v>
      </c>
      <c r="R314" s="481">
        <f t="shared" si="141"/>
        <v>64482</v>
      </c>
      <c r="S314" s="482">
        <f t="shared" si="142"/>
        <v>2149.4</v>
      </c>
      <c r="T314" s="506">
        <v>2308</v>
      </c>
      <c r="U314" s="507">
        <v>2490</v>
      </c>
      <c r="V314" s="479">
        <f t="shared" si="143"/>
        <v>69324</v>
      </c>
      <c r="W314" s="478">
        <f t="shared" si="144"/>
        <v>64482</v>
      </c>
      <c r="X314" s="506"/>
      <c r="Y314" s="488"/>
      <c r="Z314" s="506">
        <v>119519</v>
      </c>
      <c r="AA314" s="488">
        <v>132143</v>
      </c>
      <c r="AB314" s="506">
        <v>89501</v>
      </c>
      <c r="AC314" s="488">
        <v>83011</v>
      </c>
      <c r="AD314" s="506">
        <v>150571</v>
      </c>
      <c r="AE314" s="507">
        <v>147140</v>
      </c>
      <c r="AF314" s="479">
        <f t="shared" si="145"/>
        <v>359591</v>
      </c>
      <c r="AG314" s="480">
        <f t="shared" si="146"/>
        <v>399.54555555555555</v>
      </c>
      <c r="AH314" s="481">
        <f t="shared" si="147"/>
        <v>362294</v>
      </c>
      <c r="AI314" s="481">
        <f t="shared" si="148"/>
        <v>402.54888888888888</v>
      </c>
      <c r="AJ314" s="487"/>
      <c r="AK314" s="507"/>
      <c r="AL314" s="479">
        <f t="shared" si="149"/>
        <v>0</v>
      </c>
      <c r="AM314" s="482">
        <f t="shared" si="150"/>
        <v>0</v>
      </c>
      <c r="AN314" s="487"/>
      <c r="AO314" s="488"/>
      <c r="AP314" s="487"/>
      <c r="AQ314" s="507"/>
      <c r="AR314" s="487"/>
      <c r="AS314" s="488"/>
      <c r="AT314" s="487"/>
      <c r="AU314" s="507"/>
      <c r="AV314" s="479">
        <f t="shared" si="151"/>
        <v>0</v>
      </c>
      <c r="AW314" s="483">
        <f t="shared" si="152"/>
        <v>0</v>
      </c>
      <c r="AX314" s="481">
        <f t="shared" si="153"/>
        <v>0</v>
      </c>
      <c r="AY314" s="484">
        <f t="shared" si="154"/>
        <v>0</v>
      </c>
      <c r="AZ314" s="485">
        <f t="shared" si="155"/>
        <v>2710.3455555555556</v>
      </c>
      <c r="BA314" s="481">
        <f t="shared" si="156"/>
        <v>2551.9488888888891</v>
      </c>
    </row>
    <row r="315" spans="1:53">
      <c r="A315" s="672" t="s">
        <v>268</v>
      </c>
      <c r="B315" s="553" t="s">
        <v>641</v>
      </c>
      <c r="C315" s="679" t="s">
        <v>680</v>
      </c>
      <c r="D315" s="668">
        <v>198668</v>
      </c>
      <c r="E315" s="647">
        <v>10</v>
      </c>
      <c r="F315" s="486" t="s">
        <v>41</v>
      </c>
      <c r="G315" s="529"/>
      <c r="H315" s="506"/>
      <c r="I315" s="488"/>
      <c r="J315" s="506">
        <v>19532</v>
      </c>
      <c r="K315" s="488">
        <v>19319</v>
      </c>
      <c r="L315" s="506">
        <v>4231</v>
      </c>
      <c r="M315" s="488">
        <v>5043</v>
      </c>
      <c r="N315" s="506">
        <v>20642</v>
      </c>
      <c r="O315" s="488">
        <v>19110</v>
      </c>
      <c r="P315" s="479">
        <f t="shared" si="139"/>
        <v>44405</v>
      </c>
      <c r="Q315" s="480">
        <f t="shared" si="140"/>
        <v>1480.1666666666667</v>
      </c>
      <c r="R315" s="481">
        <f t="shared" si="141"/>
        <v>43472</v>
      </c>
      <c r="S315" s="482">
        <f t="shared" si="142"/>
        <v>1449.0666666666666</v>
      </c>
      <c r="T315" s="506">
        <v>5749</v>
      </c>
      <c r="U315" s="507">
        <v>2689</v>
      </c>
      <c r="V315" s="479">
        <f t="shared" si="143"/>
        <v>44405</v>
      </c>
      <c r="W315" s="478">
        <f t="shared" si="144"/>
        <v>43472</v>
      </c>
      <c r="X315" s="506"/>
      <c r="Y315" s="488"/>
      <c r="Z315" s="506">
        <v>88369</v>
      </c>
      <c r="AA315" s="488">
        <v>90555</v>
      </c>
      <c r="AB315" s="506">
        <v>52725</v>
      </c>
      <c r="AC315" s="488">
        <v>48824</v>
      </c>
      <c r="AD315" s="506">
        <v>85233</v>
      </c>
      <c r="AE315" s="507">
        <v>92000</v>
      </c>
      <c r="AF315" s="479">
        <f t="shared" si="145"/>
        <v>226327</v>
      </c>
      <c r="AG315" s="480">
        <f t="shared" si="146"/>
        <v>251.47444444444446</v>
      </c>
      <c r="AH315" s="481">
        <f t="shared" si="147"/>
        <v>231379</v>
      </c>
      <c r="AI315" s="481">
        <f t="shared" si="148"/>
        <v>257.08777777777777</v>
      </c>
      <c r="AJ315" s="487"/>
      <c r="AK315" s="507"/>
      <c r="AL315" s="479">
        <f t="shared" si="149"/>
        <v>0</v>
      </c>
      <c r="AM315" s="482">
        <f t="shared" si="150"/>
        <v>0</v>
      </c>
      <c r="AN315" s="487"/>
      <c r="AO315" s="488"/>
      <c r="AP315" s="487"/>
      <c r="AQ315" s="507"/>
      <c r="AR315" s="487"/>
      <c r="AS315" s="488"/>
      <c r="AT315" s="487"/>
      <c r="AU315" s="507"/>
      <c r="AV315" s="479">
        <f t="shared" si="151"/>
        <v>0</v>
      </c>
      <c r="AW315" s="483">
        <f t="shared" si="152"/>
        <v>0</v>
      </c>
      <c r="AX315" s="481">
        <f t="shared" si="153"/>
        <v>0</v>
      </c>
      <c r="AY315" s="484">
        <f t="shared" si="154"/>
        <v>0</v>
      </c>
      <c r="AZ315" s="485">
        <f t="shared" si="155"/>
        <v>1731.6411111111113</v>
      </c>
      <c r="BA315" s="481">
        <f t="shared" si="156"/>
        <v>1706.1544444444444</v>
      </c>
    </row>
    <row r="316" spans="1:53">
      <c r="A316" s="672" t="s">
        <v>268</v>
      </c>
      <c r="B316" s="553" t="s">
        <v>642</v>
      </c>
      <c r="C316" s="667" t="s">
        <v>610</v>
      </c>
      <c r="D316" s="668">
        <v>198710</v>
      </c>
      <c r="E316" s="561">
        <v>9</v>
      </c>
      <c r="F316" s="486" t="s">
        <v>41</v>
      </c>
      <c r="G316" s="529"/>
      <c r="H316" s="506"/>
      <c r="I316" s="488"/>
      <c r="J316" s="506">
        <v>21146</v>
      </c>
      <c r="K316" s="488">
        <v>21366</v>
      </c>
      <c r="L316" s="506">
        <v>6322</v>
      </c>
      <c r="M316" s="488">
        <v>5733</v>
      </c>
      <c r="N316" s="506">
        <v>21459</v>
      </c>
      <c r="O316" s="488">
        <v>20842</v>
      </c>
      <c r="P316" s="479">
        <f t="shared" si="139"/>
        <v>48927</v>
      </c>
      <c r="Q316" s="480">
        <f t="shared" si="140"/>
        <v>1630.9</v>
      </c>
      <c r="R316" s="481">
        <f t="shared" si="141"/>
        <v>47941</v>
      </c>
      <c r="S316" s="482">
        <f t="shared" si="142"/>
        <v>1598.0333333333333</v>
      </c>
      <c r="T316" s="506">
        <v>6839</v>
      </c>
      <c r="U316" s="507">
        <v>7841</v>
      </c>
      <c r="V316" s="479">
        <f t="shared" si="143"/>
        <v>48927</v>
      </c>
      <c r="W316" s="478">
        <f t="shared" si="144"/>
        <v>47941</v>
      </c>
      <c r="X316" s="506"/>
      <c r="Y316" s="488"/>
      <c r="Z316" s="506">
        <v>127170</v>
      </c>
      <c r="AA316" s="488">
        <v>101981</v>
      </c>
      <c r="AB316" s="506">
        <v>66493</v>
      </c>
      <c r="AC316" s="488">
        <v>76609</v>
      </c>
      <c r="AD316" s="506">
        <v>114935</v>
      </c>
      <c r="AE316" s="507">
        <v>108870</v>
      </c>
      <c r="AF316" s="479">
        <f t="shared" si="145"/>
        <v>308598</v>
      </c>
      <c r="AG316" s="480">
        <f t="shared" si="146"/>
        <v>342.88666666666666</v>
      </c>
      <c r="AH316" s="481">
        <f t="shared" si="147"/>
        <v>287460</v>
      </c>
      <c r="AI316" s="481">
        <f t="shared" si="148"/>
        <v>319.39999999999998</v>
      </c>
      <c r="AJ316" s="487"/>
      <c r="AK316" s="507"/>
      <c r="AL316" s="479">
        <f t="shared" si="149"/>
        <v>0</v>
      </c>
      <c r="AM316" s="482">
        <f t="shared" si="150"/>
        <v>0</v>
      </c>
      <c r="AN316" s="487"/>
      <c r="AO316" s="488"/>
      <c r="AP316" s="487"/>
      <c r="AQ316" s="507"/>
      <c r="AR316" s="487"/>
      <c r="AS316" s="488"/>
      <c r="AT316" s="487"/>
      <c r="AU316" s="507"/>
      <c r="AV316" s="479">
        <f t="shared" si="151"/>
        <v>0</v>
      </c>
      <c r="AW316" s="483">
        <f t="shared" si="152"/>
        <v>0</v>
      </c>
      <c r="AX316" s="481">
        <f t="shared" si="153"/>
        <v>0</v>
      </c>
      <c r="AY316" s="484">
        <f t="shared" si="154"/>
        <v>0</v>
      </c>
      <c r="AZ316" s="485">
        <f t="shared" si="155"/>
        <v>1973.7866666666669</v>
      </c>
      <c r="BA316" s="481">
        <f t="shared" si="156"/>
        <v>1917.4333333333334</v>
      </c>
    </row>
    <row r="317" spans="1:53">
      <c r="A317" s="672" t="s">
        <v>268</v>
      </c>
      <c r="B317" s="553" t="s">
        <v>643</v>
      </c>
      <c r="C317" s="667"/>
      <c r="D317" s="668">
        <v>198774</v>
      </c>
      <c r="E317" s="561">
        <v>9</v>
      </c>
      <c r="F317" s="486" t="s">
        <v>41</v>
      </c>
      <c r="G317" s="529"/>
      <c r="H317" s="506"/>
      <c r="I317" s="488"/>
      <c r="J317" s="506">
        <v>40985</v>
      </c>
      <c r="K317" s="488">
        <v>38794</v>
      </c>
      <c r="L317" s="506">
        <v>1370</v>
      </c>
      <c r="M317" s="488">
        <v>1207</v>
      </c>
      <c r="N317" s="506">
        <v>44735</v>
      </c>
      <c r="O317" s="488">
        <v>41534</v>
      </c>
      <c r="P317" s="479">
        <f t="shared" si="139"/>
        <v>87090</v>
      </c>
      <c r="Q317" s="480">
        <f t="shared" si="140"/>
        <v>2903</v>
      </c>
      <c r="R317" s="481">
        <f t="shared" si="141"/>
        <v>81535</v>
      </c>
      <c r="S317" s="482">
        <f t="shared" si="142"/>
        <v>2717.8333333333335</v>
      </c>
      <c r="T317" s="506">
        <v>5612</v>
      </c>
      <c r="U317" s="507">
        <v>6481</v>
      </c>
      <c r="V317" s="479">
        <f t="shared" si="143"/>
        <v>87090</v>
      </c>
      <c r="W317" s="478">
        <f t="shared" si="144"/>
        <v>81535</v>
      </c>
      <c r="X317" s="506"/>
      <c r="Y317" s="488"/>
      <c r="Z317" s="506">
        <v>217187</v>
      </c>
      <c r="AA317" s="488">
        <v>220829</v>
      </c>
      <c r="AB317" s="506">
        <v>161699</v>
      </c>
      <c r="AC317" s="488">
        <v>125839</v>
      </c>
      <c r="AD317" s="506">
        <v>218120</v>
      </c>
      <c r="AE317" s="507">
        <v>230929</v>
      </c>
      <c r="AF317" s="479">
        <f t="shared" si="145"/>
        <v>597006</v>
      </c>
      <c r="AG317" s="480">
        <f t="shared" si="146"/>
        <v>663.34</v>
      </c>
      <c r="AH317" s="481">
        <f t="shared" si="147"/>
        <v>577597</v>
      </c>
      <c r="AI317" s="481">
        <f t="shared" si="148"/>
        <v>641.7744444444445</v>
      </c>
      <c r="AJ317" s="487"/>
      <c r="AK317" s="507"/>
      <c r="AL317" s="479">
        <f t="shared" si="149"/>
        <v>0</v>
      </c>
      <c r="AM317" s="482">
        <f t="shared" si="150"/>
        <v>0</v>
      </c>
      <c r="AN317" s="487"/>
      <c r="AO317" s="488"/>
      <c r="AP317" s="487"/>
      <c r="AQ317" s="507"/>
      <c r="AR317" s="487"/>
      <c r="AS317" s="488"/>
      <c r="AT317" s="487"/>
      <c r="AU317" s="507"/>
      <c r="AV317" s="479">
        <f t="shared" si="151"/>
        <v>0</v>
      </c>
      <c r="AW317" s="483">
        <f t="shared" si="152"/>
        <v>0</v>
      </c>
      <c r="AX317" s="481">
        <f t="shared" si="153"/>
        <v>0</v>
      </c>
      <c r="AY317" s="484">
        <f t="shared" si="154"/>
        <v>0</v>
      </c>
      <c r="AZ317" s="485">
        <f t="shared" si="155"/>
        <v>3566.34</v>
      </c>
      <c r="BA317" s="481">
        <f t="shared" si="156"/>
        <v>3359.6077777777782</v>
      </c>
    </row>
    <row r="318" spans="1:53">
      <c r="A318" s="672" t="s">
        <v>268</v>
      </c>
      <c r="B318" s="553" t="s">
        <v>644</v>
      </c>
      <c r="C318" s="667"/>
      <c r="D318" s="668">
        <v>198817</v>
      </c>
      <c r="E318" s="561">
        <v>9</v>
      </c>
      <c r="F318" s="486" t="s">
        <v>41</v>
      </c>
      <c r="G318" s="529"/>
      <c r="H318" s="506"/>
      <c r="I318" s="488"/>
      <c r="J318" s="506">
        <v>25590</v>
      </c>
      <c r="K318" s="488">
        <v>23958</v>
      </c>
      <c r="L318" s="506">
        <v>8167</v>
      </c>
      <c r="M318" s="488">
        <v>8053</v>
      </c>
      <c r="N318" s="506">
        <v>28644</v>
      </c>
      <c r="O318" s="488">
        <v>25776</v>
      </c>
      <c r="P318" s="479">
        <f t="shared" si="139"/>
        <v>62401</v>
      </c>
      <c r="Q318" s="480">
        <f t="shared" si="140"/>
        <v>2080.0333333333333</v>
      </c>
      <c r="R318" s="481">
        <f t="shared" si="141"/>
        <v>57787</v>
      </c>
      <c r="S318" s="482">
        <f t="shared" si="142"/>
        <v>1926.2333333333333</v>
      </c>
      <c r="T318" s="506">
        <v>8958</v>
      </c>
      <c r="U318" s="507">
        <v>7276</v>
      </c>
      <c r="V318" s="479">
        <f t="shared" si="143"/>
        <v>62401</v>
      </c>
      <c r="W318" s="478">
        <f t="shared" si="144"/>
        <v>57787</v>
      </c>
      <c r="X318" s="506"/>
      <c r="Y318" s="488"/>
      <c r="Z318" s="506">
        <v>505253</v>
      </c>
      <c r="AA318" s="488">
        <v>511387</v>
      </c>
      <c r="AB318" s="506">
        <v>392470</v>
      </c>
      <c r="AC318" s="488">
        <v>327882</v>
      </c>
      <c r="AD318" s="506">
        <v>506646</v>
      </c>
      <c r="AE318" s="507">
        <v>515016</v>
      </c>
      <c r="AF318" s="479">
        <f t="shared" si="145"/>
        <v>1404369</v>
      </c>
      <c r="AG318" s="480">
        <f t="shared" si="146"/>
        <v>1560.41</v>
      </c>
      <c r="AH318" s="481">
        <f t="shared" si="147"/>
        <v>1354285</v>
      </c>
      <c r="AI318" s="481">
        <f t="shared" si="148"/>
        <v>1504.7611111111112</v>
      </c>
      <c r="AJ318" s="487"/>
      <c r="AK318" s="507"/>
      <c r="AL318" s="479">
        <f t="shared" si="149"/>
        <v>0</v>
      </c>
      <c r="AM318" s="482">
        <f t="shared" si="150"/>
        <v>0</v>
      </c>
      <c r="AN318" s="487"/>
      <c r="AO318" s="488"/>
      <c r="AP318" s="487"/>
      <c r="AQ318" s="507"/>
      <c r="AR318" s="487"/>
      <c r="AS318" s="488"/>
      <c r="AT318" s="487"/>
      <c r="AU318" s="507"/>
      <c r="AV318" s="479">
        <f t="shared" si="151"/>
        <v>0</v>
      </c>
      <c r="AW318" s="483">
        <f t="shared" si="152"/>
        <v>0</v>
      </c>
      <c r="AX318" s="481">
        <f t="shared" si="153"/>
        <v>0</v>
      </c>
      <c r="AY318" s="484">
        <f t="shared" si="154"/>
        <v>0</v>
      </c>
      <c r="AZ318" s="485">
        <f t="shared" si="155"/>
        <v>3640.4433333333336</v>
      </c>
      <c r="BA318" s="481">
        <f t="shared" si="156"/>
        <v>3430.9944444444445</v>
      </c>
    </row>
    <row r="319" spans="1:53">
      <c r="A319" s="672" t="s">
        <v>268</v>
      </c>
      <c r="B319" s="553" t="s">
        <v>645</v>
      </c>
      <c r="C319" s="667"/>
      <c r="D319" s="668">
        <v>198987</v>
      </c>
      <c r="E319" s="561">
        <v>9</v>
      </c>
      <c r="F319" s="486" t="s">
        <v>41</v>
      </c>
      <c r="G319" s="529"/>
      <c r="H319" s="506"/>
      <c r="I319" s="488"/>
      <c r="J319" s="506">
        <v>30610</v>
      </c>
      <c r="K319" s="488">
        <v>29266</v>
      </c>
      <c r="L319" s="506">
        <v>6549</v>
      </c>
      <c r="M319" s="488">
        <v>7182</v>
      </c>
      <c r="N319" s="506">
        <v>32407</v>
      </c>
      <c r="O319" s="488">
        <v>28939</v>
      </c>
      <c r="P319" s="479">
        <f t="shared" si="139"/>
        <v>69566</v>
      </c>
      <c r="Q319" s="480">
        <f t="shared" si="140"/>
        <v>2318.8666666666668</v>
      </c>
      <c r="R319" s="481">
        <f t="shared" si="141"/>
        <v>65387</v>
      </c>
      <c r="S319" s="482">
        <f t="shared" si="142"/>
        <v>2179.5666666666666</v>
      </c>
      <c r="T319" s="506">
        <v>7841</v>
      </c>
      <c r="U319" s="507">
        <v>7254</v>
      </c>
      <c r="V319" s="479">
        <f t="shared" si="143"/>
        <v>69566</v>
      </c>
      <c r="W319" s="478">
        <f t="shared" si="144"/>
        <v>65387</v>
      </c>
      <c r="X319" s="506"/>
      <c r="Y319" s="488"/>
      <c r="Z319" s="506">
        <v>131564</v>
      </c>
      <c r="AA319" s="488">
        <v>146248</v>
      </c>
      <c r="AB319" s="506">
        <v>98867</v>
      </c>
      <c r="AC319" s="488">
        <v>88536</v>
      </c>
      <c r="AD319" s="506">
        <v>140325</v>
      </c>
      <c r="AE319" s="507">
        <v>159867</v>
      </c>
      <c r="AF319" s="479">
        <f t="shared" si="145"/>
        <v>370756</v>
      </c>
      <c r="AG319" s="480">
        <f t="shared" si="146"/>
        <v>411.95111111111112</v>
      </c>
      <c r="AH319" s="481">
        <f t="shared" si="147"/>
        <v>394651</v>
      </c>
      <c r="AI319" s="481">
        <f t="shared" si="148"/>
        <v>438.50111111111113</v>
      </c>
      <c r="AJ319" s="487"/>
      <c r="AK319" s="507"/>
      <c r="AL319" s="479">
        <f t="shared" si="149"/>
        <v>0</v>
      </c>
      <c r="AM319" s="482">
        <f t="shared" si="150"/>
        <v>0</v>
      </c>
      <c r="AN319" s="487"/>
      <c r="AO319" s="488"/>
      <c r="AP319" s="487"/>
      <c r="AQ319" s="507"/>
      <c r="AR319" s="487"/>
      <c r="AS319" s="488"/>
      <c r="AT319" s="487"/>
      <c r="AU319" s="507"/>
      <c r="AV319" s="479">
        <f t="shared" si="151"/>
        <v>0</v>
      </c>
      <c r="AW319" s="483">
        <f t="shared" si="152"/>
        <v>0</v>
      </c>
      <c r="AX319" s="481">
        <f t="shared" si="153"/>
        <v>0</v>
      </c>
      <c r="AY319" s="484">
        <f t="shared" si="154"/>
        <v>0</v>
      </c>
      <c r="AZ319" s="485">
        <f t="shared" si="155"/>
        <v>2730.8177777777778</v>
      </c>
      <c r="BA319" s="481">
        <f t="shared" si="156"/>
        <v>2618.0677777777778</v>
      </c>
    </row>
    <row r="320" spans="1:53">
      <c r="A320" s="672" t="s">
        <v>268</v>
      </c>
      <c r="B320" s="553" t="s">
        <v>646</v>
      </c>
      <c r="C320" s="667"/>
      <c r="D320" s="668">
        <v>199087</v>
      </c>
      <c r="E320" s="561">
        <v>9</v>
      </c>
      <c r="F320" s="486" t="s">
        <v>41</v>
      </c>
      <c r="G320" s="529"/>
      <c r="H320" s="506"/>
      <c r="I320" s="488"/>
      <c r="J320" s="506">
        <v>29552</v>
      </c>
      <c r="K320" s="488">
        <v>28591</v>
      </c>
      <c r="L320" s="506">
        <v>4699</v>
      </c>
      <c r="M320" s="488">
        <v>5503</v>
      </c>
      <c r="N320" s="506">
        <v>29577</v>
      </c>
      <c r="O320" s="488">
        <v>29273</v>
      </c>
      <c r="P320" s="479">
        <f t="shared" si="139"/>
        <v>63828</v>
      </c>
      <c r="Q320" s="480">
        <f t="shared" si="140"/>
        <v>2127.6</v>
      </c>
      <c r="R320" s="481">
        <f t="shared" si="141"/>
        <v>63367</v>
      </c>
      <c r="S320" s="482">
        <f t="shared" si="142"/>
        <v>2112.2333333333331</v>
      </c>
      <c r="T320" s="506">
        <v>5774</v>
      </c>
      <c r="U320" s="507">
        <v>5142</v>
      </c>
      <c r="V320" s="479">
        <f t="shared" si="143"/>
        <v>63828</v>
      </c>
      <c r="W320" s="478">
        <f t="shared" si="144"/>
        <v>63367</v>
      </c>
      <c r="X320" s="506"/>
      <c r="Y320" s="488"/>
      <c r="Z320" s="506">
        <v>158437</v>
      </c>
      <c r="AA320" s="488">
        <v>144602</v>
      </c>
      <c r="AB320" s="506">
        <v>93385</v>
      </c>
      <c r="AC320" s="488">
        <v>96972</v>
      </c>
      <c r="AD320" s="506">
        <v>154894</v>
      </c>
      <c r="AE320" s="507">
        <v>177632</v>
      </c>
      <c r="AF320" s="479">
        <f t="shared" si="145"/>
        <v>406716</v>
      </c>
      <c r="AG320" s="480">
        <f t="shared" si="146"/>
        <v>451.90666666666669</v>
      </c>
      <c r="AH320" s="481">
        <f t="shared" si="147"/>
        <v>419206</v>
      </c>
      <c r="AI320" s="481">
        <f t="shared" si="148"/>
        <v>465.78444444444443</v>
      </c>
      <c r="AJ320" s="487"/>
      <c r="AK320" s="507"/>
      <c r="AL320" s="479">
        <f t="shared" si="149"/>
        <v>0</v>
      </c>
      <c r="AM320" s="482">
        <f t="shared" si="150"/>
        <v>0</v>
      </c>
      <c r="AN320" s="487"/>
      <c r="AO320" s="488"/>
      <c r="AP320" s="487"/>
      <c r="AQ320" s="507"/>
      <c r="AR320" s="487"/>
      <c r="AS320" s="488"/>
      <c r="AT320" s="487"/>
      <c r="AU320" s="507"/>
      <c r="AV320" s="479">
        <f t="shared" si="151"/>
        <v>0</v>
      </c>
      <c r="AW320" s="483">
        <f t="shared" si="152"/>
        <v>0</v>
      </c>
      <c r="AX320" s="481">
        <f t="shared" si="153"/>
        <v>0</v>
      </c>
      <c r="AY320" s="484">
        <f t="shared" si="154"/>
        <v>0</v>
      </c>
      <c r="AZ320" s="485">
        <f t="shared" si="155"/>
        <v>2579.5066666666667</v>
      </c>
      <c r="BA320" s="481">
        <f t="shared" si="156"/>
        <v>2578.0177777777776</v>
      </c>
    </row>
    <row r="321" spans="1:53">
      <c r="A321" s="672" t="s">
        <v>268</v>
      </c>
      <c r="B321" s="553" t="s">
        <v>647</v>
      </c>
      <c r="C321" s="667"/>
      <c r="D321" s="668">
        <v>199421</v>
      </c>
      <c r="E321" s="561">
        <v>9</v>
      </c>
      <c r="F321" s="486" t="s">
        <v>41</v>
      </c>
      <c r="G321" s="529"/>
      <c r="H321" s="506"/>
      <c r="I321" s="488"/>
      <c r="J321" s="506">
        <v>25747</v>
      </c>
      <c r="K321" s="488">
        <v>26163</v>
      </c>
      <c r="L321" s="506">
        <v>4510</v>
      </c>
      <c r="M321" s="488">
        <v>4807</v>
      </c>
      <c r="N321" s="506">
        <v>27540</v>
      </c>
      <c r="O321" s="488">
        <v>26896</v>
      </c>
      <c r="P321" s="479">
        <f t="shared" si="139"/>
        <v>57797</v>
      </c>
      <c r="Q321" s="480">
        <f t="shared" si="140"/>
        <v>1926.5666666666666</v>
      </c>
      <c r="R321" s="481">
        <f t="shared" si="141"/>
        <v>57866</v>
      </c>
      <c r="S321" s="482">
        <f t="shared" si="142"/>
        <v>1928.8666666666666</v>
      </c>
      <c r="T321" s="506">
        <v>4981</v>
      </c>
      <c r="U321" s="507">
        <v>5025</v>
      </c>
      <c r="V321" s="479">
        <f t="shared" si="143"/>
        <v>57797</v>
      </c>
      <c r="W321" s="478">
        <f t="shared" si="144"/>
        <v>57866</v>
      </c>
      <c r="X321" s="506"/>
      <c r="Y321" s="488"/>
      <c r="Z321" s="506">
        <v>189578</v>
      </c>
      <c r="AA321" s="488">
        <v>186550</v>
      </c>
      <c r="AB321" s="506">
        <v>92936</v>
      </c>
      <c r="AC321" s="488">
        <v>88413</v>
      </c>
      <c r="AD321" s="506">
        <v>166359</v>
      </c>
      <c r="AE321" s="507">
        <v>173436</v>
      </c>
      <c r="AF321" s="479">
        <f t="shared" si="145"/>
        <v>448873</v>
      </c>
      <c r="AG321" s="480">
        <f t="shared" si="146"/>
        <v>498.7477777777778</v>
      </c>
      <c r="AH321" s="481">
        <f t="shared" si="147"/>
        <v>448399</v>
      </c>
      <c r="AI321" s="481">
        <f t="shared" si="148"/>
        <v>498.2211111111111</v>
      </c>
      <c r="AJ321" s="487"/>
      <c r="AK321" s="507"/>
      <c r="AL321" s="479">
        <f t="shared" si="149"/>
        <v>0</v>
      </c>
      <c r="AM321" s="482">
        <f t="shared" si="150"/>
        <v>0</v>
      </c>
      <c r="AN321" s="487"/>
      <c r="AO321" s="488"/>
      <c r="AP321" s="487"/>
      <c r="AQ321" s="507"/>
      <c r="AR321" s="487"/>
      <c r="AS321" s="488"/>
      <c r="AT321" s="487"/>
      <c r="AU321" s="507"/>
      <c r="AV321" s="479">
        <f t="shared" si="151"/>
        <v>0</v>
      </c>
      <c r="AW321" s="483">
        <f t="shared" si="152"/>
        <v>0</v>
      </c>
      <c r="AX321" s="481">
        <f t="shared" si="153"/>
        <v>0</v>
      </c>
      <c r="AY321" s="484">
        <f t="shared" si="154"/>
        <v>0</v>
      </c>
      <c r="AZ321" s="485">
        <f t="shared" si="155"/>
        <v>2425.3144444444442</v>
      </c>
      <c r="BA321" s="481">
        <f t="shared" si="156"/>
        <v>2427.0877777777778</v>
      </c>
    </row>
    <row r="322" spans="1:53">
      <c r="A322" s="672" t="s">
        <v>268</v>
      </c>
      <c r="B322" s="553" t="s">
        <v>648</v>
      </c>
      <c r="C322" s="667"/>
      <c r="D322" s="668">
        <v>199476</v>
      </c>
      <c r="E322" s="561">
        <v>9</v>
      </c>
      <c r="F322" s="486" t="s">
        <v>41</v>
      </c>
      <c r="G322" s="529"/>
      <c r="H322" s="506"/>
      <c r="I322" s="488"/>
      <c r="J322" s="506">
        <v>24532</v>
      </c>
      <c r="K322" s="488">
        <v>25810</v>
      </c>
      <c r="L322" s="506">
        <v>4537</v>
      </c>
      <c r="M322" s="488">
        <v>4991</v>
      </c>
      <c r="N322" s="506">
        <v>28227</v>
      </c>
      <c r="O322" s="488">
        <v>29902</v>
      </c>
      <c r="P322" s="479">
        <f t="shared" si="139"/>
        <v>57296</v>
      </c>
      <c r="Q322" s="480">
        <f t="shared" si="140"/>
        <v>1909.8666666666666</v>
      </c>
      <c r="R322" s="481">
        <f t="shared" si="141"/>
        <v>60703</v>
      </c>
      <c r="S322" s="482">
        <f t="shared" si="142"/>
        <v>2023.4333333333334</v>
      </c>
      <c r="T322" s="506">
        <v>2217</v>
      </c>
      <c r="U322" s="507">
        <v>2845</v>
      </c>
      <c r="V322" s="479">
        <f t="shared" si="143"/>
        <v>57296</v>
      </c>
      <c r="W322" s="478">
        <f t="shared" si="144"/>
        <v>60703</v>
      </c>
      <c r="X322" s="506"/>
      <c r="Y322" s="488"/>
      <c r="Z322" s="506">
        <v>387360</v>
      </c>
      <c r="AA322" s="488">
        <v>321775</v>
      </c>
      <c r="AB322" s="506">
        <v>181675</v>
      </c>
      <c r="AC322" s="488">
        <v>149860</v>
      </c>
      <c r="AD322" s="506">
        <v>404657</v>
      </c>
      <c r="AE322" s="507">
        <v>334175</v>
      </c>
      <c r="AF322" s="479">
        <f t="shared" si="145"/>
        <v>973692</v>
      </c>
      <c r="AG322" s="480">
        <f t="shared" si="146"/>
        <v>1081.8800000000001</v>
      </c>
      <c r="AH322" s="481">
        <f t="shared" si="147"/>
        <v>805810</v>
      </c>
      <c r="AI322" s="481">
        <f t="shared" si="148"/>
        <v>895.34444444444443</v>
      </c>
      <c r="AJ322" s="487"/>
      <c r="AK322" s="507"/>
      <c r="AL322" s="479">
        <f t="shared" si="149"/>
        <v>0</v>
      </c>
      <c r="AM322" s="482">
        <f t="shared" si="150"/>
        <v>0</v>
      </c>
      <c r="AN322" s="487"/>
      <c r="AO322" s="488"/>
      <c r="AP322" s="487"/>
      <c r="AQ322" s="507"/>
      <c r="AR322" s="487"/>
      <c r="AS322" s="488"/>
      <c r="AT322" s="487"/>
      <c r="AU322" s="507"/>
      <c r="AV322" s="479">
        <f t="shared" si="151"/>
        <v>0</v>
      </c>
      <c r="AW322" s="483">
        <f t="shared" si="152"/>
        <v>0</v>
      </c>
      <c r="AX322" s="481">
        <f t="shared" si="153"/>
        <v>0</v>
      </c>
      <c r="AY322" s="484">
        <f t="shared" si="154"/>
        <v>0</v>
      </c>
      <c r="AZ322" s="485">
        <f t="shared" si="155"/>
        <v>2991.7466666666669</v>
      </c>
      <c r="BA322" s="481">
        <f t="shared" si="156"/>
        <v>2918.7777777777778</v>
      </c>
    </row>
    <row r="323" spans="1:53">
      <c r="A323" s="672" t="s">
        <v>268</v>
      </c>
      <c r="B323" s="553" t="s">
        <v>649</v>
      </c>
      <c r="C323" s="667"/>
      <c r="D323" s="668">
        <v>199634</v>
      </c>
      <c r="E323" s="561">
        <v>9</v>
      </c>
      <c r="F323" s="486" t="s">
        <v>41</v>
      </c>
      <c r="G323" s="529"/>
      <c r="H323" s="506"/>
      <c r="I323" s="488"/>
      <c r="J323" s="506">
        <v>36985</v>
      </c>
      <c r="K323" s="488">
        <v>34583</v>
      </c>
      <c r="L323" s="506">
        <v>10644</v>
      </c>
      <c r="M323" s="488">
        <v>9850</v>
      </c>
      <c r="N323" s="506">
        <v>39601</v>
      </c>
      <c r="O323" s="488">
        <v>38102</v>
      </c>
      <c r="P323" s="479">
        <f t="shared" si="139"/>
        <v>87230</v>
      </c>
      <c r="Q323" s="480">
        <f t="shared" si="140"/>
        <v>2907.6666666666665</v>
      </c>
      <c r="R323" s="481">
        <f t="shared" si="141"/>
        <v>82535</v>
      </c>
      <c r="S323" s="482">
        <f t="shared" si="142"/>
        <v>2751.1666666666665</v>
      </c>
      <c r="T323" s="506">
        <v>4505</v>
      </c>
      <c r="U323" s="507">
        <v>6355</v>
      </c>
      <c r="V323" s="479">
        <f t="shared" si="143"/>
        <v>87230</v>
      </c>
      <c r="W323" s="478">
        <f t="shared" si="144"/>
        <v>82535</v>
      </c>
      <c r="X323" s="506"/>
      <c r="Y323" s="488"/>
      <c r="Z323" s="506">
        <v>192210</v>
      </c>
      <c r="AA323" s="488">
        <v>207304</v>
      </c>
      <c r="AB323" s="506">
        <v>101747</v>
      </c>
      <c r="AC323" s="488">
        <v>140216</v>
      </c>
      <c r="AD323" s="506">
        <v>198274</v>
      </c>
      <c r="AE323" s="507">
        <v>205471</v>
      </c>
      <c r="AF323" s="479">
        <f t="shared" si="145"/>
        <v>492231</v>
      </c>
      <c r="AG323" s="480">
        <f t="shared" si="146"/>
        <v>546.92333333333329</v>
      </c>
      <c r="AH323" s="481">
        <f t="shared" si="147"/>
        <v>552991</v>
      </c>
      <c r="AI323" s="481">
        <f t="shared" si="148"/>
        <v>614.43444444444447</v>
      </c>
      <c r="AJ323" s="487"/>
      <c r="AK323" s="507"/>
      <c r="AL323" s="479">
        <f t="shared" si="149"/>
        <v>0</v>
      </c>
      <c r="AM323" s="482">
        <f t="shared" si="150"/>
        <v>0</v>
      </c>
      <c r="AN323" s="487"/>
      <c r="AO323" s="488"/>
      <c r="AP323" s="487"/>
      <c r="AQ323" s="507"/>
      <c r="AR323" s="487"/>
      <c r="AS323" s="488"/>
      <c r="AT323" s="487"/>
      <c r="AU323" s="507"/>
      <c r="AV323" s="479">
        <f t="shared" si="151"/>
        <v>0</v>
      </c>
      <c r="AW323" s="483">
        <f t="shared" si="152"/>
        <v>0</v>
      </c>
      <c r="AX323" s="481">
        <f t="shared" si="153"/>
        <v>0</v>
      </c>
      <c r="AY323" s="484">
        <f t="shared" si="154"/>
        <v>0</v>
      </c>
      <c r="AZ323" s="485">
        <f t="shared" si="155"/>
        <v>3454.5899999999997</v>
      </c>
      <c r="BA323" s="481">
        <f t="shared" si="156"/>
        <v>3365.6011111111111</v>
      </c>
    </row>
    <row r="324" spans="1:53">
      <c r="A324" s="672" t="s">
        <v>268</v>
      </c>
      <c r="B324" s="553" t="s">
        <v>650</v>
      </c>
      <c r="C324" s="667"/>
      <c r="D324" s="668">
        <v>199740</v>
      </c>
      <c r="E324" s="561">
        <v>9</v>
      </c>
      <c r="F324" s="486" t="s">
        <v>41</v>
      </c>
      <c r="G324" s="529"/>
      <c r="H324" s="506"/>
      <c r="I324" s="488"/>
      <c r="J324" s="506">
        <v>26836</v>
      </c>
      <c r="K324" s="488">
        <v>24885</v>
      </c>
      <c r="L324" s="506">
        <v>6140</v>
      </c>
      <c r="M324" s="488">
        <v>5686</v>
      </c>
      <c r="N324" s="506">
        <v>29688</v>
      </c>
      <c r="O324" s="488">
        <v>26799</v>
      </c>
      <c r="P324" s="479">
        <f t="shared" si="139"/>
        <v>62664</v>
      </c>
      <c r="Q324" s="480">
        <f t="shared" si="140"/>
        <v>2088.8000000000002</v>
      </c>
      <c r="R324" s="481">
        <f t="shared" si="141"/>
        <v>57370</v>
      </c>
      <c r="S324" s="482">
        <f t="shared" si="142"/>
        <v>1912.3333333333333</v>
      </c>
      <c r="T324" s="506">
        <v>2788</v>
      </c>
      <c r="U324" s="507">
        <v>2841</v>
      </c>
      <c r="V324" s="479">
        <f t="shared" si="143"/>
        <v>62664</v>
      </c>
      <c r="W324" s="478">
        <f t="shared" si="144"/>
        <v>57370</v>
      </c>
      <c r="X324" s="506"/>
      <c r="Y324" s="488"/>
      <c r="Z324" s="506">
        <v>218877</v>
      </c>
      <c r="AA324" s="488">
        <v>173832</v>
      </c>
      <c r="AB324" s="506">
        <v>103485</v>
      </c>
      <c r="AC324" s="488">
        <v>102133</v>
      </c>
      <c r="AD324" s="506">
        <v>212632</v>
      </c>
      <c r="AE324" s="507">
        <v>168467</v>
      </c>
      <c r="AF324" s="479">
        <f t="shared" si="145"/>
        <v>534994</v>
      </c>
      <c r="AG324" s="480">
        <f t="shared" si="146"/>
        <v>594.4377777777778</v>
      </c>
      <c r="AH324" s="481">
        <f t="shared" si="147"/>
        <v>444432</v>
      </c>
      <c r="AI324" s="481">
        <f t="shared" si="148"/>
        <v>493.81333333333333</v>
      </c>
      <c r="AJ324" s="487"/>
      <c r="AK324" s="507"/>
      <c r="AL324" s="479">
        <f t="shared" si="149"/>
        <v>0</v>
      </c>
      <c r="AM324" s="482">
        <f t="shared" si="150"/>
        <v>0</v>
      </c>
      <c r="AN324" s="487"/>
      <c r="AO324" s="488"/>
      <c r="AP324" s="487"/>
      <c r="AQ324" s="507"/>
      <c r="AR324" s="487"/>
      <c r="AS324" s="488"/>
      <c r="AT324" s="487"/>
      <c r="AU324" s="507"/>
      <c r="AV324" s="479">
        <f t="shared" si="151"/>
        <v>0</v>
      </c>
      <c r="AW324" s="483">
        <f t="shared" si="152"/>
        <v>0</v>
      </c>
      <c r="AX324" s="481">
        <f t="shared" si="153"/>
        <v>0</v>
      </c>
      <c r="AY324" s="484">
        <f t="shared" si="154"/>
        <v>0</v>
      </c>
      <c r="AZ324" s="485">
        <f t="shared" si="155"/>
        <v>2683.2377777777779</v>
      </c>
      <c r="BA324" s="481">
        <f t="shared" si="156"/>
        <v>2406.1466666666665</v>
      </c>
    </row>
    <row r="325" spans="1:53">
      <c r="A325" s="672" t="s">
        <v>268</v>
      </c>
      <c r="B325" s="553" t="s">
        <v>651</v>
      </c>
      <c r="C325" s="667"/>
      <c r="D325" s="668">
        <v>199768</v>
      </c>
      <c r="E325" s="561">
        <v>9</v>
      </c>
      <c r="F325" s="486" t="s">
        <v>41</v>
      </c>
      <c r="G325" s="529"/>
      <c r="H325" s="506"/>
      <c r="I325" s="488"/>
      <c r="J325" s="506">
        <v>22310</v>
      </c>
      <c r="K325" s="488">
        <v>29523</v>
      </c>
      <c r="L325" s="506">
        <v>3786</v>
      </c>
      <c r="M325" s="488">
        <v>5325</v>
      </c>
      <c r="N325" s="506">
        <v>24425</v>
      </c>
      <c r="O325" s="488">
        <v>22461</v>
      </c>
      <c r="P325" s="479">
        <f t="shared" si="139"/>
        <v>50521</v>
      </c>
      <c r="Q325" s="480">
        <f t="shared" si="140"/>
        <v>1684.0333333333333</v>
      </c>
      <c r="R325" s="481">
        <f t="shared" si="141"/>
        <v>57309</v>
      </c>
      <c r="S325" s="482">
        <f t="shared" si="142"/>
        <v>1910.3</v>
      </c>
      <c r="T325" s="506">
        <v>6194</v>
      </c>
      <c r="U325" s="507">
        <v>6533</v>
      </c>
      <c r="V325" s="479">
        <f t="shared" si="143"/>
        <v>50521</v>
      </c>
      <c r="W325" s="478">
        <f t="shared" si="144"/>
        <v>57309</v>
      </c>
      <c r="X325" s="506"/>
      <c r="Y325" s="488"/>
      <c r="Z325" s="506">
        <v>151490</v>
      </c>
      <c r="AA325" s="488">
        <v>155915</v>
      </c>
      <c r="AB325" s="506">
        <v>147580</v>
      </c>
      <c r="AC325" s="488">
        <v>157302</v>
      </c>
      <c r="AD325" s="506">
        <v>206788</v>
      </c>
      <c r="AE325" s="507">
        <v>241002</v>
      </c>
      <c r="AF325" s="479">
        <f t="shared" si="145"/>
        <v>505858</v>
      </c>
      <c r="AG325" s="480">
        <f t="shared" si="146"/>
        <v>562.06444444444446</v>
      </c>
      <c r="AH325" s="481">
        <f t="shared" si="147"/>
        <v>554219</v>
      </c>
      <c r="AI325" s="481">
        <f t="shared" si="148"/>
        <v>615.79888888888888</v>
      </c>
      <c r="AJ325" s="487"/>
      <c r="AK325" s="507"/>
      <c r="AL325" s="479">
        <f t="shared" si="149"/>
        <v>0</v>
      </c>
      <c r="AM325" s="482">
        <f t="shared" si="150"/>
        <v>0</v>
      </c>
      <c r="AN325" s="487"/>
      <c r="AO325" s="488"/>
      <c r="AP325" s="487"/>
      <c r="AQ325" s="507"/>
      <c r="AR325" s="487"/>
      <c r="AS325" s="488"/>
      <c r="AT325" s="487"/>
      <c r="AU325" s="507"/>
      <c r="AV325" s="479">
        <f t="shared" si="151"/>
        <v>0</v>
      </c>
      <c r="AW325" s="483">
        <f t="shared" si="152"/>
        <v>0</v>
      </c>
      <c r="AX325" s="481">
        <f t="shared" si="153"/>
        <v>0</v>
      </c>
      <c r="AY325" s="484">
        <f t="shared" si="154"/>
        <v>0</v>
      </c>
      <c r="AZ325" s="485">
        <f t="shared" si="155"/>
        <v>2246.097777777778</v>
      </c>
      <c r="BA325" s="481">
        <f t="shared" si="156"/>
        <v>2526.0988888888887</v>
      </c>
    </row>
    <row r="326" spans="1:53">
      <c r="A326" s="672" t="s">
        <v>268</v>
      </c>
      <c r="B326" s="553" t="s">
        <v>652</v>
      </c>
      <c r="C326" s="667"/>
      <c r="D326" s="668">
        <v>199838</v>
      </c>
      <c r="E326" s="561">
        <v>9</v>
      </c>
      <c r="F326" s="486" t="s">
        <v>41</v>
      </c>
      <c r="G326" s="529"/>
      <c r="H326" s="506"/>
      <c r="I326" s="488"/>
      <c r="J326" s="506">
        <v>32390</v>
      </c>
      <c r="K326" s="488">
        <v>30088</v>
      </c>
      <c r="L326" s="506">
        <v>6548</v>
      </c>
      <c r="M326" s="488">
        <v>5805</v>
      </c>
      <c r="N326" s="506">
        <v>36047</v>
      </c>
      <c r="O326" s="488">
        <v>32466</v>
      </c>
      <c r="P326" s="479">
        <f t="shared" si="139"/>
        <v>74985</v>
      </c>
      <c r="Q326" s="480">
        <f t="shared" si="140"/>
        <v>2499.5</v>
      </c>
      <c r="R326" s="481">
        <f t="shared" si="141"/>
        <v>68359</v>
      </c>
      <c r="S326" s="482">
        <f t="shared" si="142"/>
        <v>2278.6333333333332</v>
      </c>
      <c r="T326" s="506">
        <v>8210</v>
      </c>
      <c r="U326" s="507">
        <v>9355</v>
      </c>
      <c r="V326" s="479">
        <f t="shared" si="143"/>
        <v>74985</v>
      </c>
      <c r="W326" s="478">
        <f t="shared" si="144"/>
        <v>68359</v>
      </c>
      <c r="X326" s="506"/>
      <c r="Y326" s="488"/>
      <c r="Z326" s="506">
        <v>285456</v>
      </c>
      <c r="AA326" s="488">
        <v>280728</v>
      </c>
      <c r="AB326" s="506">
        <v>164413</v>
      </c>
      <c r="AC326" s="488">
        <v>157458</v>
      </c>
      <c r="AD326" s="506">
        <v>309488</v>
      </c>
      <c r="AE326" s="507">
        <v>315190</v>
      </c>
      <c r="AF326" s="479">
        <f t="shared" si="145"/>
        <v>759357</v>
      </c>
      <c r="AG326" s="480">
        <f t="shared" si="146"/>
        <v>843.73</v>
      </c>
      <c r="AH326" s="481">
        <f t="shared" si="147"/>
        <v>753376</v>
      </c>
      <c r="AI326" s="481">
        <f t="shared" si="148"/>
        <v>837.08444444444444</v>
      </c>
      <c r="AJ326" s="487"/>
      <c r="AK326" s="507"/>
      <c r="AL326" s="479">
        <f t="shared" si="149"/>
        <v>0</v>
      </c>
      <c r="AM326" s="482">
        <f t="shared" si="150"/>
        <v>0</v>
      </c>
      <c r="AN326" s="487"/>
      <c r="AO326" s="488"/>
      <c r="AP326" s="487"/>
      <c r="AQ326" s="507"/>
      <c r="AR326" s="487"/>
      <c r="AS326" s="488"/>
      <c r="AT326" s="487"/>
      <c r="AU326" s="507"/>
      <c r="AV326" s="479">
        <f t="shared" si="151"/>
        <v>0</v>
      </c>
      <c r="AW326" s="483">
        <f t="shared" si="152"/>
        <v>0</v>
      </c>
      <c r="AX326" s="481">
        <f t="shared" si="153"/>
        <v>0</v>
      </c>
      <c r="AY326" s="484">
        <f t="shared" si="154"/>
        <v>0</v>
      </c>
      <c r="AZ326" s="485">
        <f t="shared" si="155"/>
        <v>3343.23</v>
      </c>
      <c r="BA326" s="481">
        <f t="shared" si="156"/>
        <v>3115.7177777777779</v>
      </c>
    </row>
    <row r="327" spans="1:53">
      <c r="A327" s="672" t="s">
        <v>268</v>
      </c>
      <c r="B327" s="553" t="s">
        <v>653</v>
      </c>
      <c r="C327" s="667"/>
      <c r="D327" s="668">
        <v>199892</v>
      </c>
      <c r="E327" s="561">
        <v>9</v>
      </c>
      <c r="F327" s="486" t="s">
        <v>41</v>
      </c>
      <c r="G327" s="529"/>
      <c r="H327" s="506"/>
      <c r="I327" s="488"/>
      <c r="J327" s="506">
        <v>34964</v>
      </c>
      <c r="K327" s="488">
        <v>35155</v>
      </c>
      <c r="L327" s="506">
        <v>6438</v>
      </c>
      <c r="M327" s="488">
        <v>6895</v>
      </c>
      <c r="N327" s="506">
        <v>36131</v>
      </c>
      <c r="O327" s="488">
        <v>36745</v>
      </c>
      <c r="P327" s="479">
        <f t="shared" si="139"/>
        <v>77533</v>
      </c>
      <c r="Q327" s="480">
        <f t="shared" si="140"/>
        <v>2584.4333333333334</v>
      </c>
      <c r="R327" s="481">
        <f t="shared" si="141"/>
        <v>78795</v>
      </c>
      <c r="S327" s="482">
        <f t="shared" si="142"/>
        <v>2626.5</v>
      </c>
      <c r="T327" s="506">
        <v>5990</v>
      </c>
      <c r="U327" s="507">
        <v>6860</v>
      </c>
      <c r="V327" s="479">
        <f t="shared" si="143"/>
        <v>77533</v>
      </c>
      <c r="W327" s="478">
        <f t="shared" si="144"/>
        <v>78795</v>
      </c>
      <c r="X327" s="506"/>
      <c r="Y327" s="488"/>
      <c r="Z327" s="506">
        <v>224501</v>
      </c>
      <c r="AA327" s="488">
        <v>221882</v>
      </c>
      <c r="AB327" s="506">
        <v>122371</v>
      </c>
      <c r="AC327" s="488">
        <v>130050</v>
      </c>
      <c r="AD327" s="506">
        <v>220392</v>
      </c>
      <c r="AE327" s="507">
        <v>206126</v>
      </c>
      <c r="AF327" s="479">
        <f t="shared" si="145"/>
        <v>567264</v>
      </c>
      <c r="AG327" s="480">
        <f t="shared" si="146"/>
        <v>630.29333333333329</v>
      </c>
      <c r="AH327" s="481">
        <f t="shared" si="147"/>
        <v>558058</v>
      </c>
      <c r="AI327" s="481">
        <f t="shared" si="148"/>
        <v>620.06444444444446</v>
      </c>
      <c r="AJ327" s="487"/>
      <c r="AK327" s="507"/>
      <c r="AL327" s="479">
        <f t="shared" si="149"/>
        <v>0</v>
      </c>
      <c r="AM327" s="482">
        <f t="shared" si="150"/>
        <v>0</v>
      </c>
      <c r="AN327" s="487"/>
      <c r="AO327" s="488"/>
      <c r="AP327" s="487"/>
      <c r="AQ327" s="507"/>
      <c r="AR327" s="487"/>
      <c r="AS327" s="488"/>
      <c r="AT327" s="487"/>
      <c r="AU327" s="507"/>
      <c r="AV327" s="479">
        <f t="shared" si="151"/>
        <v>0</v>
      </c>
      <c r="AW327" s="483">
        <f t="shared" si="152"/>
        <v>0</v>
      </c>
      <c r="AX327" s="481">
        <f t="shared" si="153"/>
        <v>0</v>
      </c>
      <c r="AY327" s="484">
        <f t="shared" si="154"/>
        <v>0</v>
      </c>
      <c r="AZ327" s="485">
        <f t="shared" si="155"/>
        <v>3214.7266666666665</v>
      </c>
      <c r="BA327" s="481">
        <f t="shared" si="156"/>
        <v>3246.5644444444442</v>
      </c>
    </row>
    <row r="328" spans="1:53">
      <c r="A328" s="672" t="s">
        <v>268</v>
      </c>
      <c r="B328" s="553" t="s">
        <v>654</v>
      </c>
      <c r="C328" s="667"/>
      <c r="D328" s="668">
        <v>199908</v>
      </c>
      <c r="E328" s="561">
        <v>9</v>
      </c>
      <c r="F328" s="486" t="s">
        <v>41</v>
      </c>
      <c r="G328" s="529"/>
      <c r="H328" s="506"/>
      <c r="I328" s="488"/>
      <c r="J328" s="506">
        <v>26851</v>
      </c>
      <c r="K328" s="488">
        <v>22926</v>
      </c>
      <c r="L328" s="506">
        <v>5764</v>
      </c>
      <c r="M328" s="488">
        <v>5338</v>
      </c>
      <c r="N328" s="506">
        <v>30842</v>
      </c>
      <c r="O328" s="488">
        <v>25456</v>
      </c>
      <c r="P328" s="479">
        <f t="shared" ref="P328:P385" si="157">SUM(H328,J328,L328,N328)</f>
        <v>63457</v>
      </c>
      <c r="Q328" s="480">
        <f t="shared" ref="Q328:Q385" si="158">+P328/30</f>
        <v>2115.2333333333331</v>
      </c>
      <c r="R328" s="481">
        <f t="shared" ref="R328:R385" si="159">SUM(I328,K328,M328,O328)</f>
        <v>53720</v>
      </c>
      <c r="S328" s="482">
        <f t="shared" ref="S328:S385" si="160">+R328/30</f>
        <v>1790.6666666666667</v>
      </c>
      <c r="T328" s="506">
        <v>4056</v>
      </c>
      <c r="U328" s="507">
        <v>3944</v>
      </c>
      <c r="V328" s="479">
        <f t="shared" ref="V328:V381" si="161">IF(ISBLANK(T328),0,P328)</f>
        <v>63457</v>
      </c>
      <c r="W328" s="478">
        <f t="shared" ref="W328:W381" si="162">IF(ISBLANK(U328),0,R328)</f>
        <v>53720</v>
      </c>
      <c r="X328" s="506"/>
      <c r="Y328" s="488"/>
      <c r="Z328" s="506">
        <v>212405</v>
      </c>
      <c r="AA328" s="488">
        <v>225022</v>
      </c>
      <c r="AB328" s="506">
        <v>135555</v>
      </c>
      <c r="AC328" s="488">
        <v>126540</v>
      </c>
      <c r="AD328" s="506">
        <v>219557</v>
      </c>
      <c r="AE328" s="507">
        <v>206846</v>
      </c>
      <c r="AF328" s="479">
        <f t="shared" ref="AF328:AF383" si="163">SUM(X328,Z328,AB328,AD328)</f>
        <v>567517</v>
      </c>
      <c r="AG328" s="480">
        <f t="shared" ref="AG328:AG383" si="164">+AF328/900</f>
        <v>630.57444444444445</v>
      </c>
      <c r="AH328" s="481">
        <f t="shared" ref="AH328:AH383" si="165">SUM(Y328,AA328,AC328,AE328)</f>
        <v>558408</v>
      </c>
      <c r="AI328" s="481">
        <f t="shared" ref="AI328:AI383" si="166">+AH328/900</f>
        <v>620.45333333333338</v>
      </c>
      <c r="AJ328" s="487"/>
      <c r="AK328" s="507"/>
      <c r="AL328" s="479">
        <f t="shared" ref="AL328:AL384" si="167">IF(ISBLANK(AJ328),0,AF328)</f>
        <v>0</v>
      </c>
      <c r="AM328" s="482">
        <f t="shared" ref="AM328:AM384" si="168">IF(ISBLANK(AK328),0,AH328)</f>
        <v>0</v>
      </c>
      <c r="AN328" s="487"/>
      <c r="AO328" s="488"/>
      <c r="AP328" s="487"/>
      <c r="AQ328" s="507"/>
      <c r="AR328" s="487"/>
      <c r="AS328" s="488"/>
      <c r="AT328" s="487"/>
      <c r="AU328" s="507"/>
      <c r="AV328" s="479">
        <f t="shared" ref="AV328:AV386" si="169">SUM(AN328,AP328,AR328,AT328)</f>
        <v>0</v>
      </c>
      <c r="AW328" s="483">
        <f t="shared" ref="AW328:AW386" si="170">+AV328/24</f>
        <v>0</v>
      </c>
      <c r="AX328" s="481">
        <f t="shared" ref="AX328:AX386" si="171">SUM(AO328,AQ328,AS328,AU328)</f>
        <v>0</v>
      </c>
      <c r="AY328" s="484">
        <f t="shared" ref="AY328:AY386" si="172">+AX328/24</f>
        <v>0</v>
      </c>
      <c r="AZ328" s="485">
        <f t="shared" ref="AZ328:AZ386" si="173">SUM(Q328,AG328,AW328)</f>
        <v>2745.8077777777776</v>
      </c>
      <c r="BA328" s="481">
        <f t="shared" ref="BA328:BA386" si="174">SUM(S328,AI328,AY328)</f>
        <v>2411.12</v>
      </c>
    </row>
    <row r="329" spans="1:53">
      <c r="A329" s="672" t="s">
        <v>268</v>
      </c>
      <c r="B329" s="553" t="s">
        <v>655</v>
      </c>
      <c r="C329" s="667"/>
      <c r="D329" s="668">
        <v>199926</v>
      </c>
      <c r="E329" s="561">
        <v>9</v>
      </c>
      <c r="F329" s="486" t="s">
        <v>41</v>
      </c>
      <c r="G329" s="529"/>
      <c r="H329" s="506"/>
      <c r="I329" s="488"/>
      <c r="J329" s="506">
        <v>25522</v>
      </c>
      <c r="K329" s="488">
        <v>26201</v>
      </c>
      <c r="L329" s="506">
        <v>4216</v>
      </c>
      <c r="M329" s="488">
        <v>4141</v>
      </c>
      <c r="N329" s="506">
        <v>27165</v>
      </c>
      <c r="O329" s="488">
        <v>26575</v>
      </c>
      <c r="P329" s="479">
        <f t="shared" si="157"/>
        <v>56903</v>
      </c>
      <c r="Q329" s="480">
        <f t="shared" si="158"/>
        <v>1896.7666666666667</v>
      </c>
      <c r="R329" s="481">
        <f t="shared" si="159"/>
        <v>56917</v>
      </c>
      <c r="S329" s="482">
        <f t="shared" si="160"/>
        <v>1897.2333333333333</v>
      </c>
      <c r="T329" s="506">
        <v>3238</v>
      </c>
      <c r="U329" s="507">
        <v>4398</v>
      </c>
      <c r="V329" s="479">
        <f t="shared" si="161"/>
        <v>56903</v>
      </c>
      <c r="W329" s="478">
        <f t="shared" si="162"/>
        <v>56917</v>
      </c>
      <c r="X329" s="506"/>
      <c r="Y329" s="488"/>
      <c r="Z329" s="506">
        <v>179547</v>
      </c>
      <c r="AA329" s="488">
        <v>203063</v>
      </c>
      <c r="AB329" s="506">
        <v>144074</v>
      </c>
      <c r="AC329" s="488">
        <v>117703</v>
      </c>
      <c r="AD329" s="506">
        <v>192181</v>
      </c>
      <c r="AE329" s="507">
        <v>226628</v>
      </c>
      <c r="AF329" s="479">
        <f t="shared" si="163"/>
        <v>515802</v>
      </c>
      <c r="AG329" s="480">
        <f t="shared" si="164"/>
        <v>573.11333333333334</v>
      </c>
      <c r="AH329" s="481">
        <f t="shared" si="165"/>
        <v>547394</v>
      </c>
      <c r="AI329" s="481">
        <f t="shared" si="166"/>
        <v>608.21555555555551</v>
      </c>
      <c r="AJ329" s="487"/>
      <c r="AK329" s="507"/>
      <c r="AL329" s="479">
        <f t="shared" si="167"/>
        <v>0</v>
      </c>
      <c r="AM329" s="482">
        <f t="shared" si="168"/>
        <v>0</v>
      </c>
      <c r="AN329" s="487"/>
      <c r="AO329" s="488"/>
      <c r="AP329" s="487"/>
      <c r="AQ329" s="507"/>
      <c r="AR329" s="487"/>
      <c r="AS329" s="488"/>
      <c r="AT329" s="487"/>
      <c r="AU329" s="507"/>
      <c r="AV329" s="479">
        <f t="shared" si="169"/>
        <v>0</v>
      </c>
      <c r="AW329" s="483">
        <f t="shared" si="170"/>
        <v>0</v>
      </c>
      <c r="AX329" s="481">
        <f t="shared" si="171"/>
        <v>0</v>
      </c>
      <c r="AY329" s="484">
        <f t="shared" si="172"/>
        <v>0</v>
      </c>
      <c r="AZ329" s="485">
        <f t="shared" si="173"/>
        <v>2469.88</v>
      </c>
      <c r="BA329" s="481">
        <f t="shared" si="174"/>
        <v>2505.4488888888891</v>
      </c>
    </row>
    <row r="330" spans="1:53">
      <c r="A330" s="672" t="s">
        <v>268</v>
      </c>
      <c r="B330" s="553" t="s">
        <v>656</v>
      </c>
      <c r="C330" s="674"/>
      <c r="D330" s="668">
        <v>197966</v>
      </c>
      <c r="E330" s="561">
        <v>10</v>
      </c>
      <c r="F330" s="486" t="s">
        <v>41</v>
      </c>
      <c r="G330" s="529"/>
      <c r="H330" s="506"/>
      <c r="I330" s="488"/>
      <c r="J330" s="506">
        <v>17203</v>
      </c>
      <c r="K330" s="488">
        <v>17342</v>
      </c>
      <c r="L330" s="506">
        <v>2066</v>
      </c>
      <c r="M330" s="488">
        <v>3291</v>
      </c>
      <c r="N330" s="506">
        <v>18021</v>
      </c>
      <c r="O330" s="488">
        <v>17029</v>
      </c>
      <c r="P330" s="479">
        <f t="shared" si="157"/>
        <v>37290</v>
      </c>
      <c r="Q330" s="480">
        <f t="shared" si="158"/>
        <v>1243</v>
      </c>
      <c r="R330" s="481">
        <f t="shared" si="159"/>
        <v>37662</v>
      </c>
      <c r="S330" s="482">
        <f t="shared" si="160"/>
        <v>1255.4000000000001</v>
      </c>
      <c r="T330" s="506">
        <v>2787</v>
      </c>
      <c r="U330" s="507">
        <v>3929</v>
      </c>
      <c r="V330" s="479">
        <f t="shared" si="161"/>
        <v>37290</v>
      </c>
      <c r="W330" s="478">
        <f t="shared" si="162"/>
        <v>37662</v>
      </c>
      <c r="X330" s="506"/>
      <c r="Y330" s="488"/>
      <c r="Z330" s="506">
        <v>104478</v>
      </c>
      <c r="AA330" s="488">
        <v>83005</v>
      </c>
      <c r="AB330" s="506">
        <v>75950</v>
      </c>
      <c r="AC330" s="488">
        <v>65945</v>
      </c>
      <c r="AD330" s="506">
        <v>93261</v>
      </c>
      <c r="AE330" s="507">
        <v>95216</v>
      </c>
      <c r="AF330" s="479">
        <f t="shared" si="163"/>
        <v>273689</v>
      </c>
      <c r="AG330" s="480">
        <f t="shared" si="164"/>
        <v>304.09888888888889</v>
      </c>
      <c r="AH330" s="481">
        <f t="shared" si="165"/>
        <v>244166</v>
      </c>
      <c r="AI330" s="481">
        <f t="shared" si="166"/>
        <v>271.29555555555555</v>
      </c>
      <c r="AJ330" s="487"/>
      <c r="AK330" s="507"/>
      <c r="AL330" s="479">
        <f t="shared" si="167"/>
        <v>0</v>
      </c>
      <c r="AM330" s="482">
        <f t="shared" si="168"/>
        <v>0</v>
      </c>
      <c r="AN330" s="487"/>
      <c r="AO330" s="488"/>
      <c r="AP330" s="487"/>
      <c r="AQ330" s="507"/>
      <c r="AR330" s="487"/>
      <c r="AS330" s="488"/>
      <c r="AT330" s="487"/>
      <c r="AU330" s="507"/>
      <c r="AV330" s="479">
        <f t="shared" si="169"/>
        <v>0</v>
      </c>
      <c r="AW330" s="483">
        <f t="shared" si="170"/>
        <v>0</v>
      </c>
      <c r="AX330" s="481">
        <f t="shared" si="171"/>
        <v>0</v>
      </c>
      <c r="AY330" s="484">
        <f t="shared" si="172"/>
        <v>0</v>
      </c>
      <c r="AZ330" s="485">
        <f t="shared" si="173"/>
        <v>1547.098888888889</v>
      </c>
      <c r="BA330" s="481">
        <f t="shared" si="174"/>
        <v>1526.6955555555555</v>
      </c>
    </row>
    <row r="331" spans="1:53">
      <c r="A331" s="672" t="s">
        <v>268</v>
      </c>
      <c r="B331" s="553" t="s">
        <v>657</v>
      </c>
      <c r="C331" s="674"/>
      <c r="D331" s="668">
        <v>198011</v>
      </c>
      <c r="E331" s="561">
        <v>10</v>
      </c>
      <c r="F331" s="486" t="s">
        <v>41</v>
      </c>
      <c r="G331" s="529"/>
      <c r="H331" s="506"/>
      <c r="I331" s="488"/>
      <c r="J331" s="506">
        <v>16492</v>
      </c>
      <c r="K331" s="488">
        <v>13448</v>
      </c>
      <c r="L331" s="506">
        <v>2899</v>
      </c>
      <c r="M331" s="488">
        <v>2498</v>
      </c>
      <c r="N331" s="506">
        <v>17733</v>
      </c>
      <c r="O331" s="488">
        <v>14873</v>
      </c>
      <c r="P331" s="479">
        <f t="shared" si="157"/>
        <v>37124</v>
      </c>
      <c r="Q331" s="480">
        <f t="shared" si="158"/>
        <v>1237.4666666666667</v>
      </c>
      <c r="R331" s="481">
        <f t="shared" si="159"/>
        <v>30819</v>
      </c>
      <c r="S331" s="482">
        <f t="shared" si="160"/>
        <v>1027.3</v>
      </c>
      <c r="T331" s="506">
        <v>296</v>
      </c>
      <c r="U331" s="507">
        <v>1165</v>
      </c>
      <c r="V331" s="479">
        <f t="shared" si="161"/>
        <v>37124</v>
      </c>
      <c r="W331" s="478">
        <f t="shared" si="162"/>
        <v>30819</v>
      </c>
      <c r="X331" s="506"/>
      <c r="Y331" s="488"/>
      <c r="Z331" s="506">
        <v>91483</v>
      </c>
      <c r="AA331" s="488">
        <v>84433</v>
      </c>
      <c r="AB331" s="506">
        <v>50617</v>
      </c>
      <c r="AC331" s="488">
        <v>42740</v>
      </c>
      <c r="AD331" s="506">
        <v>81999</v>
      </c>
      <c r="AE331" s="507">
        <v>82761</v>
      </c>
      <c r="AF331" s="479">
        <f t="shared" si="163"/>
        <v>224099</v>
      </c>
      <c r="AG331" s="480">
        <f t="shared" si="164"/>
        <v>248.9988888888889</v>
      </c>
      <c r="AH331" s="481">
        <f t="shared" si="165"/>
        <v>209934</v>
      </c>
      <c r="AI331" s="481">
        <f t="shared" si="166"/>
        <v>233.26</v>
      </c>
      <c r="AJ331" s="487"/>
      <c r="AK331" s="507"/>
      <c r="AL331" s="479">
        <f t="shared" si="167"/>
        <v>0</v>
      </c>
      <c r="AM331" s="482">
        <f t="shared" si="168"/>
        <v>0</v>
      </c>
      <c r="AN331" s="487"/>
      <c r="AO331" s="488"/>
      <c r="AP331" s="487"/>
      <c r="AQ331" s="507"/>
      <c r="AR331" s="487"/>
      <c r="AS331" s="488"/>
      <c r="AT331" s="487"/>
      <c r="AU331" s="507"/>
      <c r="AV331" s="479">
        <f t="shared" si="169"/>
        <v>0</v>
      </c>
      <c r="AW331" s="483">
        <f t="shared" si="170"/>
        <v>0</v>
      </c>
      <c r="AX331" s="481">
        <f t="shared" si="171"/>
        <v>0</v>
      </c>
      <c r="AY331" s="484">
        <f t="shared" si="172"/>
        <v>0</v>
      </c>
      <c r="AZ331" s="485">
        <f t="shared" si="173"/>
        <v>1486.4655555555555</v>
      </c>
      <c r="BA331" s="481">
        <f t="shared" si="174"/>
        <v>1260.56</v>
      </c>
    </row>
    <row r="332" spans="1:53">
      <c r="A332" s="672" t="s">
        <v>268</v>
      </c>
      <c r="B332" s="673" t="s">
        <v>658</v>
      </c>
      <c r="C332" s="674"/>
      <c r="D332" s="675">
        <v>198039</v>
      </c>
      <c r="E332" s="556">
        <v>10</v>
      </c>
      <c r="F332" s="486" t="s">
        <v>41</v>
      </c>
      <c r="G332" s="529"/>
      <c r="H332" s="506"/>
      <c r="I332" s="488"/>
      <c r="J332" s="506">
        <v>18070</v>
      </c>
      <c r="K332" s="488">
        <v>17514</v>
      </c>
      <c r="L332" s="506">
        <v>4135</v>
      </c>
      <c r="M332" s="488">
        <v>3949</v>
      </c>
      <c r="N332" s="506">
        <v>17684</v>
      </c>
      <c r="O332" s="488">
        <v>19078</v>
      </c>
      <c r="P332" s="479">
        <f t="shared" si="157"/>
        <v>39889</v>
      </c>
      <c r="Q332" s="480">
        <f t="shared" si="158"/>
        <v>1329.6333333333334</v>
      </c>
      <c r="R332" s="481">
        <f t="shared" si="159"/>
        <v>40541</v>
      </c>
      <c r="S332" s="482">
        <f t="shared" si="160"/>
        <v>1351.3666666666666</v>
      </c>
      <c r="T332" s="506">
        <v>4042</v>
      </c>
      <c r="U332" s="507">
        <v>3726</v>
      </c>
      <c r="V332" s="479">
        <f t="shared" si="161"/>
        <v>39889</v>
      </c>
      <c r="W332" s="478">
        <f t="shared" si="162"/>
        <v>40541</v>
      </c>
      <c r="X332" s="506"/>
      <c r="Y332" s="488"/>
      <c r="Z332" s="506">
        <v>193732</v>
      </c>
      <c r="AA332" s="488">
        <v>193397</v>
      </c>
      <c r="AB332" s="506">
        <v>99423</v>
      </c>
      <c r="AC332" s="488">
        <v>108473</v>
      </c>
      <c r="AD332" s="506">
        <v>190331</v>
      </c>
      <c r="AE332" s="507">
        <v>188787</v>
      </c>
      <c r="AF332" s="479">
        <f t="shared" si="163"/>
        <v>483486</v>
      </c>
      <c r="AG332" s="480">
        <f t="shared" si="164"/>
        <v>537.20666666666671</v>
      </c>
      <c r="AH332" s="481">
        <f t="shared" si="165"/>
        <v>490657</v>
      </c>
      <c r="AI332" s="481">
        <f t="shared" si="166"/>
        <v>545.17444444444448</v>
      </c>
      <c r="AJ332" s="487"/>
      <c r="AK332" s="507"/>
      <c r="AL332" s="479">
        <f t="shared" si="167"/>
        <v>0</v>
      </c>
      <c r="AM332" s="482">
        <f t="shared" si="168"/>
        <v>0</v>
      </c>
      <c r="AN332" s="487"/>
      <c r="AO332" s="488"/>
      <c r="AP332" s="487"/>
      <c r="AQ332" s="507"/>
      <c r="AR332" s="487"/>
      <c r="AS332" s="488"/>
      <c r="AT332" s="487"/>
      <c r="AU332" s="507"/>
      <c r="AV332" s="479">
        <f t="shared" si="169"/>
        <v>0</v>
      </c>
      <c r="AW332" s="483">
        <f t="shared" si="170"/>
        <v>0</v>
      </c>
      <c r="AX332" s="481">
        <f t="shared" si="171"/>
        <v>0</v>
      </c>
      <c r="AY332" s="484">
        <f t="shared" si="172"/>
        <v>0</v>
      </c>
      <c r="AZ332" s="485">
        <f t="shared" si="173"/>
        <v>1866.8400000000001</v>
      </c>
      <c r="BA332" s="481">
        <f t="shared" si="174"/>
        <v>1896.5411111111111</v>
      </c>
    </row>
    <row r="333" spans="1:53">
      <c r="A333" s="672" t="s">
        <v>268</v>
      </c>
      <c r="B333" s="553" t="s">
        <v>659</v>
      </c>
      <c r="C333" s="674"/>
      <c r="D333" s="668">
        <v>198084</v>
      </c>
      <c r="E333" s="561">
        <v>10</v>
      </c>
      <c r="F333" s="486" t="s">
        <v>41</v>
      </c>
      <c r="G333" s="529"/>
      <c r="H333" s="506"/>
      <c r="I333" s="488"/>
      <c r="J333" s="506">
        <v>13284</v>
      </c>
      <c r="K333" s="488">
        <v>12595</v>
      </c>
      <c r="L333" s="506">
        <v>2187</v>
      </c>
      <c r="M333" s="488">
        <v>2490</v>
      </c>
      <c r="N333" s="506">
        <v>14782</v>
      </c>
      <c r="O333" s="488">
        <v>13387</v>
      </c>
      <c r="P333" s="479">
        <f t="shared" si="157"/>
        <v>30253</v>
      </c>
      <c r="Q333" s="480">
        <f t="shared" si="158"/>
        <v>1008.4333333333333</v>
      </c>
      <c r="R333" s="481">
        <f t="shared" si="159"/>
        <v>28472</v>
      </c>
      <c r="S333" s="482">
        <f t="shared" si="160"/>
        <v>949.06666666666672</v>
      </c>
      <c r="T333" s="506">
        <v>3939</v>
      </c>
      <c r="U333" s="507">
        <v>5000</v>
      </c>
      <c r="V333" s="479">
        <f t="shared" si="161"/>
        <v>30253</v>
      </c>
      <c r="W333" s="478">
        <f t="shared" si="162"/>
        <v>28472</v>
      </c>
      <c r="X333" s="506"/>
      <c r="Y333" s="488"/>
      <c r="Z333" s="506">
        <v>135862</v>
      </c>
      <c r="AA333" s="488">
        <v>143491</v>
      </c>
      <c r="AB333" s="506">
        <v>90871</v>
      </c>
      <c r="AC333" s="488">
        <v>103148</v>
      </c>
      <c r="AD333" s="506">
        <v>153167</v>
      </c>
      <c r="AE333" s="507">
        <v>163765</v>
      </c>
      <c r="AF333" s="479">
        <f t="shared" si="163"/>
        <v>379900</v>
      </c>
      <c r="AG333" s="480">
        <f t="shared" si="164"/>
        <v>422.11111111111109</v>
      </c>
      <c r="AH333" s="481">
        <f t="shared" si="165"/>
        <v>410404</v>
      </c>
      <c r="AI333" s="481">
        <f t="shared" si="166"/>
        <v>456.00444444444446</v>
      </c>
      <c r="AJ333" s="487"/>
      <c r="AK333" s="507"/>
      <c r="AL333" s="479">
        <f t="shared" si="167"/>
        <v>0</v>
      </c>
      <c r="AM333" s="482">
        <f t="shared" si="168"/>
        <v>0</v>
      </c>
      <c r="AN333" s="487"/>
      <c r="AO333" s="488"/>
      <c r="AP333" s="487"/>
      <c r="AQ333" s="507"/>
      <c r="AR333" s="487"/>
      <c r="AS333" s="488"/>
      <c r="AT333" s="487"/>
      <c r="AU333" s="507"/>
      <c r="AV333" s="479">
        <f t="shared" si="169"/>
        <v>0</v>
      </c>
      <c r="AW333" s="483">
        <f t="shared" si="170"/>
        <v>0</v>
      </c>
      <c r="AX333" s="481">
        <f t="shared" si="171"/>
        <v>0</v>
      </c>
      <c r="AY333" s="484">
        <f t="shared" si="172"/>
        <v>0</v>
      </c>
      <c r="AZ333" s="485">
        <f t="shared" si="173"/>
        <v>1430.5444444444443</v>
      </c>
      <c r="BA333" s="481">
        <f t="shared" si="174"/>
        <v>1405.0711111111111</v>
      </c>
    </row>
    <row r="334" spans="1:53">
      <c r="A334" s="672" t="s">
        <v>268</v>
      </c>
      <c r="B334" s="553" t="s">
        <v>660</v>
      </c>
      <c r="C334" s="674"/>
      <c r="D334" s="668">
        <v>198206</v>
      </c>
      <c r="E334" s="561">
        <v>10</v>
      </c>
      <c r="F334" s="486" t="s">
        <v>41</v>
      </c>
      <c r="G334" s="529"/>
      <c r="H334" s="506"/>
      <c r="I334" s="488"/>
      <c r="J334" s="506">
        <v>16372</v>
      </c>
      <c r="K334" s="488">
        <v>15525</v>
      </c>
      <c r="L334" s="506">
        <v>3268</v>
      </c>
      <c r="M334" s="488">
        <v>3347</v>
      </c>
      <c r="N334" s="506">
        <v>16783</v>
      </c>
      <c r="O334" s="488">
        <v>16257</v>
      </c>
      <c r="P334" s="479">
        <f t="shared" si="157"/>
        <v>36423</v>
      </c>
      <c r="Q334" s="480">
        <f t="shared" si="158"/>
        <v>1214.0999999999999</v>
      </c>
      <c r="R334" s="481">
        <f t="shared" si="159"/>
        <v>35129</v>
      </c>
      <c r="S334" s="482">
        <f t="shared" si="160"/>
        <v>1170.9666666666667</v>
      </c>
      <c r="T334" s="506">
        <v>690</v>
      </c>
      <c r="U334" s="507">
        <v>489</v>
      </c>
      <c r="V334" s="479">
        <f t="shared" si="161"/>
        <v>36423</v>
      </c>
      <c r="W334" s="478">
        <f t="shared" si="162"/>
        <v>35129</v>
      </c>
      <c r="X334" s="506"/>
      <c r="Y334" s="488"/>
      <c r="Z334" s="506">
        <v>131202</v>
      </c>
      <c r="AA334" s="488">
        <v>140200</v>
      </c>
      <c r="AB334" s="506">
        <v>83691</v>
      </c>
      <c r="AC334" s="488">
        <v>66513</v>
      </c>
      <c r="AD334" s="506">
        <v>124710</v>
      </c>
      <c r="AE334" s="507">
        <v>131173</v>
      </c>
      <c r="AF334" s="479">
        <f t="shared" si="163"/>
        <v>339603</v>
      </c>
      <c r="AG334" s="480">
        <f t="shared" si="164"/>
        <v>377.33666666666664</v>
      </c>
      <c r="AH334" s="481">
        <f t="shared" si="165"/>
        <v>337886</v>
      </c>
      <c r="AI334" s="481">
        <f t="shared" si="166"/>
        <v>375.42888888888888</v>
      </c>
      <c r="AJ334" s="487"/>
      <c r="AK334" s="507"/>
      <c r="AL334" s="479">
        <f t="shared" si="167"/>
        <v>0</v>
      </c>
      <c r="AM334" s="482">
        <f t="shared" si="168"/>
        <v>0</v>
      </c>
      <c r="AN334" s="487"/>
      <c r="AO334" s="488"/>
      <c r="AP334" s="487"/>
      <c r="AQ334" s="507"/>
      <c r="AR334" s="487"/>
      <c r="AS334" s="488"/>
      <c r="AT334" s="487"/>
      <c r="AU334" s="507"/>
      <c r="AV334" s="479">
        <f t="shared" si="169"/>
        <v>0</v>
      </c>
      <c r="AW334" s="483">
        <f t="shared" si="170"/>
        <v>0</v>
      </c>
      <c r="AX334" s="481">
        <f t="shared" si="171"/>
        <v>0</v>
      </c>
      <c r="AY334" s="484">
        <f t="shared" si="172"/>
        <v>0</v>
      </c>
      <c r="AZ334" s="485">
        <f t="shared" si="173"/>
        <v>1591.4366666666665</v>
      </c>
      <c r="BA334" s="481">
        <f t="shared" si="174"/>
        <v>1546.3955555555556</v>
      </c>
    </row>
    <row r="335" spans="1:53" ht="12.75" customHeight="1">
      <c r="A335" s="672" t="s">
        <v>268</v>
      </c>
      <c r="B335" s="673" t="s">
        <v>661</v>
      </c>
      <c r="C335" s="674"/>
      <c r="D335" s="675">
        <v>197814</v>
      </c>
      <c r="E335" s="556">
        <v>10</v>
      </c>
      <c r="F335" s="486" t="s">
        <v>41</v>
      </c>
      <c r="G335" s="529"/>
      <c r="H335" s="506"/>
      <c r="I335" s="488"/>
      <c r="J335" s="506">
        <v>23574</v>
      </c>
      <c r="K335" s="488">
        <v>20689</v>
      </c>
      <c r="L335" s="506">
        <v>3858</v>
      </c>
      <c r="M335" s="488">
        <v>3754</v>
      </c>
      <c r="N335" s="506">
        <v>26541</v>
      </c>
      <c r="O335" s="488">
        <v>22817</v>
      </c>
      <c r="P335" s="479">
        <f t="shared" si="157"/>
        <v>53973</v>
      </c>
      <c r="Q335" s="480">
        <f t="shared" si="158"/>
        <v>1799.1</v>
      </c>
      <c r="R335" s="481">
        <f t="shared" si="159"/>
        <v>47260</v>
      </c>
      <c r="S335" s="482">
        <f t="shared" si="160"/>
        <v>1575.3333333333333</v>
      </c>
      <c r="T335" s="506">
        <v>4820</v>
      </c>
      <c r="U335" s="507">
        <v>4643</v>
      </c>
      <c r="V335" s="479">
        <f t="shared" si="161"/>
        <v>53973</v>
      </c>
      <c r="W335" s="478">
        <f t="shared" si="162"/>
        <v>47260</v>
      </c>
      <c r="X335" s="506"/>
      <c r="Y335" s="488"/>
      <c r="Z335" s="506">
        <v>141875</v>
      </c>
      <c r="AA335" s="488">
        <v>129581</v>
      </c>
      <c r="AB335" s="506">
        <v>81230</v>
      </c>
      <c r="AC335" s="488">
        <v>56967</v>
      </c>
      <c r="AD335" s="506">
        <v>125580</v>
      </c>
      <c r="AE335" s="507">
        <v>132712</v>
      </c>
      <c r="AF335" s="479">
        <f t="shared" si="163"/>
        <v>348685</v>
      </c>
      <c r="AG335" s="480">
        <f t="shared" si="164"/>
        <v>387.42777777777781</v>
      </c>
      <c r="AH335" s="481">
        <f t="shared" si="165"/>
        <v>319260</v>
      </c>
      <c r="AI335" s="481">
        <f t="shared" si="166"/>
        <v>354.73333333333335</v>
      </c>
      <c r="AJ335" s="487"/>
      <c r="AK335" s="507"/>
      <c r="AL335" s="479">
        <f t="shared" si="167"/>
        <v>0</v>
      </c>
      <c r="AM335" s="482">
        <f t="shared" si="168"/>
        <v>0</v>
      </c>
      <c r="AN335" s="487"/>
      <c r="AO335" s="488"/>
      <c r="AP335" s="487"/>
      <c r="AQ335" s="507"/>
      <c r="AR335" s="487"/>
      <c r="AS335" s="488"/>
      <c r="AT335" s="487"/>
      <c r="AU335" s="507"/>
      <c r="AV335" s="479">
        <f t="shared" si="169"/>
        <v>0</v>
      </c>
      <c r="AW335" s="483">
        <f t="shared" si="170"/>
        <v>0</v>
      </c>
      <c r="AX335" s="481">
        <f t="shared" si="171"/>
        <v>0</v>
      </c>
      <c r="AY335" s="484">
        <f t="shared" si="172"/>
        <v>0</v>
      </c>
      <c r="AZ335" s="485">
        <f t="shared" si="173"/>
        <v>2186.5277777777778</v>
      </c>
      <c r="BA335" s="481">
        <f t="shared" si="174"/>
        <v>1930.0666666666666</v>
      </c>
    </row>
    <row r="336" spans="1:53" ht="12.75" customHeight="1">
      <c r="A336" s="672" t="s">
        <v>268</v>
      </c>
      <c r="B336" s="553" t="s">
        <v>662</v>
      </c>
      <c r="C336" s="667"/>
      <c r="D336" s="668">
        <v>198640</v>
      </c>
      <c r="E336" s="561">
        <v>10</v>
      </c>
      <c r="F336" s="486" t="s">
        <v>41</v>
      </c>
      <c r="G336" s="529"/>
      <c r="H336" s="506"/>
      <c r="I336" s="488"/>
      <c r="J336" s="506">
        <v>16344</v>
      </c>
      <c r="K336" s="488">
        <v>15218</v>
      </c>
      <c r="L336" s="506">
        <v>1586</v>
      </c>
      <c r="M336" s="488">
        <v>1629</v>
      </c>
      <c r="N336" s="506">
        <v>17138</v>
      </c>
      <c r="O336" s="488">
        <v>15989</v>
      </c>
      <c r="P336" s="479">
        <f t="shared" si="157"/>
        <v>35068</v>
      </c>
      <c r="Q336" s="480">
        <f t="shared" si="158"/>
        <v>1168.9333333333334</v>
      </c>
      <c r="R336" s="481">
        <f t="shared" si="159"/>
        <v>32836</v>
      </c>
      <c r="S336" s="482">
        <f t="shared" si="160"/>
        <v>1094.5333333333333</v>
      </c>
      <c r="T336" s="506">
        <v>1028</v>
      </c>
      <c r="U336" s="507">
        <v>1819</v>
      </c>
      <c r="V336" s="479">
        <f t="shared" si="161"/>
        <v>35068</v>
      </c>
      <c r="W336" s="478">
        <f t="shared" si="162"/>
        <v>32836</v>
      </c>
      <c r="X336" s="506"/>
      <c r="Y336" s="488"/>
      <c r="Z336" s="506">
        <v>134468</v>
      </c>
      <c r="AA336" s="488">
        <v>111407</v>
      </c>
      <c r="AB336" s="506">
        <v>72182</v>
      </c>
      <c r="AC336" s="488">
        <v>47307</v>
      </c>
      <c r="AD336" s="506">
        <v>122318</v>
      </c>
      <c r="AE336" s="507">
        <v>124636</v>
      </c>
      <c r="AF336" s="479">
        <f t="shared" si="163"/>
        <v>328968</v>
      </c>
      <c r="AG336" s="480">
        <f t="shared" si="164"/>
        <v>365.52</v>
      </c>
      <c r="AH336" s="481">
        <f t="shared" si="165"/>
        <v>283350</v>
      </c>
      <c r="AI336" s="481">
        <f t="shared" si="166"/>
        <v>314.83333333333331</v>
      </c>
      <c r="AJ336" s="487"/>
      <c r="AK336" s="507"/>
      <c r="AL336" s="479">
        <f t="shared" si="167"/>
        <v>0</v>
      </c>
      <c r="AM336" s="482">
        <f t="shared" si="168"/>
        <v>0</v>
      </c>
      <c r="AN336" s="487"/>
      <c r="AO336" s="488"/>
      <c r="AP336" s="487"/>
      <c r="AQ336" s="507"/>
      <c r="AR336" s="487"/>
      <c r="AS336" s="488"/>
      <c r="AT336" s="487"/>
      <c r="AU336" s="507"/>
      <c r="AV336" s="479">
        <f t="shared" si="169"/>
        <v>0</v>
      </c>
      <c r="AW336" s="483">
        <f t="shared" si="170"/>
        <v>0</v>
      </c>
      <c r="AX336" s="481">
        <f t="shared" si="171"/>
        <v>0</v>
      </c>
      <c r="AY336" s="484">
        <f t="shared" si="172"/>
        <v>0</v>
      </c>
      <c r="AZ336" s="485">
        <f t="shared" si="173"/>
        <v>1534.4533333333334</v>
      </c>
      <c r="BA336" s="481">
        <f t="shared" si="174"/>
        <v>1409.3666666666666</v>
      </c>
    </row>
    <row r="337" spans="1:53" ht="12.75" customHeight="1">
      <c r="A337" s="672" t="s">
        <v>268</v>
      </c>
      <c r="B337" s="553" t="s">
        <v>663</v>
      </c>
      <c r="C337" s="667"/>
      <c r="D337" s="668">
        <v>198729</v>
      </c>
      <c r="E337" s="561">
        <v>10</v>
      </c>
      <c r="F337" s="486" t="s">
        <v>41</v>
      </c>
      <c r="G337" s="529"/>
      <c r="H337" s="506"/>
      <c r="I337" s="488"/>
      <c r="J337" s="506">
        <v>13964</v>
      </c>
      <c r="K337" s="488">
        <v>14239</v>
      </c>
      <c r="L337" s="506">
        <v>1648</v>
      </c>
      <c r="M337" s="488">
        <v>1618</v>
      </c>
      <c r="N337" s="506">
        <v>13575</v>
      </c>
      <c r="O337" s="488">
        <v>15230</v>
      </c>
      <c r="P337" s="479">
        <f t="shared" si="157"/>
        <v>29187</v>
      </c>
      <c r="Q337" s="480">
        <f t="shared" si="158"/>
        <v>972.9</v>
      </c>
      <c r="R337" s="481">
        <f t="shared" si="159"/>
        <v>31087</v>
      </c>
      <c r="S337" s="482">
        <f t="shared" si="160"/>
        <v>1036.2333333333333</v>
      </c>
      <c r="T337" s="506">
        <v>3270</v>
      </c>
      <c r="U337" s="507">
        <v>2688</v>
      </c>
      <c r="V337" s="479">
        <f t="shared" si="161"/>
        <v>29187</v>
      </c>
      <c r="W337" s="478">
        <f t="shared" si="162"/>
        <v>31087</v>
      </c>
      <c r="X337" s="506"/>
      <c r="Y337" s="488"/>
      <c r="Z337" s="506">
        <v>109336</v>
      </c>
      <c r="AA337" s="488">
        <v>92352</v>
      </c>
      <c r="AB337" s="506">
        <v>102367</v>
      </c>
      <c r="AC337" s="488">
        <v>52778</v>
      </c>
      <c r="AD337" s="506">
        <v>97915</v>
      </c>
      <c r="AE337" s="507">
        <v>100354</v>
      </c>
      <c r="AF337" s="479">
        <f t="shared" si="163"/>
        <v>309618</v>
      </c>
      <c r="AG337" s="480">
        <f t="shared" si="164"/>
        <v>344.02</v>
      </c>
      <c r="AH337" s="481">
        <f t="shared" si="165"/>
        <v>245484</v>
      </c>
      <c r="AI337" s="481">
        <f t="shared" si="166"/>
        <v>272.76</v>
      </c>
      <c r="AJ337" s="487"/>
      <c r="AK337" s="507"/>
      <c r="AL337" s="479">
        <f t="shared" si="167"/>
        <v>0</v>
      </c>
      <c r="AM337" s="482">
        <f t="shared" si="168"/>
        <v>0</v>
      </c>
      <c r="AN337" s="487"/>
      <c r="AO337" s="488"/>
      <c r="AP337" s="487"/>
      <c r="AQ337" s="507"/>
      <c r="AR337" s="487"/>
      <c r="AS337" s="488"/>
      <c r="AT337" s="487"/>
      <c r="AU337" s="507"/>
      <c r="AV337" s="479">
        <f t="shared" si="169"/>
        <v>0</v>
      </c>
      <c r="AW337" s="483">
        <f t="shared" si="170"/>
        <v>0</v>
      </c>
      <c r="AX337" s="481">
        <f t="shared" si="171"/>
        <v>0</v>
      </c>
      <c r="AY337" s="484">
        <f t="shared" si="172"/>
        <v>0</v>
      </c>
      <c r="AZ337" s="485">
        <f t="shared" si="173"/>
        <v>1316.92</v>
      </c>
      <c r="BA337" s="481">
        <f t="shared" si="174"/>
        <v>1308.9933333333333</v>
      </c>
    </row>
    <row r="338" spans="1:53" ht="12.75" customHeight="1">
      <c r="A338" s="672" t="s">
        <v>268</v>
      </c>
      <c r="B338" s="553" t="s">
        <v>664</v>
      </c>
      <c r="C338" s="667"/>
      <c r="D338" s="668">
        <v>198905</v>
      </c>
      <c r="E338" s="561">
        <v>10</v>
      </c>
      <c r="F338" s="486" t="s">
        <v>41</v>
      </c>
      <c r="G338" s="529"/>
      <c r="H338" s="506"/>
      <c r="I338" s="488"/>
      <c r="J338" s="506">
        <v>7602</v>
      </c>
      <c r="K338" s="488">
        <v>6580</v>
      </c>
      <c r="L338" s="506">
        <v>395</v>
      </c>
      <c r="M338" s="488">
        <v>529</v>
      </c>
      <c r="N338" s="506">
        <v>8054</v>
      </c>
      <c r="O338" s="488">
        <v>7273</v>
      </c>
      <c r="P338" s="479">
        <f t="shared" si="157"/>
        <v>16051</v>
      </c>
      <c r="Q338" s="480">
        <f t="shared" si="158"/>
        <v>535.0333333333333</v>
      </c>
      <c r="R338" s="481">
        <f t="shared" si="159"/>
        <v>14382</v>
      </c>
      <c r="S338" s="482">
        <f t="shared" si="160"/>
        <v>479.4</v>
      </c>
      <c r="T338" s="506">
        <v>1102</v>
      </c>
      <c r="U338" s="507">
        <v>1712</v>
      </c>
      <c r="V338" s="479">
        <f t="shared" si="161"/>
        <v>16051</v>
      </c>
      <c r="W338" s="478">
        <f t="shared" si="162"/>
        <v>14382</v>
      </c>
      <c r="X338" s="506"/>
      <c r="Y338" s="488"/>
      <c r="Z338" s="506">
        <v>91402</v>
      </c>
      <c r="AA338" s="488">
        <v>90567</v>
      </c>
      <c r="AB338" s="506">
        <v>55043</v>
      </c>
      <c r="AC338" s="488">
        <v>54738</v>
      </c>
      <c r="AD338" s="506">
        <v>87818</v>
      </c>
      <c r="AE338" s="507">
        <v>86532</v>
      </c>
      <c r="AF338" s="479">
        <f t="shared" si="163"/>
        <v>234263</v>
      </c>
      <c r="AG338" s="480">
        <f t="shared" si="164"/>
        <v>260.29222222222222</v>
      </c>
      <c r="AH338" s="481">
        <f t="shared" si="165"/>
        <v>231837</v>
      </c>
      <c r="AI338" s="481">
        <f t="shared" si="166"/>
        <v>257.59666666666669</v>
      </c>
      <c r="AJ338" s="487"/>
      <c r="AK338" s="507"/>
      <c r="AL338" s="479">
        <f t="shared" si="167"/>
        <v>0</v>
      </c>
      <c r="AM338" s="482">
        <f t="shared" si="168"/>
        <v>0</v>
      </c>
      <c r="AN338" s="487"/>
      <c r="AO338" s="488"/>
      <c r="AP338" s="487"/>
      <c r="AQ338" s="507"/>
      <c r="AR338" s="487"/>
      <c r="AS338" s="488"/>
      <c r="AT338" s="487"/>
      <c r="AU338" s="507"/>
      <c r="AV338" s="479">
        <f t="shared" si="169"/>
        <v>0</v>
      </c>
      <c r="AW338" s="483">
        <f t="shared" si="170"/>
        <v>0</v>
      </c>
      <c r="AX338" s="481">
        <f t="shared" si="171"/>
        <v>0</v>
      </c>
      <c r="AY338" s="484">
        <f t="shared" si="172"/>
        <v>0</v>
      </c>
      <c r="AZ338" s="485">
        <f t="shared" si="173"/>
        <v>795.32555555555552</v>
      </c>
      <c r="BA338" s="481">
        <f t="shared" si="174"/>
        <v>736.99666666666667</v>
      </c>
    </row>
    <row r="339" spans="1:53" ht="12.75" customHeight="1">
      <c r="A339" s="672" t="s">
        <v>268</v>
      </c>
      <c r="B339" s="673" t="s">
        <v>665</v>
      </c>
      <c r="C339" s="674"/>
      <c r="D339" s="675">
        <v>198914</v>
      </c>
      <c r="E339" s="556">
        <v>10</v>
      </c>
      <c r="F339" s="486" t="s">
        <v>41</v>
      </c>
      <c r="G339" s="529"/>
      <c r="H339" s="506"/>
      <c r="I339" s="488"/>
      <c r="J339" s="506">
        <v>10171</v>
      </c>
      <c r="K339" s="488">
        <v>9206</v>
      </c>
      <c r="L339" s="506">
        <v>774</v>
      </c>
      <c r="M339" s="488">
        <v>723</v>
      </c>
      <c r="N339" s="506">
        <v>8736</v>
      </c>
      <c r="O339" s="488">
        <v>9283</v>
      </c>
      <c r="P339" s="479">
        <f t="shared" si="157"/>
        <v>19681</v>
      </c>
      <c r="Q339" s="480">
        <f t="shared" si="158"/>
        <v>656.0333333333333</v>
      </c>
      <c r="R339" s="481">
        <f t="shared" si="159"/>
        <v>19212</v>
      </c>
      <c r="S339" s="482">
        <f t="shared" si="160"/>
        <v>640.4</v>
      </c>
      <c r="T339" s="506">
        <v>3140</v>
      </c>
      <c r="U339" s="507">
        <v>4800</v>
      </c>
      <c r="V339" s="479">
        <f t="shared" si="161"/>
        <v>19681</v>
      </c>
      <c r="W339" s="478">
        <f t="shared" si="162"/>
        <v>19212</v>
      </c>
      <c r="X339" s="506"/>
      <c r="Y339" s="488"/>
      <c r="Z339" s="506">
        <v>207942</v>
      </c>
      <c r="AA339" s="488">
        <v>178983</v>
      </c>
      <c r="AB339" s="506">
        <v>150919</v>
      </c>
      <c r="AC339" s="488">
        <v>121325</v>
      </c>
      <c r="AD339" s="506">
        <v>192831</v>
      </c>
      <c r="AE339" s="507">
        <v>181986</v>
      </c>
      <c r="AF339" s="479">
        <f t="shared" si="163"/>
        <v>551692</v>
      </c>
      <c r="AG339" s="480">
        <f t="shared" si="164"/>
        <v>612.99111111111108</v>
      </c>
      <c r="AH339" s="481">
        <f t="shared" si="165"/>
        <v>482294</v>
      </c>
      <c r="AI339" s="481">
        <f t="shared" si="166"/>
        <v>535.88222222222225</v>
      </c>
      <c r="AJ339" s="487"/>
      <c r="AK339" s="507"/>
      <c r="AL339" s="479">
        <f t="shared" si="167"/>
        <v>0</v>
      </c>
      <c r="AM339" s="482">
        <f t="shared" si="168"/>
        <v>0</v>
      </c>
      <c r="AN339" s="487"/>
      <c r="AO339" s="488"/>
      <c r="AP339" s="487"/>
      <c r="AQ339" s="507"/>
      <c r="AR339" s="487"/>
      <c r="AS339" s="488"/>
      <c r="AT339" s="487"/>
      <c r="AU339" s="507"/>
      <c r="AV339" s="479">
        <f t="shared" si="169"/>
        <v>0</v>
      </c>
      <c r="AW339" s="483">
        <f t="shared" si="170"/>
        <v>0</v>
      </c>
      <c r="AX339" s="481">
        <f t="shared" si="171"/>
        <v>0</v>
      </c>
      <c r="AY339" s="484">
        <f t="shared" si="172"/>
        <v>0</v>
      </c>
      <c r="AZ339" s="485">
        <f t="shared" si="173"/>
        <v>1269.0244444444443</v>
      </c>
      <c r="BA339" s="481">
        <f t="shared" si="174"/>
        <v>1176.2822222222221</v>
      </c>
    </row>
    <row r="340" spans="1:53" ht="12.75" customHeight="1">
      <c r="A340" s="672" t="s">
        <v>268</v>
      </c>
      <c r="B340" s="553" t="s">
        <v>666</v>
      </c>
      <c r="C340" s="667"/>
      <c r="D340" s="668">
        <v>198923</v>
      </c>
      <c r="E340" s="561">
        <v>10</v>
      </c>
      <c r="F340" s="486" t="s">
        <v>41</v>
      </c>
      <c r="G340" s="529"/>
      <c r="H340" s="506"/>
      <c r="I340" s="488"/>
      <c r="J340" s="506">
        <v>11194</v>
      </c>
      <c r="K340" s="488">
        <v>9988</v>
      </c>
      <c r="L340" s="506">
        <v>3416</v>
      </c>
      <c r="M340" s="488">
        <v>2979</v>
      </c>
      <c r="N340" s="506">
        <v>11437</v>
      </c>
      <c r="O340" s="488">
        <v>10539</v>
      </c>
      <c r="P340" s="479">
        <f t="shared" si="157"/>
        <v>26047</v>
      </c>
      <c r="Q340" s="480">
        <f t="shared" si="158"/>
        <v>868.23333333333335</v>
      </c>
      <c r="R340" s="481">
        <f t="shared" si="159"/>
        <v>23506</v>
      </c>
      <c r="S340" s="482">
        <f t="shared" si="160"/>
        <v>783.5333333333333</v>
      </c>
      <c r="T340" s="506">
        <v>2662</v>
      </c>
      <c r="U340" s="507">
        <v>4114</v>
      </c>
      <c r="V340" s="479">
        <f t="shared" si="161"/>
        <v>26047</v>
      </c>
      <c r="W340" s="478">
        <f t="shared" si="162"/>
        <v>23506</v>
      </c>
      <c r="X340" s="506"/>
      <c r="Y340" s="488"/>
      <c r="Z340" s="506">
        <v>118266</v>
      </c>
      <c r="AA340" s="488">
        <v>141771</v>
      </c>
      <c r="AB340" s="506">
        <v>72034</v>
      </c>
      <c r="AC340" s="488">
        <v>66827</v>
      </c>
      <c r="AD340" s="506">
        <v>102041</v>
      </c>
      <c r="AE340" s="507">
        <v>110053</v>
      </c>
      <c r="AF340" s="479">
        <f t="shared" si="163"/>
        <v>292341</v>
      </c>
      <c r="AG340" s="480">
        <f t="shared" si="164"/>
        <v>324.82333333333332</v>
      </c>
      <c r="AH340" s="481">
        <f t="shared" si="165"/>
        <v>318651</v>
      </c>
      <c r="AI340" s="481">
        <f t="shared" si="166"/>
        <v>354.05666666666667</v>
      </c>
      <c r="AJ340" s="487"/>
      <c r="AK340" s="507"/>
      <c r="AL340" s="479">
        <f t="shared" si="167"/>
        <v>0</v>
      </c>
      <c r="AM340" s="482">
        <f t="shared" si="168"/>
        <v>0</v>
      </c>
      <c r="AN340" s="487"/>
      <c r="AO340" s="488"/>
      <c r="AP340" s="487"/>
      <c r="AQ340" s="507"/>
      <c r="AR340" s="487"/>
      <c r="AS340" s="488"/>
      <c r="AT340" s="487"/>
      <c r="AU340" s="507"/>
      <c r="AV340" s="479">
        <f t="shared" si="169"/>
        <v>0</v>
      </c>
      <c r="AW340" s="483">
        <f t="shared" si="170"/>
        <v>0</v>
      </c>
      <c r="AX340" s="481">
        <f t="shared" si="171"/>
        <v>0</v>
      </c>
      <c r="AY340" s="484">
        <f t="shared" si="172"/>
        <v>0</v>
      </c>
      <c r="AZ340" s="485">
        <f t="shared" si="173"/>
        <v>1193.0566666666666</v>
      </c>
      <c r="BA340" s="481">
        <f t="shared" si="174"/>
        <v>1137.5899999999999</v>
      </c>
    </row>
    <row r="341" spans="1:53" ht="12.75" customHeight="1">
      <c r="A341" s="672" t="s">
        <v>268</v>
      </c>
      <c r="B341" s="553" t="s">
        <v>667</v>
      </c>
      <c r="C341" s="667"/>
      <c r="D341" s="668">
        <v>199023</v>
      </c>
      <c r="E341" s="561">
        <v>10</v>
      </c>
      <c r="F341" s="486" t="s">
        <v>41</v>
      </c>
      <c r="G341" s="529"/>
      <c r="H341" s="506"/>
      <c r="I341" s="488"/>
      <c r="J341" s="506">
        <v>7548</v>
      </c>
      <c r="K341" s="488">
        <v>7090</v>
      </c>
      <c r="L341" s="506">
        <v>1731</v>
      </c>
      <c r="M341" s="488">
        <v>1335</v>
      </c>
      <c r="N341" s="506">
        <v>7589</v>
      </c>
      <c r="O341" s="488">
        <v>7101</v>
      </c>
      <c r="P341" s="479">
        <f t="shared" si="157"/>
        <v>16868</v>
      </c>
      <c r="Q341" s="480">
        <f t="shared" si="158"/>
        <v>562.26666666666665</v>
      </c>
      <c r="R341" s="481">
        <f t="shared" si="159"/>
        <v>15526</v>
      </c>
      <c r="S341" s="482">
        <f t="shared" si="160"/>
        <v>517.5333333333333</v>
      </c>
      <c r="T341" s="506">
        <v>473</v>
      </c>
      <c r="U341" s="507">
        <v>1056</v>
      </c>
      <c r="V341" s="479">
        <f t="shared" si="161"/>
        <v>16868</v>
      </c>
      <c r="W341" s="478">
        <f t="shared" si="162"/>
        <v>15526</v>
      </c>
      <c r="X341" s="506"/>
      <c r="Y341" s="488"/>
      <c r="Z341" s="506">
        <v>97923</v>
      </c>
      <c r="AA341" s="488">
        <v>85612</v>
      </c>
      <c r="AB341" s="506">
        <v>54352</v>
      </c>
      <c r="AC341" s="488">
        <v>53769</v>
      </c>
      <c r="AD341" s="506">
        <v>99652</v>
      </c>
      <c r="AE341" s="507">
        <v>90262</v>
      </c>
      <c r="AF341" s="479">
        <f t="shared" si="163"/>
        <v>251927</v>
      </c>
      <c r="AG341" s="480">
        <f t="shared" si="164"/>
        <v>279.91888888888889</v>
      </c>
      <c r="AH341" s="481">
        <f t="shared" si="165"/>
        <v>229643</v>
      </c>
      <c r="AI341" s="481">
        <f t="shared" si="166"/>
        <v>255.1588888888889</v>
      </c>
      <c r="AJ341" s="487"/>
      <c r="AK341" s="507"/>
      <c r="AL341" s="479">
        <f t="shared" si="167"/>
        <v>0</v>
      </c>
      <c r="AM341" s="482">
        <f t="shared" si="168"/>
        <v>0</v>
      </c>
      <c r="AN341" s="487"/>
      <c r="AO341" s="488"/>
      <c r="AP341" s="487"/>
      <c r="AQ341" s="507"/>
      <c r="AR341" s="487"/>
      <c r="AS341" s="488"/>
      <c r="AT341" s="487"/>
      <c r="AU341" s="507"/>
      <c r="AV341" s="479">
        <f t="shared" si="169"/>
        <v>0</v>
      </c>
      <c r="AW341" s="483">
        <f t="shared" si="170"/>
        <v>0</v>
      </c>
      <c r="AX341" s="481">
        <f t="shared" si="171"/>
        <v>0</v>
      </c>
      <c r="AY341" s="484">
        <f t="shared" si="172"/>
        <v>0</v>
      </c>
      <c r="AZ341" s="485">
        <f t="shared" si="173"/>
        <v>842.18555555555554</v>
      </c>
      <c r="BA341" s="481">
        <f t="shared" si="174"/>
        <v>772.6922222222222</v>
      </c>
    </row>
    <row r="342" spans="1:53" ht="12.75" customHeight="1">
      <c r="A342" s="672" t="s">
        <v>268</v>
      </c>
      <c r="B342" s="553" t="s">
        <v>668</v>
      </c>
      <c r="C342" s="667"/>
      <c r="D342" s="668">
        <v>199263</v>
      </c>
      <c r="E342" s="561">
        <v>10</v>
      </c>
      <c r="F342" s="486" t="s">
        <v>41</v>
      </c>
      <c r="G342" s="529"/>
      <c r="H342" s="506"/>
      <c r="I342" s="488"/>
      <c r="J342" s="506">
        <v>2909</v>
      </c>
      <c r="K342" s="488">
        <v>4313</v>
      </c>
      <c r="L342" s="506">
        <v>275</v>
      </c>
      <c r="M342" s="488">
        <v>478</v>
      </c>
      <c r="N342" s="506">
        <v>3516</v>
      </c>
      <c r="O342" s="488">
        <v>4293</v>
      </c>
      <c r="P342" s="479">
        <f t="shared" si="157"/>
        <v>6700</v>
      </c>
      <c r="Q342" s="480">
        <f t="shared" si="158"/>
        <v>223.33333333333334</v>
      </c>
      <c r="R342" s="481">
        <f t="shared" si="159"/>
        <v>9084</v>
      </c>
      <c r="S342" s="482">
        <f t="shared" si="160"/>
        <v>302.8</v>
      </c>
      <c r="T342" s="506">
        <v>2239</v>
      </c>
      <c r="U342" s="507">
        <v>3002</v>
      </c>
      <c r="V342" s="479">
        <f t="shared" si="161"/>
        <v>6700</v>
      </c>
      <c r="W342" s="478">
        <f t="shared" si="162"/>
        <v>9084</v>
      </c>
      <c r="X342" s="506"/>
      <c r="Y342" s="488"/>
      <c r="Z342" s="506">
        <v>86416</v>
      </c>
      <c r="AA342" s="488">
        <v>58485</v>
      </c>
      <c r="AB342" s="506">
        <v>45399</v>
      </c>
      <c r="AC342" s="488">
        <v>54488</v>
      </c>
      <c r="AD342" s="506">
        <v>52000</v>
      </c>
      <c r="AE342" s="507">
        <v>50698</v>
      </c>
      <c r="AF342" s="479">
        <f t="shared" si="163"/>
        <v>183815</v>
      </c>
      <c r="AG342" s="480">
        <f t="shared" si="164"/>
        <v>204.23888888888888</v>
      </c>
      <c r="AH342" s="481">
        <f t="shared" si="165"/>
        <v>163671</v>
      </c>
      <c r="AI342" s="481">
        <f t="shared" si="166"/>
        <v>181.85666666666665</v>
      </c>
      <c r="AJ342" s="487"/>
      <c r="AK342" s="507"/>
      <c r="AL342" s="479">
        <f t="shared" si="167"/>
        <v>0</v>
      </c>
      <c r="AM342" s="482">
        <f t="shared" si="168"/>
        <v>0</v>
      </c>
      <c r="AN342" s="487"/>
      <c r="AO342" s="488"/>
      <c r="AP342" s="487"/>
      <c r="AQ342" s="507"/>
      <c r="AR342" s="487"/>
      <c r="AS342" s="488"/>
      <c r="AT342" s="487"/>
      <c r="AU342" s="507"/>
      <c r="AV342" s="479">
        <f t="shared" si="169"/>
        <v>0</v>
      </c>
      <c r="AW342" s="483">
        <f t="shared" si="170"/>
        <v>0</v>
      </c>
      <c r="AX342" s="481">
        <f t="shared" si="171"/>
        <v>0</v>
      </c>
      <c r="AY342" s="484">
        <f t="shared" si="172"/>
        <v>0</v>
      </c>
      <c r="AZ342" s="485">
        <f t="shared" si="173"/>
        <v>427.57222222222219</v>
      </c>
      <c r="BA342" s="481">
        <f t="shared" si="174"/>
        <v>484.65666666666664</v>
      </c>
    </row>
    <row r="343" spans="1:53" ht="12.75" customHeight="1">
      <c r="A343" s="672" t="s">
        <v>268</v>
      </c>
      <c r="B343" s="673" t="s">
        <v>669</v>
      </c>
      <c r="C343" s="674"/>
      <c r="D343" s="675">
        <v>199324</v>
      </c>
      <c r="E343" s="556">
        <v>10</v>
      </c>
      <c r="F343" s="486" t="s">
        <v>41</v>
      </c>
      <c r="G343" s="529"/>
      <c r="H343" s="506"/>
      <c r="I343" s="488"/>
      <c r="J343" s="506">
        <v>17467</v>
      </c>
      <c r="K343" s="488">
        <v>15599</v>
      </c>
      <c r="L343" s="506">
        <v>2340</v>
      </c>
      <c r="M343" s="488">
        <v>2184</v>
      </c>
      <c r="N343" s="506">
        <v>18852</v>
      </c>
      <c r="O343" s="488">
        <v>16206</v>
      </c>
      <c r="P343" s="479">
        <f t="shared" si="157"/>
        <v>38659</v>
      </c>
      <c r="Q343" s="480">
        <f t="shared" si="158"/>
        <v>1288.6333333333334</v>
      </c>
      <c r="R343" s="481">
        <f t="shared" si="159"/>
        <v>33989</v>
      </c>
      <c r="S343" s="482">
        <f t="shared" si="160"/>
        <v>1132.9666666666667</v>
      </c>
      <c r="T343" s="506">
        <v>4912</v>
      </c>
      <c r="U343" s="507">
        <v>2256</v>
      </c>
      <c r="V343" s="479">
        <f t="shared" si="161"/>
        <v>38659</v>
      </c>
      <c r="W343" s="478">
        <f t="shared" si="162"/>
        <v>33989</v>
      </c>
      <c r="X343" s="506"/>
      <c r="Y343" s="488"/>
      <c r="Z343" s="506">
        <v>209670</v>
      </c>
      <c r="AA343" s="669">
        <v>206857</v>
      </c>
      <c r="AB343" s="506">
        <v>112376</v>
      </c>
      <c r="AC343" s="670">
        <v>120301</v>
      </c>
      <c r="AD343" s="506">
        <v>203081</v>
      </c>
      <c r="AE343" s="671">
        <v>211673</v>
      </c>
      <c r="AF343" s="479">
        <f t="shared" si="163"/>
        <v>525127</v>
      </c>
      <c r="AG343" s="480">
        <f t="shared" si="164"/>
        <v>583.47444444444443</v>
      </c>
      <c r="AH343" s="481">
        <f t="shared" si="165"/>
        <v>538831</v>
      </c>
      <c r="AI343" s="481">
        <f t="shared" si="166"/>
        <v>598.70111111111112</v>
      </c>
      <c r="AJ343" s="487"/>
      <c r="AK343" s="507"/>
      <c r="AL343" s="479">
        <f t="shared" si="167"/>
        <v>0</v>
      </c>
      <c r="AM343" s="482">
        <f t="shared" si="168"/>
        <v>0</v>
      </c>
      <c r="AN343" s="487"/>
      <c r="AO343" s="488"/>
      <c r="AP343" s="487"/>
      <c r="AQ343" s="507"/>
      <c r="AR343" s="487"/>
      <c r="AS343" s="488"/>
      <c r="AT343" s="487"/>
      <c r="AU343" s="507"/>
      <c r="AV343" s="479">
        <f t="shared" si="169"/>
        <v>0</v>
      </c>
      <c r="AW343" s="483">
        <f t="shared" si="170"/>
        <v>0</v>
      </c>
      <c r="AX343" s="481">
        <f t="shared" si="171"/>
        <v>0</v>
      </c>
      <c r="AY343" s="484">
        <f t="shared" si="172"/>
        <v>0</v>
      </c>
      <c r="AZ343" s="485">
        <f t="shared" si="173"/>
        <v>1872.1077777777778</v>
      </c>
      <c r="BA343" s="481">
        <f t="shared" si="174"/>
        <v>1731.6677777777777</v>
      </c>
    </row>
    <row r="344" spans="1:53">
      <c r="A344" s="672" t="s">
        <v>268</v>
      </c>
      <c r="B344" s="673" t="s">
        <v>670</v>
      </c>
      <c r="C344" s="674" t="s">
        <v>609</v>
      </c>
      <c r="D344" s="675">
        <v>199449</v>
      </c>
      <c r="E344" s="556">
        <v>10</v>
      </c>
      <c r="F344" s="486" t="s">
        <v>41</v>
      </c>
      <c r="G344" s="529"/>
      <c r="H344" s="506"/>
      <c r="I344" s="488"/>
      <c r="J344" s="506">
        <v>21833</v>
      </c>
      <c r="K344" s="488">
        <v>21332</v>
      </c>
      <c r="L344" s="506">
        <v>4236</v>
      </c>
      <c r="M344" s="488">
        <v>3556</v>
      </c>
      <c r="N344" s="506">
        <v>23413</v>
      </c>
      <c r="O344" s="488">
        <v>22926</v>
      </c>
      <c r="P344" s="479">
        <f t="shared" si="157"/>
        <v>49482</v>
      </c>
      <c r="Q344" s="480">
        <f t="shared" si="158"/>
        <v>1649.4</v>
      </c>
      <c r="R344" s="481">
        <f t="shared" si="159"/>
        <v>47814</v>
      </c>
      <c r="S344" s="482">
        <f t="shared" si="160"/>
        <v>1593.8</v>
      </c>
      <c r="T344" s="506">
        <v>5980</v>
      </c>
      <c r="U344" s="507">
        <v>6326</v>
      </c>
      <c r="V344" s="479">
        <f t="shared" si="161"/>
        <v>49482</v>
      </c>
      <c r="W344" s="478">
        <f t="shared" si="162"/>
        <v>47814</v>
      </c>
      <c r="X344" s="506"/>
      <c r="Y344" s="488"/>
      <c r="Z344" s="506">
        <v>194240</v>
      </c>
      <c r="AA344" s="669">
        <v>203311</v>
      </c>
      <c r="AB344" s="506">
        <v>142381</v>
      </c>
      <c r="AC344" s="670">
        <v>154154</v>
      </c>
      <c r="AD344" s="506">
        <v>208897</v>
      </c>
      <c r="AE344" s="671">
        <v>220409</v>
      </c>
      <c r="AF344" s="479">
        <f t="shared" si="163"/>
        <v>545518</v>
      </c>
      <c r="AG344" s="480">
        <f t="shared" si="164"/>
        <v>606.13111111111107</v>
      </c>
      <c r="AH344" s="481">
        <f t="shared" si="165"/>
        <v>577874</v>
      </c>
      <c r="AI344" s="481">
        <f t="shared" si="166"/>
        <v>642.08222222222219</v>
      </c>
      <c r="AJ344" s="487"/>
      <c r="AK344" s="507"/>
      <c r="AL344" s="479">
        <f t="shared" si="167"/>
        <v>0</v>
      </c>
      <c r="AM344" s="482">
        <f t="shared" si="168"/>
        <v>0</v>
      </c>
      <c r="AN344" s="487"/>
      <c r="AO344" s="488"/>
      <c r="AP344" s="487"/>
      <c r="AQ344" s="507"/>
      <c r="AR344" s="487"/>
      <c r="AS344" s="488"/>
      <c r="AT344" s="487"/>
      <c r="AU344" s="507"/>
      <c r="AV344" s="479">
        <f t="shared" si="169"/>
        <v>0</v>
      </c>
      <c r="AW344" s="483">
        <f t="shared" si="170"/>
        <v>0</v>
      </c>
      <c r="AX344" s="481">
        <f t="shared" si="171"/>
        <v>0</v>
      </c>
      <c r="AY344" s="484">
        <f t="shared" si="172"/>
        <v>0</v>
      </c>
      <c r="AZ344" s="485">
        <f t="shared" si="173"/>
        <v>2255.5311111111114</v>
      </c>
      <c r="BA344" s="481">
        <f t="shared" si="174"/>
        <v>2235.882222222222</v>
      </c>
    </row>
    <row r="345" spans="1:53">
      <c r="A345" s="672" t="s">
        <v>268</v>
      </c>
      <c r="B345" s="553" t="s">
        <v>671</v>
      </c>
      <c r="C345" s="667"/>
      <c r="D345" s="668">
        <v>199467</v>
      </c>
      <c r="E345" s="561">
        <v>10</v>
      </c>
      <c r="F345" s="486" t="s">
        <v>41</v>
      </c>
      <c r="G345" s="529"/>
      <c r="H345" s="506"/>
      <c r="I345" s="488"/>
      <c r="J345" s="506">
        <v>7716</v>
      </c>
      <c r="K345" s="488">
        <v>7162</v>
      </c>
      <c r="L345" s="506">
        <v>0</v>
      </c>
      <c r="M345" s="488">
        <v>786</v>
      </c>
      <c r="N345" s="506">
        <v>8566</v>
      </c>
      <c r="O345" s="488">
        <v>8129</v>
      </c>
      <c r="P345" s="479">
        <f t="shared" si="157"/>
        <v>16282</v>
      </c>
      <c r="Q345" s="480">
        <f t="shared" si="158"/>
        <v>542.73333333333335</v>
      </c>
      <c r="R345" s="481">
        <f t="shared" si="159"/>
        <v>16077</v>
      </c>
      <c r="S345" s="482">
        <f t="shared" si="160"/>
        <v>535.9</v>
      </c>
      <c r="T345" s="506">
        <v>2172</v>
      </c>
      <c r="U345" s="507">
        <v>1927</v>
      </c>
      <c r="V345" s="479">
        <f t="shared" si="161"/>
        <v>16282</v>
      </c>
      <c r="W345" s="478">
        <f t="shared" si="162"/>
        <v>16077</v>
      </c>
      <c r="X345" s="506"/>
      <c r="Y345" s="488"/>
      <c r="Z345" s="506">
        <v>74253</v>
      </c>
      <c r="AA345" s="669">
        <v>69633</v>
      </c>
      <c r="AB345" s="506">
        <v>46554</v>
      </c>
      <c r="AC345" s="670">
        <v>42006</v>
      </c>
      <c r="AD345" s="506">
        <v>63832</v>
      </c>
      <c r="AE345" s="671">
        <v>73600</v>
      </c>
      <c r="AF345" s="479">
        <f t="shared" si="163"/>
        <v>184639</v>
      </c>
      <c r="AG345" s="480">
        <f t="shared" si="164"/>
        <v>205.15444444444444</v>
      </c>
      <c r="AH345" s="481">
        <f t="shared" si="165"/>
        <v>185239</v>
      </c>
      <c r="AI345" s="481">
        <f t="shared" si="166"/>
        <v>205.82111111111112</v>
      </c>
      <c r="AJ345" s="487"/>
      <c r="AK345" s="507"/>
      <c r="AL345" s="479">
        <f t="shared" si="167"/>
        <v>0</v>
      </c>
      <c r="AM345" s="482">
        <f t="shared" si="168"/>
        <v>0</v>
      </c>
      <c r="AN345" s="487"/>
      <c r="AO345" s="488"/>
      <c r="AP345" s="487"/>
      <c r="AQ345" s="507"/>
      <c r="AR345" s="487"/>
      <c r="AS345" s="488"/>
      <c r="AT345" s="487"/>
      <c r="AU345" s="507"/>
      <c r="AV345" s="479">
        <f t="shared" si="169"/>
        <v>0</v>
      </c>
      <c r="AW345" s="483">
        <f t="shared" si="170"/>
        <v>0</v>
      </c>
      <c r="AX345" s="481">
        <f t="shared" si="171"/>
        <v>0</v>
      </c>
      <c r="AY345" s="484">
        <f t="shared" si="172"/>
        <v>0</v>
      </c>
      <c r="AZ345" s="485">
        <f t="shared" si="173"/>
        <v>747.88777777777773</v>
      </c>
      <c r="BA345" s="481">
        <f t="shared" si="174"/>
        <v>741.7211111111111</v>
      </c>
    </row>
    <row r="346" spans="1:53">
      <c r="A346" s="672" t="s">
        <v>268</v>
      </c>
      <c r="B346" s="673" t="s">
        <v>672</v>
      </c>
      <c r="C346" s="674"/>
      <c r="D346" s="675">
        <v>199485</v>
      </c>
      <c r="E346" s="556">
        <v>10</v>
      </c>
      <c r="F346" s="486" t="s">
        <v>41</v>
      </c>
      <c r="G346" s="529"/>
      <c r="H346" s="506"/>
      <c r="I346" s="488"/>
      <c r="J346" s="506">
        <v>19300</v>
      </c>
      <c r="K346" s="488">
        <v>17281</v>
      </c>
      <c r="L346" s="506">
        <v>3816</v>
      </c>
      <c r="M346" s="488">
        <v>3310</v>
      </c>
      <c r="N346" s="506">
        <v>21803</v>
      </c>
      <c r="O346" s="488">
        <v>18989</v>
      </c>
      <c r="P346" s="479">
        <f t="shared" si="157"/>
        <v>44919</v>
      </c>
      <c r="Q346" s="480">
        <f t="shared" si="158"/>
        <v>1497.3</v>
      </c>
      <c r="R346" s="481">
        <f t="shared" si="159"/>
        <v>39580</v>
      </c>
      <c r="S346" s="482">
        <f t="shared" si="160"/>
        <v>1319.3333333333333</v>
      </c>
      <c r="T346" s="506">
        <v>2597</v>
      </c>
      <c r="U346" s="507">
        <v>3185</v>
      </c>
      <c r="V346" s="479">
        <f t="shared" si="161"/>
        <v>44919</v>
      </c>
      <c r="W346" s="478">
        <f t="shared" si="162"/>
        <v>39580</v>
      </c>
      <c r="X346" s="506"/>
      <c r="Y346" s="488"/>
      <c r="Z346" s="506">
        <v>111454</v>
      </c>
      <c r="AA346" s="669">
        <v>96993</v>
      </c>
      <c r="AB346" s="506">
        <v>65301</v>
      </c>
      <c r="AC346" s="670">
        <v>62819</v>
      </c>
      <c r="AD346" s="506">
        <v>113318</v>
      </c>
      <c r="AE346" s="671">
        <v>109074</v>
      </c>
      <c r="AF346" s="479">
        <f t="shared" si="163"/>
        <v>290073</v>
      </c>
      <c r="AG346" s="480">
        <f t="shared" si="164"/>
        <v>322.30333333333334</v>
      </c>
      <c r="AH346" s="481">
        <f t="shared" si="165"/>
        <v>268886</v>
      </c>
      <c r="AI346" s="481">
        <f t="shared" si="166"/>
        <v>298.76222222222225</v>
      </c>
      <c r="AJ346" s="487"/>
      <c r="AK346" s="507"/>
      <c r="AL346" s="479">
        <f t="shared" si="167"/>
        <v>0</v>
      </c>
      <c r="AM346" s="482">
        <f t="shared" si="168"/>
        <v>0</v>
      </c>
      <c r="AN346" s="487"/>
      <c r="AO346" s="488"/>
      <c r="AP346" s="487"/>
      <c r="AQ346" s="507"/>
      <c r="AR346" s="487"/>
      <c r="AS346" s="488"/>
      <c r="AT346" s="487"/>
      <c r="AU346" s="507"/>
      <c r="AV346" s="479">
        <f t="shared" si="169"/>
        <v>0</v>
      </c>
      <c r="AW346" s="483">
        <f t="shared" si="170"/>
        <v>0</v>
      </c>
      <c r="AX346" s="481">
        <f t="shared" si="171"/>
        <v>0</v>
      </c>
      <c r="AY346" s="484">
        <f t="shared" si="172"/>
        <v>0</v>
      </c>
      <c r="AZ346" s="485">
        <f t="shared" si="173"/>
        <v>1819.6033333333332</v>
      </c>
      <c r="BA346" s="481">
        <f t="shared" si="174"/>
        <v>1618.0955555555556</v>
      </c>
    </row>
    <row r="347" spans="1:53">
      <c r="A347" s="672" t="s">
        <v>268</v>
      </c>
      <c r="B347" s="553" t="s">
        <v>673</v>
      </c>
      <c r="C347" s="674"/>
      <c r="D347" s="668">
        <v>199625</v>
      </c>
      <c r="E347" s="561">
        <v>10</v>
      </c>
      <c r="F347" s="486" t="s">
        <v>41</v>
      </c>
      <c r="G347" s="529"/>
      <c r="H347" s="506"/>
      <c r="I347" s="488"/>
      <c r="J347" s="506">
        <v>13272</v>
      </c>
      <c r="K347" s="488">
        <v>11926</v>
      </c>
      <c r="L347" s="506">
        <v>863</v>
      </c>
      <c r="M347" s="488">
        <v>1378</v>
      </c>
      <c r="N347" s="506">
        <v>13836</v>
      </c>
      <c r="O347" s="488">
        <v>12394</v>
      </c>
      <c r="P347" s="479">
        <f t="shared" si="157"/>
        <v>27971</v>
      </c>
      <c r="Q347" s="480">
        <f t="shared" si="158"/>
        <v>932.36666666666667</v>
      </c>
      <c r="R347" s="481">
        <f t="shared" si="159"/>
        <v>25698</v>
      </c>
      <c r="S347" s="482">
        <f t="shared" si="160"/>
        <v>856.6</v>
      </c>
      <c r="T347" s="506">
        <v>3462</v>
      </c>
      <c r="U347" s="507">
        <v>4699</v>
      </c>
      <c r="V347" s="479">
        <f t="shared" si="161"/>
        <v>27971</v>
      </c>
      <c r="W347" s="478">
        <f t="shared" si="162"/>
        <v>25698</v>
      </c>
      <c r="X347" s="506"/>
      <c r="Y347" s="488"/>
      <c r="Z347" s="506">
        <v>143346</v>
      </c>
      <c r="AA347" s="669">
        <v>152630</v>
      </c>
      <c r="AB347" s="506">
        <v>113581</v>
      </c>
      <c r="AC347" s="670">
        <v>121777</v>
      </c>
      <c r="AD347" s="506">
        <v>205855</v>
      </c>
      <c r="AE347" s="671">
        <v>203727</v>
      </c>
      <c r="AF347" s="479">
        <f t="shared" si="163"/>
        <v>462782</v>
      </c>
      <c r="AG347" s="480">
        <f t="shared" si="164"/>
        <v>514.20222222222219</v>
      </c>
      <c r="AH347" s="481">
        <f t="shared" si="165"/>
        <v>478134</v>
      </c>
      <c r="AI347" s="481">
        <f t="shared" si="166"/>
        <v>531.26</v>
      </c>
      <c r="AJ347" s="487"/>
      <c r="AK347" s="507"/>
      <c r="AL347" s="479">
        <f t="shared" si="167"/>
        <v>0</v>
      </c>
      <c r="AM347" s="482">
        <f t="shared" si="168"/>
        <v>0</v>
      </c>
      <c r="AN347" s="487"/>
      <c r="AO347" s="488"/>
      <c r="AP347" s="487"/>
      <c r="AQ347" s="507"/>
      <c r="AR347" s="487"/>
      <c r="AS347" s="488"/>
      <c r="AT347" s="487"/>
      <c r="AU347" s="507"/>
      <c r="AV347" s="479">
        <f t="shared" si="169"/>
        <v>0</v>
      </c>
      <c r="AW347" s="483">
        <f t="shared" si="170"/>
        <v>0</v>
      </c>
      <c r="AX347" s="481">
        <f t="shared" si="171"/>
        <v>0</v>
      </c>
      <c r="AY347" s="484">
        <f t="shared" si="172"/>
        <v>0</v>
      </c>
      <c r="AZ347" s="485">
        <f t="shared" si="173"/>
        <v>1446.568888888889</v>
      </c>
      <c r="BA347" s="481">
        <f t="shared" si="174"/>
        <v>1387.8600000000001</v>
      </c>
    </row>
    <row r="348" spans="1:53">
      <c r="A348" s="672" t="s">
        <v>268</v>
      </c>
      <c r="B348" s="673" t="s">
        <v>674</v>
      </c>
      <c r="C348" s="674" t="s">
        <v>609</v>
      </c>
      <c r="D348" s="675">
        <v>197850</v>
      </c>
      <c r="E348" s="556">
        <v>10</v>
      </c>
      <c r="F348" s="486" t="s">
        <v>41</v>
      </c>
      <c r="G348" s="529"/>
      <c r="H348" s="506"/>
      <c r="I348" s="488"/>
      <c r="J348" s="506">
        <v>17968</v>
      </c>
      <c r="K348" s="488">
        <v>17932</v>
      </c>
      <c r="L348" s="506">
        <v>3430</v>
      </c>
      <c r="M348" s="488">
        <v>3771</v>
      </c>
      <c r="N348" s="506">
        <v>20086</v>
      </c>
      <c r="O348" s="488">
        <v>19009</v>
      </c>
      <c r="P348" s="479">
        <f t="shared" si="157"/>
        <v>41484</v>
      </c>
      <c r="Q348" s="480">
        <f t="shared" si="158"/>
        <v>1382.8</v>
      </c>
      <c r="R348" s="481">
        <f t="shared" si="159"/>
        <v>40712</v>
      </c>
      <c r="S348" s="482">
        <f t="shared" si="160"/>
        <v>1357.0666666666666</v>
      </c>
      <c r="T348" s="506">
        <v>6889</v>
      </c>
      <c r="U348" s="507">
        <v>7588</v>
      </c>
      <c r="V348" s="479">
        <f t="shared" si="161"/>
        <v>41484</v>
      </c>
      <c r="W348" s="478">
        <f t="shared" si="162"/>
        <v>40712</v>
      </c>
      <c r="X348" s="506"/>
      <c r="Y348" s="488"/>
      <c r="Z348" s="506">
        <v>249826</v>
      </c>
      <c r="AA348" s="669">
        <v>263576</v>
      </c>
      <c r="AB348" s="506">
        <v>171283</v>
      </c>
      <c r="AC348" s="670">
        <v>147723</v>
      </c>
      <c r="AD348" s="506">
        <v>271279</v>
      </c>
      <c r="AE348" s="671">
        <v>286970</v>
      </c>
      <c r="AF348" s="479">
        <f t="shared" si="163"/>
        <v>692388</v>
      </c>
      <c r="AG348" s="480">
        <f t="shared" si="164"/>
        <v>769.32</v>
      </c>
      <c r="AH348" s="481">
        <f t="shared" si="165"/>
        <v>698269</v>
      </c>
      <c r="AI348" s="481">
        <f t="shared" si="166"/>
        <v>775.85444444444443</v>
      </c>
      <c r="AJ348" s="487"/>
      <c r="AK348" s="507"/>
      <c r="AL348" s="479">
        <f t="shared" si="167"/>
        <v>0</v>
      </c>
      <c r="AM348" s="482">
        <f t="shared" si="168"/>
        <v>0</v>
      </c>
      <c r="AN348" s="487"/>
      <c r="AO348" s="488"/>
      <c r="AP348" s="487"/>
      <c r="AQ348" s="507"/>
      <c r="AR348" s="487"/>
      <c r="AS348" s="488"/>
      <c r="AT348" s="487"/>
      <c r="AU348" s="507"/>
      <c r="AV348" s="479">
        <f t="shared" si="169"/>
        <v>0</v>
      </c>
      <c r="AW348" s="483">
        <f t="shared" si="170"/>
        <v>0</v>
      </c>
      <c r="AX348" s="481">
        <f t="shared" si="171"/>
        <v>0</v>
      </c>
      <c r="AY348" s="484">
        <f t="shared" si="172"/>
        <v>0</v>
      </c>
      <c r="AZ348" s="485">
        <f t="shared" si="173"/>
        <v>2152.12</v>
      </c>
      <c r="BA348" s="481">
        <f t="shared" si="174"/>
        <v>2132.9211111111108</v>
      </c>
    </row>
    <row r="349" spans="1:53">
      <c r="A349" s="672" t="s">
        <v>268</v>
      </c>
      <c r="B349" s="673" t="s">
        <v>675</v>
      </c>
      <c r="C349" s="674"/>
      <c r="D349" s="675">
        <v>199722</v>
      </c>
      <c r="E349" s="556">
        <v>10</v>
      </c>
      <c r="F349" s="486" t="s">
        <v>41</v>
      </c>
      <c r="G349" s="529"/>
      <c r="H349" s="506"/>
      <c r="I349" s="488"/>
      <c r="J349" s="506">
        <v>16228</v>
      </c>
      <c r="K349" s="488">
        <v>14263</v>
      </c>
      <c r="L349" s="506">
        <v>4842</v>
      </c>
      <c r="M349" s="488">
        <v>4134</v>
      </c>
      <c r="N349" s="506">
        <v>19135</v>
      </c>
      <c r="O349" s="488">
        <v>16423</v>
      </c>
      <c r="P349" s="479">
        <f t="shared" si="157"/>
        <v>40205</v>
      </c>
      <c r="Q349" s="480">
        <f t="shared" si="158"/>
        <v>1340.1666666666667</v>
      </c>
      <c r="R349" s="481">
        <f t="shared" si="159"/>
        <v>34820</v>
      </c>
      <c r="S349" s="482">
        <f t="shared" si="160"/>
        <v>1160.6666666666667</v>
      </c>
      <c r="T349" s="506">
        <v>3032</v>
      </c>
      <c r="U349" s="507">
        <v>2537</v>
      </c>
      <c r="V349" s="479">
        <f t="shared" si="161"/>
        <v>40205</v>
      </c>
      <c r="W349" s="478">
        <f t="shared" si="162"/>
        <v>34820</v>
      </c>
      <c r="X349" s="506"/>
      <c r="Y349" s="488"/>
      <c r="Z349" s="506">
        <v>265023</v>
      </c>
      <c r="AA349" s="669">
        <v>286647</v>
      </c>
      <c r="AB349" s="506">
        <v>167311</v>
      </c>
      <c r="AC349" s="670">
        <v>164927</v>
      </c>
      <c r="AD349" s="506">
        <v>307655</v>
      </c>
      <c r="AE349" s="671">
        <v>268246</v>
      </c>
      <c r="AF349" s="479">
        <f t="shared" si="163"/>
        <v>739989</v>
      </c>
      <c r="AG349" s="480">
        <f t="shared" si="164"/>
        <v>822.21</v>
      </c>
      <c r="AH349" s="481">
        <f t="shared" si="165"/>
        <v>719820</v>
      </c>
      <c r="AI349" s="481">
        <f t="shared" si="166"/>
        <v>799.8</v>
      </c>
      <c r="AJ349" s="487"/>
      <c r="AK349" s="507"/>
      <c r="AL349" s="479">
        <f t="shared" si="167"/>
        <v>0</v>
      </c>
      <c r="AM349" s="482">
        <f t="shared" si="168"/>
        <v>0</v>
      </c>
      <c r="AN349" s="487"/>
      <c r="AO349" s="488"/>
      <c r="AP349" s="487"/>
      <c r="AQ349" s="507"/>
      <c r="AR349" s="487"/>
      <c r="AS349" s="488"/>
      <c r="AT349" s="487"/>
      <c r="AU349" s="507"/>
      <c r="AV349" s="479">
        <f t="shared" si="169"/>
        <v>0</v>
      </c>
      <c r="AW349" s="483">
        <f t="shared" si="170"/>
        <v>0</v>
      </c>
      <c r="AX349" s="481">
        <f t="shared" si="171"/>
        <v>0</v>
      </c>
      <c r="AY349" s="484">
        <f t="shared" si="172"/>
        <v>0</v>
      </c>
      <c r="AZ349" s="485">
        <f t="shared" si="173"/>
        <v>2162.376666666667</v>
      </c>
      <c r="BA349" s="481">
        <f t="shared" si="174"/>
        <v>1960.4666666666667</v>
      </c>
    </row>
    <row r="350" spans="1:53">
      <c r="A350" s="672" t="s">
        <v>268</v>
      </c>
      <c r="B350" s="673" t="s">
        <v>676</v>
      </c>
      <c r="C350" s="674" t="s">
        <v>609</v>
      </c>
      <c r="D350" s="675">
        <v>199731</v>
      </c>
      <c r="E350" s="556">
        <v>10</v>
      </c>
      <c r="F350" s="486" t="s">
        <v>41</v>
      </c>
      <c r="G350" s="529"/>
      <c r="H350" s="506"/>
      <c r="I350" s="488"/>
      <c r="J350" s="506">
        <v>21882</v>
      </c>
      <c r="K350" s="488">
        <v>21459</v>
      </c>
      <c r="L350" s="506">
        <v>5625</v>
      </c>
      <c r="M350" s="488">
        <v>5266</v>
      </c>
      <c r="N350" s="506">
        <v>21977</v>
      </c>
      <c r="O350" s="488">
        <v>22885</v>
      </c>
      <c r="P350" s="479">
        <f t="shared" si="157"/>
        <v>49484</v>
      </c>
      <c r="Q350" s="480">
        <f t="shared" si="158"/>
        <v>1649.4666666666667</v>
      </c>
      <c r="R350" s="481">
        <f t="shared" si="159"/>
        <v>49610</v>
      </c>
      <c r="S350" s="482">
        <f t="shared" si="160"/>
        <v>1653.6666666666667</v>
      </c>
      <c r="T350" s="506">
        <v>6882</v>
      </c>
      <c r="U350" s="507">
        <v>6616</v>
      </c>
      <c r="V350" s="479">
        <f t="shared" si="161"/>
        <v>49484</v>
      </c>
      <c r="W350" s="478">
        <f t="shared" si="162"/>
        <v>49610</v>
      </c>
      <c r="X350" s="506"/>
      <c r="Y350" s="488"/>
      <c r="Z350" s="506">
        <v>166775</v>
      </c>
      <c r="AA350" s="669">
        <v>166096</v>
      </c>
      <c r="AB350" s="506">
        <v>71369</v>
      </c>
      <c r="AC350" s="670">
        <v>97013</v>
      </c>
      <c r="AD350" s="506">
        <v>164413</v>
      </c>
      <c r="AE350" s="671">
        <v>158398</v>
      </c>
      <c r="AF350" s="479">
        <f t="shared" si="163"/>
        <v>402557</v>
      </c>
      <c r="AG350" s="480">
        <f t="shared" si="164"/>
        <v>447.28555555555556</v>
      </c>
      <c r="AH350" s="481">
        <f t="shared" si="165"/>
        <v>421507</v>
      </c>
      <c r="AI350" s="481">
        <f t="shared" si="166"/>
        <v>468.3411111111111</v>
      </c>
      <c r="AJ350" s="487"/>
      <c r="AK350" s="507"/>
      <c r="AL350" s="479">
        <f t="shared" si="167"/>
        <v>0</v>
      </c>
      <c r="AM350" s="482">
        <f t="shared" si="168"/>
        <v>0</v>
      </c>
      <c r="AN350" s="487"/>
      <c r="AO350" s="488"/>
      <c r="AP350" s="487"/>
      <c r="AQ350" s="488"/>
      <c r="AR350" s="487"/>
      <c r="AS350" s="488"/>
      <c r="AT350" s="487"/>
      <c r="AU350" s="488"/>
      <c r="AV350" s="479">
        <f t="shared" si="169"/>
        <v>0</v>
      </c>
      <c r="AW350" s="483">
        <f t="shared" si="170"/>
        <v>0</v>
      </c>
      <c r="AX350" s="481">
        <f t="shared" si="171"/>
        <v>0</v>
      </c>
      <c r="AY350" s="484">
        <f t="shared" si="172"/>
        <v>0</v>
      </c>
      <c r="AZ350" s="485">
        <f t="shared" si="173"/>
        <v>2096.7522222222224</v>
      </c>
      <c r="BA350" s="481">
        <f t="shared" si="174"/>
        <v>2122.0077777777778</v>
      </c>
    </row>
    <row r="351" spans="1:53">
      <c r="A351" s="672" t="s">
        <v>268</v>
      </c>
      <c r="B351" s="553" t="s">
        <v>677</v>
      </c>
      <c r="C351" s="667"/>
      <c r="D351" s="668">
        <v>199795</v>
      </c>
      <c r="E351" s="561">
        <v>10</v>
      </c>
      <c r="F351" s="486" t="s">
        <v>41</v>
      </c>
      <c r="G351" s="529"/>
      <c r="H351" s="506"/>
      <c r="I351" s="488"/>
      <c r="J351" s="506">
        <v>11742</v>
      </c>
      <c r="K351" s="488">
        <v>12607</v>
      </c>
      <c r="L351" s="506">
        <v>1808</v>
      </c>
      <c r="M351" s="488">
        <v>1701</v>
      </c>
      <c r="N351" s="506">
        <v>12576</v>
      </c>
      <c r="O351" s="488">
        <v>12624</v>
      </c>
      <c r="P351" s="479">
        <f t="shared" si="157"/>
        <v>26126</v>
      </c>
      <c r="Q351" s="480">
        <f t="shared" si="158"/>
        <v>870.86666666666667</v>
      </c>
      <c r="R351" s="481">
        <f t="shared" si="159"/>
        <v>26932</v>
      </c>
      <c r="S351" s="482">
        <f t="shared" si="160"/>
        <v>897.73333333333335</v>
      </c>
      <c r="T351" s="506">
        <v>4048</v>
      </c>
      <c r="U351" s="507">
        <v>4136</v>
      </c>
      <c r="V351" s="479">
        <f t="shared" si="161"/>
        <v>26126</v>
      </c>
      <c r="W351" s="478">
        <f t="shared" si="162"/>
        <v>26932</v>
      </c>
      <c r="X351" s="506"/>
      <c r="Y351" s="488"/>
      <c r="Z351" s="506">
        <v>49211</v>
      </c>
      <c r="AA351" s="669">
        <v>53598</v>
      </c>
      <c r="AB351" s="506">
        <v>34904</v>
      </c>
      <c r="AC351" s="670">
        <v>28788</v>
      </c>
      <c r="AD351" s="506">
        <v>78978</v>
      </c>
      <c r="AE351" s="671">
        <v>68734</v>
      </c>
      <c r="AF351" s="479">
        <f t="shared" si="163"/>
        <v>163093</v>
      </c>
      <c r="AG351" s="480">
        <f t="shared" si="164"/>
        <v>181.21444444444444</v>
      </c>
      <c r="AH351" s="481">
        <f t="shared" si="165"/>
        <v>151120</v>
      </c>
      <c r="AI351" s="481">
        <f t="shared" si="166"/>
        <v>167.9111111111111</v>
      </c>
      <c r="AJ351" s="487"/>
      <c r="AK351" s="507"/>
      <c r="AL351" s="479">
        <f t="shared" si="167"/>
        <v>0</v>
      </c>
      <c r="AM351" s="482">
        <f t="shared" si="168"/>
        <v>0</v>
      </c>
      <c r="AN351" s="487"/>
      <c r="AO351" s="488"/>
      <c r="AP351" s="487"/>
      <c r="AQ351" s="488"/>
      <c r="AR351" s="487"/>
      <c r="AS351" s="488"/>
      <c r="AT351" s="487"/>
      <c r="AU351" s="488"/>
      <c r="AV351" s="479">
        <f t="shared" si="169"/>
        <v>0</v>
      </c>
      <c r="AW351" s="483">
        <f t="shared" si="170"/>
        <v>0</v>
      </c>
      <c r="AX351" s="481">
        <f t="shared" si="171"/>
        <v>0</v>
      </c>
      <c r="AY351" s="484">
        <f t="shared" si="172"/>
        <v>0</v>
      </c>
      <c r="AZ351" s="485">
        <f t="shared" si="173"/>
        <v>1052.0811111111111</v>
      </c>
      <c r="BA351" s="481">
        <f t="shared" si="174"/>
        <v>1065.6444444444444</v>
      </c>
    </row>
    <row r="352" spans="1:53">
      <c r="A352" s="672" t="s">
        <v>268</v>
      </c>
      <c r="B352" s="673" t="s">
        <v>678</v>
      </c>
      <c r="C352" s="674"/>
      <c r="D352" s="675">
        <v>199953</v>
      </c>
      <c r="E352" s="556">
        <v>10</v>
      </c>
      <c r="F352" s="486" t="s">
        <v>41</v>
      </c>
      <c r="G352" s="529"/>
      <c r="H352" s="506"/>
      <c r="I352" s="488"/>
      <c r="J352" s="506">
        <v>17037</v>
      </c>
      <c r="K352" s="488">
        <v>16516</v>
      </c>
      <c r="L352" s="506">
        <v>6508</v>
      </c>
      <c r="M352" s="488">
        <v>6822</v>
      </c>
      <c r="N352" s="506">
        <v>17755</v>
      </c>
      <c r="O352" s="488">
        <v>16794</v>
      </c>
      <c r="P352" s="479">
        <f t="shared" si="157"/>
        <v>41300</v>
      </c>
      <c r="Q352" s="480">
        <f t="shared" si="158"/>
        <v>1376.6666666666667</v>
      </c>
      <c r="R352" s="481">
        <f t="shared" si="159"/>
        <v>40132</v>
      </c>
      <c r="S352" s="482">
        <f t="shared" si="160"/>
        <v>1337.7333333333333</v>
      </c>
      <c r="T352" s="506">
        <v>2185</v>
      </c>
      <c r="U352" s="507">
        <v>3405</v>
      </c>
      <c r="V352" s="479">
        <f t="shared" si="161"/>
        <v>41300</v>
      </c>
      <c r="W352" s="478">
        <f t="shared" si="162"/>
        <v>40132</v>
      </c>
      <c r="X352" s="506"/>
      <c r="Y352" s="488"/>
      <c r="Z352" s="506">
        <v>142061</v>
      </c>
      <c r="AA352" s="669">
        <v>162045</v>
      </c>
      <c r="AB352" s="506">
        <v>86191</v>
      </c>
      <c r="AC352" s="670">
        <v>81957</v>
      </c>
      <c r="AD352" s="506">
        <v>138636</v>
      </c>
      <c r="AE352" s="671">
        <v>153064</v>
      </c>
      <c r="AF352" s="479">
        <f t="shared" si="163"/>
        <v>366888</v>
      </c>
      <c r="AG352" s="480">
        <f t="shared" si="164"/>
        <v>407.65333333333331</v>
      </c>
      <c r="AH352" s="481">
        <f t="shared" si="165"/>
        <v>397066</v>
      </c>
      <c r="AI352" s="481">
        <f t="shared" si="166"/>
        <v>441.18444444444447</v>
      </c>
      <c r="AJ352" s="487"/>
      <c r="AK352" s="507"/>
      <c r="AL352" s="479">
        <f t="shared" si="167"/>
        <v>0</v>
      </c>
      <c r="AM352" s="482">
        <f t="shared" si="168"/>
        <v>0</v>
      </c>
      <c r="AN352" s="487"/>
      <c r="AO352" s="488"/>
      <c r="AP352" s="487"/>
      <c r="AQ352" s="488"/>
      <c r="AR352" s="487"/>
      <c r="AS352" s="488"/>
      <c r="AT352" s="487"/>
      <c r="AU352" s="488"/>
      <c r="AV352" s="479">
        <f t="shared" si="169"/>
        <v>0</v>
      </c>
      <c r="AW352" s="483">
        <f t="shared" si="170"/>
        <v>0</v>
      </c>
      <c r="AX352" s="481">
        <f t="shared" si="171"/>
        <v>0</v>
      </c>
      <c r="AY352" s="484">
        <f t="shared" si="172"/>
        <v>0</v>
      </c>
      <c r="AZ352" s="485">
        <f t="shared" si="173"/>
        <v>1784.3200000000002</v>
      </c>
      <c r="BA352" s="481">
        <f t="shared" si="174"/>
        <v>1778.9177777777777</v>
      </c>
    </row>
    <row r="353" spans="1:53" ht="15.75">
      <c r="A353" s="716" t="s">
        <v>272</v>
      </c>
      <c r="B353" s="570" t="s">
        <v>744</v>
      </c>
      <c r="C353" s="717"/>
      <c r="D353" s="718">
        <v>207388</v>
      </c>
      <c r="E353" s="499">
        <v>1</v>
      </c>
      <c r="F353" s="486" t="s">
        <v>41</v>
      </c>
      <c r="G353" s="529" t="s">
        <v>41</v>
      </c>
      <c r="H353" s="506"/>
      <c r="I353" s="488"/>
      <c r="J353" s="506">
        <v>259507</v>
      </c>
      <c r="K353" s="719">
        <v>274206</v>
      </c>
      <c r="L353" s="506">
        <v>33526</v>
      </c>
      <c r="M353" s="720">
        <v>32382</v>
      </c>
      <c r="N353" s="506">
        <v>294208</v>
      </c>
      <c r="O353" s="488">
        <v>302098</v>
      </c>
      <c r="P353" s="479">
        <f t="shared" ref="P353:P379" si="175">SUM(H353,J353,L353,N353)</f>
        <v>587241</v>
      </c>
      <c r="Q353" s="480">
        <f t="shared" ref="Q353:Q379" si="176">+P353/30</f>
        <v>19574.7</v>
      </c>
      <c r="R353" s="481">
        <f t="shared" ref="R353:R379" si="177">SUM(I353,K353,M353,O353)</f>
        <v>608686</v>
      </c>
      <c r="S353" s="482">
        <f t="shared" ref="S353:S379" si="178">+R353/30</f>
        <v>20289.533333333333</v>
      </c>
      <c r="T353" s="506">
        <v>998</v>
      </c>
      <c r="U353" s="721">
        <v>824</v>
      </c>
      <c r="V353" s="479">
        <f t="shared" ref="V353:V379" si="179">IF(ISBLANK(T353),0,P353)</f>
        <v>587241</v>
      </c>
      <c r="W353" s="478">
        <f t="shared" ref="W353:W379" si="180">IF(ISBLANK(U353),0,R353)</f>
        <v>608686</v>
      </c>
      <c r="X353" s="506"/>
      <c r="Y353" s="488"/>
      <c r="Z353" s="506"/>
      <c r="AA353" s="488"/>
      <c r="AB353" s="506"/>
      <c r="AC353" s="488"/>
      <c r="AD353" s="506"/>
      <c r="AE353" s="507"/>
      <c r="AF353" s="479">
        <f t="shared" ref="AF353:AF379" si="181">SUM(X353,Z353,AB353,AD353)</f>
        <v>0</v>
      </c>
      <c r="AG353" s="480">
        <f t="shared" ref="AG353:AG379" si="182">+AF353/900</f>
        <v>0</v>
      </c>
      <c r="AH353" s="481">
        <f t="shared" ref="AH353:AH379" si="183">SUM(Y353,AA353,AC353,AE353)</f>
        <v>0</v>
      </c>
      <c r="AI353" s="481">
        <f t="shared" ref="AI353:AI379" si="184">+AH353/900</f>
        <v>0</v>
      </c>
      <c r="AJ353" s="487"/>
      <c r="AK353" s="507"/>
      <c r="AL353" s="479">
        <f t="shared" ref="AL353:AL379" si="185">IF(ISBLANK(AJ353),0,AF353)</f>
        <v>0</v>
      </c>
      <c r="AM353" s="482">
        <f t="shared" ref="AM353:AM379" si="186">IF(ISBLANK(AK353),0,AH353)</f>
        <v>0</v>
      </c>
      <c r="AN353" s="487"/>
      <c r="AO353" s="488"/>
      <c r="AP353" s="487">
        <v>24070</v>
      </c>
      <c r="AQ353" s="488">
        <v>47452</v>
      </c>
      <c r="AR353" s="487">
        <v>9234</v>
      </c>
      <c r="AS353" s="488">
        <v>13718</v>
      </c>
      <c r="AT353" s="487">
        <v>27049</v>
      </c>
      <c r="AU353" s="488">
        <v>50450</v>
      </c>
      <c r="AV353" s="479">
        <f t="shared" ref="AV353:AV379" si="187">SUM(AN353,AP353,AR353,AT353)</f>
        <v>60353</v>
      </c>
      <c r="AW353" s="483">
        <f t="shared" ref="AW353:AW379" si="188">+AV353/24</f>
        <v>2514.7083333333335</v>
      </c>
      <c r="AX353" s="481">
        <f t="shared" ref="AX353:AX379" si="189">SUM(AO353,AQ353,AS353,AU353)</f>
        <v>111620</v>
      </c>
      <c r="AY353" s="484">
        <f t="shared" ref="AY353:AY379" si="190">+AX353/24</f>
        <v>4650.833333333333</v>
      </c>
      <c r="AZ353" s="485">
        <f t="shared" ref="AZ353:AZ379" si="191">SUM(Q353,AG353,AW353)</f>
        <v>22089.408333333333</v>
      </c>
      <c r="BA353" s="481">
        <f t="shared" ref="BA353:BA379" si="192">SUM(S353,AI353,AY353)</f>
        <v>24940.366666666665</v>
      </c>
    </row>
    <row r="354" spans="1:53" ht="15.75">
      <c r="A354" s="716" t="s">
        <v>272</v>
      </c>
      <c r="B354" s="570" t="s">
        <v>745</v>
      </c>
      <c r="C354" s="717"/>
      <c r="D354" s="718">
        <v>207500</v>
      </c>
      <c r="E354" s="499">
        <v>1</v>
      </c>
      <c r="F354" s="486" t="s">
        <v>41</v>
      </c>
      <c r="G354" s="529" t="s">
        <v>41</v>
      </c>
      <c r="H354" s="506"/>
      <c r="I354" s="488"/>
      <c r="J354" s="506">
        <v>314245</v>
      </c>
      <c r="K354" s="719">
        <v>312399</v>
      </c>
      <c r="L354" s="506">
        <v>52379</v>
      </c>
      <c r="M354" s="720">
        <v>54256</v>
      </c>
      <c r="N354" s="506">
        <v>337875</v>
      </c>
      <c r="O354" s="488">
        <v>341164</v>
      </c>
      <c r="P354" s="479">
        <f t="shared" si="175"/>
        <v>704499</v>
      </c>
      <c r="Q354" s="480">
        <f t="shared" si="176"/>
        <v>23483.3</v>
      </c>
      <c r="R354" s="481">
        <f t="shared" si="177"/>
        <v>707819</v>
      </c>
      <c r="S354" s="482">
        <f t="shared" si="178"/>
        <v>23593.966666666667</v>
      </c>
      <c r="T354" s="506">
        <v>616</v>
      </c>
      <c r="U354" s="721">
        <v>607</v>
      </c>
      <c r="V354" s="479">
        <f t="shared" si="179"/>
        <v>704499</v>
      </c>
      <c r="W354" s="478">
        <f t="shared" si="180"/>
        <v>707819</v>
      </c>
      <c r="X354" s="506"/>
      <c r="Y354" s="488"/>
      <c r="Z354" s="506"/>
      <c r="AA354" s="488"/>
      <c r="AB354" s="506"/>
      <c r="AC354" s="488"/>
      <c r="AD354" s="506"/>
      <c r="AE354" s="507"/>
      <c r="AF354" s="479">
        <f t="shared" si="181"/>
        <v>0</v>
      </c>
      <c r="AG354" s="480">
        <f t="shared" si="182"/>
        <v>0</v>
      </c>
      <c r="AH354" s="481">
        <f t="shared" si="183"/>
        <v>0</v>
      </c>
      <c r="AI354" s="481">
        <f t="shared" si="184"/>
        <v>0</v>
      </c>
      <c r="AJ354" s="487"/>
      <c r="AK354" s="507"/>
      <c r="AL354" s="479">
        <f t="shared" si="185"/>
        <v>0</v>
      </c>
      <c r="AM354" s="482">
        <f t="shared" si="186"/>
        <v>0</v>
      </c>
      <c r="AN354" s="487"/>
      <c r="AO354" s="488"/>
      <c r="AP354" s="487">
        <v>38127</v>
      </c>
      <c r="AQ354" s="488">
        <v>82580</v>
      </c>
      <c r="AR354" s="487">
        <v>12748</v>
      </c>
      <c r="AS354" s="488">
        <v>25928</v>
      </c>
      <c r="AT354" s="487">
        <v>35622</v>
      </c>
      <c r="AU354" s="488">
        <v>86875</v>
      </c>
      <c r="AV354" s="479">
        <f t="shared" si="187"/>
        <v>86497</v>
      </c>
      <c r="AW354" s="483">
        <f t="shared" si="188"/>
        <v>3604.0416666666665</v>
      </c>
      <c r="AX354" s="481">
        <f t="shared" si="189"/>
        <v>195383</v>
      </c>
      <c r="AY354" s="484">
        <f t="shared" si="190"/>
        <v>8140.958333333333</v>
      </c>
      <c r="AZ354" s="485">
        <f t="shared" si="191"/>
        <v>27087.341666666667</v>
      </c>
      <c r="BA354" s="481">
        <f t="shared" si="192"/>
        <v>31734.924999999999</v>
      </c>
    </row>
    <row r="355" spans="1:53" ht="15.75">
      <c r="A355" s="716" t="s">
        <v>272</v>
      </c>
      <c r="B355" s="570" t="s">
        <v>746</v>
      </c>
      <c r="C355" s="717"/>
      <c r="D355" s="718">
        <v>207263</v>
      </c>
      <c r="E355" s="499">
        <v>3</v>
      </c>
      <c r="F355" s="486" t="s">
        <v>41</v>
      </c>
      <c r="G355" s="529" t="s">
        <v>41</v>
      </c>
      <c r="H355" s="506"/>
      <c r="I355" s="488"/>
      <c r="J355" s="506">
        <v>86831</v>
      </c>
      <c r="K355" s="719">
        <v>83094</v>
      </c>
      <c r="L355" s="506">
        <v>15474</v>
      </c>
      <c r="M355" s="720">
        <v>15205</v>
      </c>
      <c r="N355" s="506">
        <v>90882</v>
      </c>
      <c r="O355" s="488">
        <v>89357</v>
      </c>
      <c r="P355" s="479">
        <f t="shared" si="175"/>
        <v>193187</v>
      </c>
      <c r="Q355" s="480">
        <f t="shared" si="176"/>
        <v>6439.5666666666666</v>
      </c>
      <c r="R355" s="481">
        <f t="shared" si="177"/>
        <v>187656</v>
      </c>
      <c r="S355" s="482">
        <f t="shared" si="178"/>
        <v>6255.2</v>
      </c>
      <c r="T355" s="506">
        <v>1300</v>
      </c>
      <c r="U355" s="721">
        <v>1704</v>
      </c>
      <c r="V355" s="479">
        <f t="shared" si="179"/>
        <v>193187</v>
      </c>
      <c r="W355" s="478">
        <f t="shared" si="180"/>
        <v>187656</v>
      </c>
      <c r="X355" s="506"/>
      <c r="Y355" s="488"/>
      <c r="Z355" s="506"/>
      <c r="AA355" s="488"/>
      <c r="AB355" s="506"/>
      <c r="AC355" s="488"/>
      <c r="AD355" s="506"/>
      <c r="AE355" s="507"/>
      <c r="AF355" s="479">
        <f t="shared" si="181"/>
        <v>0</v>
      </c>
      <c r="AG355" s="480">
        <f t="shared" si="182"/>
        <v>0</v>
      </c>
      <c r="AH355" s="481">
        <f t="shared" si="183"/>
        <v>0</v>
      </c>
      <c r="AI355" s="481">
        <f t="shared" si="184"/>
        <v>0</v>
      </c>
      <c r="AJ355" s="487"/>
      <c r="AK355" s="507"/>
      <c r="AL355" s="479">
        <f t="shared" si="185"/>
        <v>0</v>
      </c>
      <c r="AM355" s="482">
        <f t="shared" si="186"/>
        <v>0</v>
      </c>
      <c r="AN355" s="487"/>
      <c r="AO355" s="488"/>
      <c r="AP355" s="487">
        <v>7492</v>
      </c>
      <c r="AQ355" s="488">
        <v>8563</v>
      </c>
      <c r="AR355" s="487">
        <v>3335</v>
      </c>
      <c r="AS355" s="488">
        <v>3299</v>
      </c>
      <c r="AT355" s="487">
        <v>7431</v>
      </c>
      <c r="AU355" s="488">
        <v>8824</v>
      </c>
      <c r="AV355" s="479">
        <f t="shared" si="187"/>
        <v>18258</v>
      </c>
      <c r="AW355" s="483">
        <f t="shared" si="188"/>
        <v>760.75</v>
      </c>
      <c r="AX355" s="481">
        <f t="shared" si="189"/>
        <v>20686</v>
      </c>
      <c r="AY355" s="484">
        <f t="shared" si="190"/>
        <v>861.91666666666663</v>
      </c>
      <c r="AZ355" s="485">
        <f t="shared" si="191"/>
        <v>7200.3166666666666</v>
      </c>
      <c r="BA355" s="481">
        <f t="shared" si="192"/>
        <v>7117.1166666666668</v>
      </c>
    </row>
    <row r="356" spans="1:53" ht="15.75">
      <c r="A356" s="716" t="s">
        <v>272</v>
      </c>
      <c r="B356" s="570" t="s">
        <v>747</v>
      </c>
      <c r="C356" s="717"/>
      <c r="D356" s="718">
        <v>206941</v>
      </c>
      <c r="E356" s="499">
        <v>3</v>
      </c>
      <c r="F356" s="486" t="s">
        <v>41</v>
      </c>
      <c r="G356" s="529" t="s">
        <v>41</v>
      </c>
      <c r="H356" s="506"/>
      <c r="I356" s="488"/>
      <c r="J356" s="506">
        <v>163897</v>
      </c>
      <c r="K356" s="719">
        <v>166295</v>
      </c>
      <c r="L356" s="506">
        <v>28595</v>
      </c>
      <c r="M356" s="720">
        <v>28644</v>
      </c>
      <c r="N356" s="506">
        <v>180666</v>
      </c>
      <c r="O356" s="488">
        <v>179066</v>
      </c>
      <c r="P356" s="479">
        <f t="shared" si="175"/>
        <v>373158</v>
      </c>
      <c r="Q356" s="480">
        <f t="shared" si="176"/>
        <v>12438.6</v>
      </c>
      <c r="R356" s="481">
        <f t="shared" si="177"/>
        <v>374005</v>
      </c>
      <c r="S356" s="482">
        <f t="shared" si="178"/>
        <v>12466.833333333334</v>
      </c>
      <c r="T356" s="506">
        <v>2519</v>
      </c>
      <c r="U356" s="721">
        <v>4204</v>
      </c>
      <c r="V356" s="479">
        <f t="shared" si="179"/>
        <v>373158</v>
      </c>
      <c r="W356" s="478">
        <f t="shared" si="180"/>
        <v>374005</v>
      </c>
      <c r="X356" s="506"/>
      <c r="Y356" s="488"/>
      <c r="Z356" s="506"/>
      <c r="AA356" s="488"/>
      <c r="AB356" s="506"/>
      <c r="AC356" s="488"/>
      <c r="AD356" s="506"/>
      <c r="AE356" s="507"/>
      <c r="AF356" s="479">
        <f t="shared" si="181"/>
        <v>0</v>
      </c>
      <c r="AG356" s="480">
        <f t="shared" si="182"/>
        <v>0</v>
      </c>
      <c r="AH356" s="481">
        <f t="shared" si="183"/>
        <v>0</v>
      </c>
      <c r="AI356" s="481">
        <f t="shared" si="184"/>
        <v>0</v>
      </c>
      <c r="AJ356" s="487"/>
      <c r="AK356" s="507"/>
      <c r="AL356" s="479">
        <f t="shared" si="185"/>
        <v>0</v>
      </c>
      <c r="AM356" s="482">
        <f t="shared" si="186"/>
        <v>0</v>
      </c>
      <c r="AN356" s="487"/>
      <c r="AO356" s="488"/>
      <c r="AP356" s="487">
        <v>11539</v>
      </c>
      <c r="AQ356" s="488">
        <v>12128</v>
      </c>
      <c r="AR356" s="487">
        <v>4218</v>
      </c>
      <c r="AS356" s="488">
        <v>4293</v>
      </c>
      <c r="AT356" s="487">
        <v>11757</v>
      </c>
      <c r="AU356" s="488">
        <v>25306</v>
      </c>
      <c r="AV356" s="479">
        <f t="shared" si="187"/>
        <v>27514</v>
      </c>
      <c r="AW356" s="483">
        <f t="shared" si="188"/>
        <v>1146.4166666666667</v>
      </c>
      <c r="AX356" s="481">
        <f t="shared" si="189"/>
        <v>41727</v>
      </c>
      <c r="AY356" s="484">
        <f t="shared" si="190"/>
        <v>1738.625</v>
      </c>
      <c r="AZ356" s="485">
        <f t="shared" si="191"/>
        <v>13585.016666666666</v>
      </c>
      <c r="BA356" s="481">
        <f t="shared" si="192"/>
        <v>14205.458333333334</v>
      </c>
    </row>
    <row r="357" spans="1:53" ht="15.75">
      <c r="A357" s="716" t="s">
        <v>272</v>
      </c>
      <c r="B357" s="570" t="s">
        <v>748</v>
      </c>
      <c r="C357" s="722"/>
      <c r="D357" s="566">
        <v>207847</v>
      </c>
      <c r="E357" s="728">
        <v>4</v>
      </c>
      <c r="F357" s="486" t="s">
        <v>41</v>
      </c>
      <c r="G357" s="529" t="s">
        <v>41</v>
      </c>
      <c r="H357" s="506"/>
      <c r="I357" s="488"/>
      <c r="J357" s="506">
        <v>41811</v>
      </c>
      <c r="K357" s="719">
        <v>39690</v>
      </c>
      <c r="L357" s="506">
        <v>8004</v>
      </c>
      <c r="M357" s="720">
        <v>7040</v>
      </c>
      <c r="N357" s="506">
        <v>45411</v>
      </c>
      <c r="O357" s="488">
        <v>43037</v>
      </c>
      <c r="P357" s="479">
        <f t="shared" si="175"/>
        <v>95226</v>
      </c>
      <c r="Q357" s="480">
        <f t="shared" si="176"/>
        <v>3174.2</v>
      </c>
      <c r="R357" s="481">
        <f t="shared" si="177"/>
        <v>89767</v>
      </c>
      <c r="S357" s="482">
        <f t="shared" si="178"/>
        <v>2992.2333333333331</v>
      </c>
      <c r="T357" s="506">
        <v>1448</v>
      </c>
      <c r="U357" s="721">
        <v>1599</v>
      </c>
      <c r="V357" s="479">
        <f t="shared" si="179"/>
        <v>95226</v>
      </c>
      <c r="W357" s="478">
        <f t="shared" si="180"/>
        <v>89767</v>
      </c>
      <c r="X357" s="506"/>
      <c r="Y357" s="488"/>
      <c r="Z357" s="506"/>
      <c r="AA357" s="488"/>
      <c r="AB357" s="506"/>
      <c r="AC357" s="488"/>
      <c r="AD357" s="506"/>
      <c r="AE357" s="507"/>
      <c r="AF357" s="479">
        <f t="shared" si="181"/>
        <v>0</v>
      </c>
      <c r="AG357" s="480">
        <f t="shared" si="182"/>
        <v>0</v>
      </c>
      <c r="AH357" s="481">
        <f t="shared" si="183"/>
        <v>0</v>
      </c>
      <c r="AI357" s="481">
        <f t="shared" si="184"/>
        <v>0</v>
      </c>
      <c r="AJ357" s="487"/>
      <c r="AK357" s="507"/>
      <c r="AL357" s="479">
        <f t="shared" si="185"/>
        <v>0</v>
      </c>
      <c r="AM357" s="482">
        <f t="shared" si="186"/>
        <v>0</v>
      </c>
      <c r="AN357" s="487"/>
      <c r="AO357" s="488"/>
      <c r="AP357" s="487">
        <v>2410</v>
      </c>
      <c r="AQ357" s="488">
        <v>2602</v>
      </c>
      <c r="AR357" s="487">
        <v>1174</v>
      </c>
      <c r="AS357" s="488">
        <v>941</v>
      </c>
      <c r="AT357" s="487">
        <v>2530</v>
      </c>
      <c r="AU357" s="488">
        <v>2202</v>
      </c>
      <c r="AV357" s="479">
        <f t="shared" si="187"/>
        <v>6114</v>
      </c>
      <c r="AW357" s="483">
        <f t="shared" si="188"/>
        <v>254.75</v>
      </c>
      <c r="AX357" s="481">
        <f t="shared" si="189"/>
        <v>5745</v>
      </c>
      <c r="AY357" s="484">
        <f t="shared" si="190"/>
        <v>239.375</v>
      </c>
      <c r="AZ357" s="485">
        <f t="shared" si="191"/>
        <v>3428.95</v>
      </c>
      <c r="BA357" s="481">
        <f t="shared" si="192"/>
        <v>3231.6083333333331</v>
      </c>
    </row>
    <row r="358" spans="1:53" ht="15.75">
      <c r="A358" s="716" t="s">
        <v>272</v>
      </c>
      <c r="B358" s="570" t="s">
        <v>749</v>
      </c>
      <c r="C358" s="717"/>
      <c r="D358" s="718">
        <v>206914</v>
      </c>
      <c r="E358" s="499">
        <v>5</v>
      </c>
      <c r="F358" s="486" t="s">
        <v>41</v>
      </c>
      <c r="G358" s="529" t="s">
        <v>41</v>
      </c>
      <c r="H358" s="506"/>
      <c r="I358" s="488"/>
      <c r="J358" s="506">
        <v>60635</v>
      </c>
      <c r="K358" s="719">
        <v>57607</v>
      </c>
      <c r="L358" s="506">
        <v>11716</v>
      </c>
      <c r="M358" s="720">
        <v>10535</v>
      </c>
      <c r="N358" s="506">
        <v>61744</v>
      </c>
      <c r="O358" s="488">
        <v>59374</v>
      </c>
      <c r="P358" s="479">
        <f t="shared" si="175"/>
        <v>134095</v>
      </c>
      <c r="Q358" s="480">
        <f t="shared" si="176"/>
        <v>4469.833333333333</v>
      </c>
      <c r="R358" s="481">
        <f t="shared" si="177"/>
        <v>127516</v>
      </c>
      <c r="S358" s="482">
        <f t="shared" si="178"/>
        <v>4250.5333333333338</v>
      </c>
      <c r="T358" s="506">
        <v>2445</v>
      </c>
      <c r="U358" s="721">
        <v>2477</v>
      </c>
      <c r="V358" s="479">
        <f t="shared" si="179"/>
        <v>134095</v>
      </c>
      <c r="W358" s="478">
        <f t="shared" si="180"/>
        <v>127516</v>
      </c>
      <c r="X358" s="506"/>
      <c r="Y358" s="488"/>
      <c r="Z358" s="506"/>
      <c r="AA358" s="488"/>
      <c r="AB358" s="506"/>
      <c r="AC358" s="488"/>
      <c r="AD358" s="506"/>
      <c r="AE358" s="507"/>
      <c r="AF358" s="479">
        <f t="shared" si="181"/>
        <v>0</v>
      </c>
      <c r="AG358" s="480">
        <f t="shared" si="182"/>
        <v>0</v>
      </c>
      <c r="AH358" s="481">
        <f t="shared" si="183"/>
        <v>0</v>
      </c>
      <c r="AI358" s="481">
        <f t="shared" si="184"/>
        <v>0</v>
      </c>
      <c r="AJ358" s="487"/>
      <c r="AK358" s="507"/>
      <c r="AL358" s="479">
        <f t="shared" si="185"/>
        <v>0</v>
      </c>
      <c r="AM358" s="482">
        <f t="shared" si="186"/>
        <v>0</v>
      </c>
      <c r="AN358" s="487"/>
      <c r="AO358" s="488"/>
      <c r="AP358" s="487">
        <v>3347</v>
      </c>
      <c r="AQ358" s="488">
        <v>3457</v>
      </c>
      <c r="AR358" s="487">
        <v>988</v>
      </c>
      <c r="AS358" s="488">
        <v>1314</v>
      </c>
      <c r="AT358" s="487">
        <v>3504</v>
      </c>
      <c r="AU358" s="488">
        <v>3571</v>
      </c>
      <c r="AV358" s="479">
        <f t="shared" si="187"/>
        <v>7839</v>
      </c>
      <c r="AW358" s="483">
        <f t="shared" si="188"/>
        <v>326.625</v>
      </c>
      <c r="AX358" s="481">
        <f t="shared" si="189"/>
        <v>8342</v>
      </c>
      <c r="AY358" s="484">
        <f t="shared" si="190"/>
        <v>347.58333333333331</v>
      </c>
      <c r="AZ358" s="485">
        <f t="shared" si="191"/>
        <v>4796.458333333333</v>
      </c>
      <c r="BA358" s="481">
        <f t="shared" si="192"/>
        <v>4598.1166666666668</v>
      </c>
    </row>
    <row r="359" spans="1:53" ht="15.75">
      <c r="A359" s="716" t="s">
        <v>272</v>
      </c>
      <c r="B359" s="570" t="s">
        <v>750</v>
      </c>
      <c r="C359" s="717"/>
      <c r="D359" s="718">
        <v>207041</v>
      </c>
      <c r="E359" s="499">
        <v>5</v>
      </c>
      <c r="F359" s="486" t="s">
        <v>41</v>
      </c>
      <c r="G359" s="529" t="s">
        <v>41</v>
      </c>
      <c r="H359" s="506"/>
      <c r="I359" s="488"/>
      <c r="J359" s="506">
        <v>46720</v>
      </c>
      <c r="K359" s="719">
        <v>45015</v>
      </c>
      <c r="L359" s="506">
        <v>8024</v>
      </c>
      <c r="M359" s="720">
        <v>7497</v>
      </c>
      <c r="N359" s="506">
        <v>48635</v>
      </c>
      <c r="O359" s="488">
        <v>48502</v>
      </c>
      <c r="P359" s="479">
        <f t="shared" si="175"/>
        <v>103379</v>
      </c>
      <c r="Q359" s="480">
        <f t="shared" si="176"/>
        <v>3445.9666666666667</v>
      </c>
      <c r="R359" s="481">
        <f t="shared" si="177"/>
        <v>101014</v>
      </c>
      <c r="S359" s="482">
        <f t="shared" si="178"/>
        <v>3367.1333333333332</v>
      </c>
      <c r="T359" s="506">
        <v>1027</v>
      </c>
      <c r="U359" s="721">
        <v>1190</v>
      </c>
      <c r="V359" s="479">
        <f t="shared" si="179"/>
        <v>103379</v>
      </c>
      <c r="W359" s="478">
        <f t="shared" si="180"/>
        <v>101014</v>
      </c>
      <c r="X359" s="506"/>
      <c r="Y359" s="488"/>
      <c r="Z359" s="506"/>
      <c r="AA359" s="488"/>
      <c r="AB359" s="506"/>
      <c r="AC359" s="488"/>
      <c r="AD359" s="506"/>
      <c r="AE359" s="507"/>
      <c r="AF359" s="479">
        <f t="shared" si="181"/>
        <v>0</v>
      </c>
      <c r="AG359" s="480">
        <f t="shared" si="182"/>
        <v>0</v>
      </c>
      <c r="AH359" s="481">
        <f t="shared" si="183"/>
        <v>0</v>
      </c>
      <c r="AI359" s="481">
        <f t="shared" si="184"/>
        <v>0</v>
      </c>
      <c r="AJ359" s="487"/>
      <c r="AK359" s="507"/>
      <c r="AL359" s="479">
        <f t="shared" si="185"/>
        <v>0</v>
      </c>
      <c r="AM359" s="482">
        <f t="shared" si="186"/>
        <v>0</v>
      </c>
      <c r="AN359" s="487"/>
      <c r="AO359" s="488"/>
      <c r="AP359" s="487">
        <v>5990</v>
      </c>
      <c r="AQ359" s="488">
        <v>5885</v>
      </c>
      <c r="AR359" s="487">
        <v>3661</v>
      </c>
      <c r="AS359" s="488">
        <v>3533</v>
      </c>
      <c r="AT359" s="487">
        <v>5950</v>
      </c>
      <c r="AU359" s="488">
        <v>5542</v>
      </c>
      <c r="AV359" s="479">
        <f t="shared" si="187"/>
        <v>15601</v>
      </c>
      <c r="AW359" s="483">
        <f t="shared" si="188"/>
        <v>650.04166666666663</v>
      </c>
      <c r="AX359" s="481">
        <f t="shared" si="189"/>
        <v>14960</v>
      </c>
      <c r="AY359" s="484">
        <f t="shared" si="190"/>
        <v>623.33333333333337</v>
      </c>
      <c r="AZ359" s="485">
        <f t="shared" si="191"/>
        <v>4096.0083333333332</v>
      </c>
      <c r="BA359" s="481">
        <f t="shared" si="192"/>
        <v>3990.4666666666667</v>
      </c>
    </row>
    <row r="360" spans="1:53" ht="15.75">
      <c r="A360" s="716" t="s">
        <v>272</v>
      </c>
      <c r="B360" s="570" t="s">
        <v>751</v>
      </c>
      <c r="C360" s="717"/>
      <c r="D360" s="718">
        <v>207209</v>
      </c>
      <c r="E360" s="499">
        <v>5</v>
      </c>
      <c r="F360" s="486" t="s">
        <v>41</v>
      </c>
      <c r="G360" s="529" t="s">
        <v>41</v>
      </c>
      <c r="H360" s="506"/>
      <c r="I360" s="488"/>
      <c r="J360" s="506">
        <v>27455</v>
      </c>
      <c r="K360" s="719">
        <v>23523</v>
      </c>
      <c r="L360" s="506">
        <v>3351</v>
      </c>
      <c r="M360" s="720">
        <v>2939</v>
      </c>
      <c r="N360" s="506">
        <v>26789</v>
      </c>
      <c r="O360" s="488">
        <v>28053</v>
      </c>
      <c r="P360" s="479">
        <f t="shared" si="175"/>
        <v>57595</v>
      </c>
      <c r="Q360" s="480">
        <f t="shared" si="176"/>
        <v>1919.8333333333333</v>
      </c>
      <c r="R360" s="481">
        <f t="shared" si="177"/>
        <v>54515</v>
      </c>
      <c r="S360" s="482">
        <f t="shared" si="178"/>
        <v>1817.1666666666667</v>
      </c>
      <c r="T360" s="506">
        <v>0</v>
      </c>
      <c r="U360" s="721">
        <v>20</v>
      </c>
      <c r="V360" s="479">
        <f t="shared" si="179"/>
        <v>57595</v>
      </c>
      <c r="W360" s="478">
        <f t="shared" si="180"/>
        <v>54515</v>
      </c>
      <c r="X360" s="506"/>
      <c r="Y360" s="488"/>
      <c r="Z360" s="506"/>
      <c r="AA360" s="488"/>
      <c r="AB360" s="506"/>
      <c r="AC360" s="488"/>
      <c r="AD360" s="506"/>
      <c r="AE360" s="507"/>
      <c r="AF360" s="479">
        <f t="shared" si="181"/>
        <v>0</v>
      </c>
      <c r="AG360" s="480">
        <f t="shared" si="182"/>
        <v>0</v>
      </c>
      <c r="AH360" s="481">
        <f t="shared" si="183"/>
        <v>0</v>
      </c>
      <c r="AI360" s="481">
        <f t="shared" si="184"/>
        <v>0</v>
      </c>
      <c r="AJ360" s="487"/>
      <c r="AK360" s="507"/>
      <c r="AL360" s="479">
        <f t="shared" si="185"/>
        <v>0</v>
      </c>
      <c r="AM360" s="482">
        <f t="shared" si="186"/>
        <v>0</v>
      </c>
      <c r="AN360" s="487"/>
      <c r="AO360" s="488"/>
      <c r="AP360" s="487">
        <v>3637</v>
      </c>
      <c r="AQ360" s="488">
        <v>3380</v>
      </c>
      <c r="AR360" s="487">
        <v>2034</v>
      </c>
      <c r="AS360" s="488">
        <v>1388</v>
      </c>
      <c r="AT360" s="487">
        <v>3351</v>
      </c>
      <c r="AU360" s="488">
        <v>3194</v>
      </c>
      <c r="AV360" s="479">
        <f t="shared" si="187"/>
        <v>9022</v>
      </c>
      <c r="AW360" s="483">
        <f t="shared" si="188"/>
        <v>375.91666666666669</v>
      </c>
      <c r="AX360" s="481">
        <f t="shared" si="189"/>
        <v>7962</v>
      </c>
      <c r="AY360" s="484">
        <f t="shared" si="190"/>
        <v>331.75</v>
      </c>
      <c r="AZ360" s="485">
        <f t="shared" si="191"/>
        <v>2295.75</v>
      </c>
      <c r="BA360" s="481">
        <f t="shared" si="192"/>
        <v>2148.916666666667</v>
      </c>
    </row>
    <row r="361" spans="1:53" ht="15.75">
      <c r="A361" s="723" t="s">
        <v>272</v>
      </c>
      <c r="B361" s="570" t="s">
        <v>752</v>
      </c>
      <c r="C361" s="717"/>
      <c r="D361" s="718">
        <v>207306</v>
      </c>
      <c r="E361" s="499">
        <v>5</v>
      </c>
      <c r="F361" s="486" t="s">
        <v>41</v>
      </c>
      <c r="G361" s="529" t="s">
        <v>41</v>
      </c>
      <c r="H361" s="506"/>
      <c r="I361" s="488"/>
      <c r="J361" s="506">
        <v>22497</v>
      </c>
      <c r="K361" s="719">
        <v>23196</v>
      </c>
      <c r="L361" s="506">
        <v>3327</v>
      </c>
      <c r="M361" s="720">
        <v>3559</v>
      </c>
      <c r="N361" s="506">
        <v>25327</v>
      </c>
      <c r="O361" s="488">
        <v>25394</v>
      </c>
      <c r="P361" s="479">
        <f t="shared" si="175"/>
        <v>51151</v>
      </c>
      <c r="Q361" s="480">
        <f t="shared" si="176"/>
        <v>1705.0333333333333</v>
      </c>
      <c r="R361" s="481">
        <f t="shared" si="177"/>
        <v>52149</v>
      </c>
      <c r="S361" s="482">
        <f t="shared" si="178"/>
        <v>1738.3</v>
      </c>
      <c r="T361" s="506">
        <v>547</v>
      </c>
      <c r="U361" s="721">
        <v>558</v>
      </c>
      <c r="V361" s="479">
        <f t="shared" si="179"/>
        <v>51151</v>
      </c>
      <c r="W361" s="478">
        <f t="shared" si="180"/>
        <v>52149</v>
      </c>
      <c r="X361" s="506"/>
      <c r="Y361" s="488"/>
      <c r="Z361" s="506"/>
      <c r="AA361" s="488"/>
      <c r="AB361" s="506"/>
      <c r="AC361" s="488"/>
      <c r="AD361" s="506"/>
      <c r="AE361" s="507"/>
      <c r="AF361" s="479">
        <f t="shared" si="181"/>
        <v>0</v>
      </c>
      <c r="AG361" s="480">
        <f t="shared" si="182"/>
        <v>0</v>
      </c>
      <c r="AH361" s="481">
        <f t="shared" si="183"/>
        <v>0</v>
      </c>
      <c r="AI361" s="481">
        <f t="shared" si="184"/>
        <v>0</v>
      </c>
      <c r="AJ361" s="487"/>
      <c r="AK361" s="507"/>
      <c r="AL361" s="479">
        <f t="shared" si="185"/>
        <v>0</v>
      </c>
      <c r="AM361" s="482">
        <f t="shared" si="186"/>
        <v>0</v>
      </c>
      <c r="AN361" s="487"/>
      <c r="AO361" s="488"/>
      <c r="AP361" s="487">
        <v>1025</v>
      </c>
      <c r="AQ361" s="488">
        <v>1766</v>
      </c>
      <c r="AR361" s="487">
        <v>830</v>
      </c>
      <c r="AS361" s="488">
        <v>897</v>
      </c>
      <c r="AT361" s="487">
        <v>1127</v>
      </c>
      <c r="AU361" s="488">
        <v>1555</v>
      </c>
      <c r="AV361" s="479">
        <f t="shared" si="187"/>
        <v>2982</v>
      </c>
      <c r="AW361" s="483">
        <f t="shared" si="188"/>
        <v>124.25</v>
      </c>
      <c r="AX361" s="481">
        <f t="shared" si="189"/>
        <v>4218</v>
      </c>
      <c r="AY361" s="484">
        <f t="shared" si="190"/>
        <v>175.75</v>
      </c>
      <c r="AZ361" s="485">
        <f t="shared" si="191"/>
        <v>1829.2833333333333</v>
      </c>
      <c r="BA361" s="481">
        <f t="shared" si="192"/>
        <v>1914.05</v>
      </c>
    </row>
    <row r="362" spans="1:53" ht="15.75">
      <c r="A362" s="716" t="s">
        <v>272</v>
      </c>
      <c r="B362" s="570" t="s">
        <v>753</v>
      </c>
      <c r="C362" s="717"/>
      <c r="D362" s="718">
        <v>207865</v>
      </c>
      <c r="E362" s="499">
        <v>5</v>
      </c>
      <c r="F362" s="486" t="s">
        <v>41</v>
      </c>
      <c r="G362" s="529" t="s">
        <v>41</v>
      </c>
      <c r="H362" s="506"/>
      <c r="I362" s="488"/>
      <c r="J362" s="506">
        <v>53247</v>
      </c>
      <c r="K362" s="719">
        <v>51998</v>
      </c>
      <c r="L362" s="506">
        <v>8776</v>
      </c>
      <c r="M362" s="720">
        <v>8139</v>
      </c>
      <c r="N362" s="506">
        <v>58520</v>
      </c>
      <c r="O362" s="488">
        <v>57130</v>
      </c>
      <c r="P362" s="479">
        <f t="shared" si="175"/>
        <v>120543</v>
      </c>
      <c r="Q362" s="480">
        <f t="shared" si="176"/>
        <v>4018.1</v>
      </c>
      <c r="R362" s="481">
        <f t="shared" si="177"/>
        <v>117267</v>
      </c>
      <c r="S362" s="482">
        <f t="shared" si="178"/>
        <v>3908.9</v>
      </c>
      <c r="T362" s="506">
        <v>1482</v>
      </c>
      <c r="U362" s="721">
        <v>1599</v>
      </c>
      <c r="V362" s="479">
        <f t="shared" si="179"/>
        <v>120543</v>
      </c>
      <c r="W362" s="478">
        <f t="shared" si="180"/>
        <v>117267</v>
      </c>
      <c r="X362" s="506"/>
      <c r="Y362" s="488"/>
      <c r="Z362" s="506"/>
      <c r="AA362" s="488"/>
      <c r="AB362" s="506"/>
      <c r="AC362" s="488"/>
      <c r="AD362" s="506"/>
      <c r="AE362" s="507"/>
      <c r="AF362" s="479">
        <f t="shared" si="181"/>
        <v>0</v>
      </c>
      <c r="AG362" s="480">
        <f t="shared" si="182"/>
        <v>0</v>
      </c>
      <c r="AH362" s="481">
        <f t="shared" si="183"/>
        <v>0</v>
      </c>
      <c r="AI362" s="481">
        <f t="shared" si="184"/>
        <v>0</v>
      </c>
      <c r="AJ362" s="487"/>
      <c r="AK362" s="507"/>
      <c r="AL362" s="479">
        <f t="shared" si="185"/>
        <v>0</v>
      </c>
      <c r="AM362" s="482">
        <f t="shared" si="186"/>
        <v>0</v>
      </c>
      <c r="AN362" s="487"/>
      <c r="AO362" s="488"/>
      <c r="AP362" s="487">
        <v>5807</v>
      </c>
      <c r="AQ362" s="488">
        <v>8477</v>
      </c>
      <c r="AR362" s="487">
        <v>2350</v>
      </c>
      <c r="AS362" s="488">
        <v>2083</v>
      </c>
      <c r="AT362" s="487">
        <v>5241</v>
      </c>
      <c r="AU362" s="488">
        <v>8477</v>
      </c>
      <c r="AV362" s="479">
        <f t="shared" si="187"/>
        <v>13398</v>
      </c>
      <c r="AW362" s="483">
        <f t="shared" si="188"/>
        <v>558.25</v>
      </c>
      <c r="AX362" s="481">
        <f t="shared" si="189"/>
        <v>19037</v>
      </c>
      <c r="AY362" s="484">
        <f t="shared" si="190"/>
        <v>793.20833333333337</v>
      </c>
      <c r="AZ362" s="485">
        <f t="shared" si="191"/>
        <v>4576.3500000000004</v>
      </c>
      <c r="BA362" s="481">
        <f t="shared" si="192"/>
        <v>4702.1083333333336</v>
      </c>
    </row>
    <row r="363" spans="1:53" ht="15.75">
      <c r="A363" s="716" t="s">
        <v>272</v>
      </c>
      <c r="B363" s="570" t="s">
        <v>754</v>
      </c>
      <c r="C363" s="717"/>
      <c r="D363" s="718">
        <v>207351</v>
      </c>
      <c r="E363" s="499">
        <v>6</v>
      </c>
      <c r="F363" s="486" t="s">
        <v>41</v>
      </c>
      <c r="G363" s="529" t="s">
        <v>41</v>
      </c>
      <c r="H363" s="506"/>
      <c r="I363" s="488"/>
      <c r="J363" s="506">
        <v>19721</v>
      </c>
      <c r="K363" s="719">
        <v>18177</v>
      </c>
      <c r="L363" s="506">
        <v>1777</v>
      </c>
      <c r="M363" s="720">
        <v>1811</v>
      </c>
      <c r="N363" s="506">
        <v>21010</v>
      </c>
      <c r="O363" s="488">
        <v>17572</v>
      </c>
      <c r="P363" s="479">
        <f t="shared" si="175"/>
        <v>42508</v>
      </c>
      <c r="Q363" s="480">
        <f t="shared" si="176"/>
        <v>1416.9333333333334</v>
      </c>
      <c r="R363" s="481">
        <f t="shared" si="177"/>
        <v>37560</v>
      </c>
      <c r="S363" s="482">
        <f t="shared" si="178"/>
        <v>1252</v>
      </c>
      <c r="T363" s="506">
        <v>445</v>
      </c>
      <c r="U363" s="721">
        <v>675</v>
      </c>
      <c r="V363" s="479">
        <f t="shared" si="179"/>
        <v>42508</v>
      </c>
      <c r="W363" s="478">
        <f t="shared" si="180"/>
        <v>37560</v>
      </c>
      <c r="X363" s="506"/>
      <c r="Y363" s="488"/>
      <c r="Z363" s="506"/>
      <c r="AA363" s="488"/>
      <c r="AB363" s="506"/>
      <c r="AC363" s="488"/>
      <c r="AD363" s="506"/>
      <c r="AE363" s="507"/>
      <c r="AF363" s="479">
        <f t="shared" si="181"/>
        <v>0</v>
      </c>
      <c r="AG363" s="480">
        <f t="shared" si="182"/>
        <v>0</v>
      </c>
      <c r="AH363" s="481">
        <f t="shared" si="183"/>
        <v>0</v>
      </c>
      <c r="AI363" s="481">
        <f t="shared" si="184"/>
        <v>0</v>
      </c>
      <c r="AJ363" s="487"/>
      <c r="AK363" s="507"/>
      <c r="AL363" s="479">
        <f t="shared" si="185"/>
        <v>0</v>
      </c>
      <c r="AM363" s="482">
        <f t="shared" si="186"/>
        <v>0</v>
      </c>
      <c r="AN363" s="487"/>
      <c r="AO363" s="488"/>
      <c r="AP363" s="487"/>
      <c r="AQ363" s="488"/>
      <c r="AR363" s="487"/>
      <c r="AS363" s="488"/>
      <c r="AT363" s="487"/>
      <c r="AU363" s="488"/>
      <c r="AV363" s="479">
        <f t="shared" si="187"/>
        <v>0</v>
      </c>
      <c r="AW363" s="483">
        <f t="shared" si="188"/>
        <v>0</v>
      </c>
      <c r="AX363" s="481">
        <f t="shared" si="189"/>
        <v>0</v>
      </c>
      <c r="AY363" s="484">
        <f t="shared" si="190"/>
        <v>0</v>
      </c>
      <c r="AZ363" s="485">
        <f t="shared" si="191"/>
        <v>1416.9333333333334</v>
      </c>
      <c r="BA363" s="481">
        <f t="shared" si="192"/>
        <v>1252</v>
      </c>
    </row>
    <row r="364" spans="1:53" ht="15.75">
      <c r="A364" s="572" t="s">
        <v>272</v>
      </c>
      <c r="B364" s="724" t="s">
        <v>755</v>
      </c>
      <c r="C364" s="725"/>
      <c r="D364" s="569">
        <v>207661</v>
      </c>
      <c r="E364" s="726">
        <v>6</v>
      </c>
      <c r="F364" s="486" t="s">
        <v>41</v>
      </c>
      <c r="G364" s="529" t="s">
        <v>41</v>
      </c>
      <c r="H364" s="506"/>
      <c r="I364" s="488"/>
      <c r="J364" s="506">
        <v>47320</v>
      </c>
      <c r="K364" s="719">
        <v>45591</v>
      </c>
      <c r="L364" s="506">
        <v>7856</v>
      </c>
      <c r="M364" s="720">
        <v>6673</v>
      </c>
      <c r="N364" s="506">
        <v>51001</v>
      </c>
      <c r="O364" s="488">
        <v>47061</v>
      </c>
      <c r="P364" s="479">
        <f t="shared" si="175"/>
        <v>106177</v>
      </c>
      <c r="Q364" s="480">
        <f t="shared" si="176"/>
        <v>3539.2333333333331</v>
      </c>
      <c r="R364" s="481">
        <f t="shared" si="177"/>
        <v>99325</v>
      </c>
      <c r="S364" s="482">
        <f t="shared" si="178"/>
        <v>3310.8333333333335</v>
      </c>
      <c r="T364" s="506">
        <v>4409</v>
      </c>
      <c r="U364" s="721">
        <v>4634</v>
      </c>
      <c r="V364" s="479">
        <f t="shared" si="179"/>
        <v>106177</v>
      </c>
      <c r="W364" s="478">
        <f t="shared" si="180"/>
        <v>99325</v>
      </c>
      <c r="X364" s="506"/>
      <c r="Y364" s="488"/>
      <c r="Z364" s="506"/>
      <c r="AA364" s="488"/>
      <c r="AB364" s="506"/>
      <c r="AC364" s="488"/>
      <c r="AD364" s="506"/>
      <c r="AE364" s="507"/>
      <c r="AF364" s="479">
        <f t="shared" si="181"/>
        <v>0</v>
      </c>
      <c r="AG364" s="480">
        <f t="shared" si="182"/>
        <v>0</v>
      </c>
      <c r="AH364" s="481">
        <f t="shared" si="183"/>
        <v>0</v>
      </c>
      <c r="AI364" s="481">
        <f t="shared" si="184"/>
        <v>0</v>
      </c>
      <c r="AJ364" s="487"/>
      <c r="AK364" s="507"/>
      <c r="AL364" s="479">
        <f t="shared" si="185"/>
        <v>0</v>
      </c>
      <c r="AM364" s="482">
        <f t="shared" si="186"/>
        <v>0</v>
      </c>
      <c r="AN364" s="487"/>
      <c r="AO364" s="488"/>
      <c r="AP364" s="487"/>
      <c r="AQ364" s="488"/>
      <c r="AR364" s="487"/>
      <c r="AS364" s="488"/>
      <c r="AT364" s="487"/>
      <c r="AU364" s="488"/>
      <c r="AV364" s="479">
        <f t="shared" si="187"/>
        <v>0</v>
      </c>
      <c r="AW364" s="483">
        <f t="shared" si="188"/>
        <v>0</v>
      </c>
      <c r="AX364" s="481">
        <f t="shared" si="189"/>
        <v>0</v>
      </c>
      <c r="AY364" s="484">
        <f t="shared" si="190"/>
        <v>0</v>
      </c>
      <c r="AZ364" s="485">
        <f t="shared" si="191"/>
        <v>3539.2333333333331</v>
      </c>
      <c r="BA364" s="481">
        <f t="shared" si="192"/>
        <v>3310.8333333333335</v>
      </c>
    </row>
    <row r="365" spans="1:53" ht="15.75">
      <c r="A365" s="716" t="s">
        <v>272</v>
      </c>
      <c r="B365" s="570" t="s">
        <v>756</v>
      </c>
      <c r="C365" s="717"/>
      <c r="D365" s="718">
        <v>207722</v>
      </c>
      <c r="E365" s="499">
        <v>6</v>
      </c>
      <c r="F365" s="486" t="s">
        <v>41</v>
      </c>
      <c r="G365" s="529" t="s">
        <v>41</v>
      </c>
      <c r="H365" s="506"/>
      <c r="I365" s="488"/>
      <c r="J365" s="506">
        <v>11408</v>
      </c>
      <c r="K365" s="719">
        <v>10801</v>
      </c>
      <c r="L365" s="506">
        <v>4533</v>
      </c>
      <c r="M365" s="720">
        <v>3799</v>
      </c>
      <c r="N365" s="506">
        <v>12452</v>
      </c>
      <c r="O365" s="488">
        <v>12070</v>
      </c>
      <c r="P365" s="479">
        <f t="shared" si="175"/>
        <v>28393</v>
      </c>
      <c r="Q365" s="480">
        <f t="shared" si="176"/>
        <v>946.43333333333328</v>
      </c>
      <c r="R365" s="481">
        <f t="shared" si="177"/>
        <v>26670</v>
      </c>
      <c r="S365" s="482">
        <f t="shared" si="178"/>
        <v>889</v>
      </c>
      <c r="T365" s="506">
        <v>81</v>
      </c>
      <c r="U365" s="721">
        <v>92</v>
      </c>
      <c r="V365" s="479">
        <f t="shared" si="179"/>
        <v>28393</v>
      </c>
      <c r="W365" s="478">
        <f t="shared" si="180"/>
        <v>26670</v>
      </c>
      <c r="X365" s="506"/>
      <c r="Y365" s="488"/>
      <c r="Z365" s="506"/>
      <c r="AA365" s="488"/>
      <c r="AB365" s="506"/>
      <c r="AC365" s="488"/>
      <c r="AD365" s="506"/>
      <c r="AE365" s="507"/>
      <c r="AF365" s="479">
        <f t="shared" si="181"/>
        <v>0</v>
      </c>
      <c r="AG365" s="480">
        <f t="shared" si="182"/>
        <v>0</v>
      </c>
      <c r="AH365" s="481">
        <f t="shared" si="183"/>
        <v>0</v>
      </c>
      <c r="AI365" s="481">
        <f t="shared" si="184"/>
        <v>0</v>
      </c>
      <c r="AJ365" s="487"/>
      <c r="AK365" s="507"/>
      <c r="AL365" s="479">
        <f t="shared" si="185"/>
        <v>0</v>
      </c>
      <c r="AM365" s="482">
        <f t="shared" si="186"/>
        <v>0</v>
      </c>
      <c r="AN365" s="487"/>
      <c r="AO365" s="488"/>
      <c r="AP365" s="487"/>
      <c r="AQ365" s="488"/>
      <c r="AR365" s="487"/>
      <c r="AS365" s="488"/>
      <c r="AT365" s="487"/>
      <c r="AU365" s="488"/>
      <c r="AV365" s="479">
        <f t="shared" si="187"/>
        <v>0</v>
      </c>
      <c r="AW365" s="483">
        <f t="shared" si="188"/>
        <v>0</v>
      </c>
      <c r="AX365" s="481">
        <f t="shared" si="189"/>
        <v>0</v>
      </c>
      <c r="AY365" s="484">
        <f t="shared" si="190"/>
        <v>0</v>
      </c>
      <c r="AZ365" s="485">
        <f t="shared" si="191"/>
        <v>946.43333333333328</v>
      </c>
      <c r="BA365" s="481">
        <f t="shared" si="192"/>
        <v>889</v>
      </c>
    </row>
    <row r="366" spans="1:53" ht="15">
      <c r="A366" s="489" t="s">
        <v>272</v>
      </c>
      <c r="B366" s="490" t="s">
        <v>757</v>
      </c>
      <c r="C366" s="717" t="s">
        <v>771</v>
      </c>
      <c r="D366" s="566">
        <v>207564</v>
      </c>
      <c r="E366" s="499">
        <v>7</v>
      </c>
      <c r="F366" s="486" t="s">
        <v>41</v>
      </c>
      <c r="G366" s="529" t="s">
        <v>41</v>
      </c>
      <c r="H366" s="506"/>
      <c r="I366" s="488"/>
      <c r="J366" s="506">
        <v>35923</v>
      </c>
      <c r="K366" s="727">
        <v>36881</v>
      </c>
      <c r="L366" s="506">
        <v>23086</v>
      </c>
      <c r="M366" s="720">
        <v>22316</v>
      </c>
      <c r="N366" s="506">
        <v>37331</v>
      </c>
      <c r="O366" s="488">
        <v>40087</v>
      </c>
      <c r="P366" s="479">
        <f t="shared" si="175"/>
        <v>96340</v>
      </c>
      <c r="Q366" s="480">
        <f t="shared" si="176"/>
        <v>3211.3333333333335</v>
      </c>
      <c r="R366" s="481">
        <f t="shared" si="177"/>
        <v>99284</v>
      </c>
      <c r="S366" s="482">
        <f t="shared" si="178"/>
        <v>3309.4666666666667</v>
      </c>
      <c r="T366" s="506">
        <v>6299</v>
      </c>
      <c r="U366" s="721">
        <v>7349</v>
      </c>
      <c r="V366" s="479">
        <f t="shared" si="179"/>
        <v>96340</v>
      </c>
      <c r="W366" s="478">
        <f t="shared" si="180"/>
        <v>99284</v>
      </c>
      <c r="X366" s="506"/>
      <c r="Y366" s="488"/>
      <c r="Z366" s="506"/>
      <c r="AA366" s="488"/>
      <c r="AB366" s="506"/>
      <c r="AC366" s="488"/>
      <c r="AD366" s="506"/>
      <c r="AE366" s="507"/>
      <c r="AF366" s="479">
        <f t="shared" si="181"/>
        <v>0</v>
      </c>
      <c r="AG366" s="480">
        <f t="shared" si="182"/>
        <v>0</v>
      </c>
      <c r="AH366" s="481">
        <f t="shared" si="183"/>
        <v>0</v>
      </c>
      <c r="AI366" s="481">
        <f t="shared" si="184"/>
        <v>0</v>
      </c>
      <c r="AJ366" s="487"/>
      <c r="AK366" s="507"/>
      <c r="AL366" s="479">
        <f t="shared" si="185"/>
        <v>0</v>
      </c>
      <c r="AM366" s="482">
        <f t="shared" si="186"/>
        <v>0</v>
      </c>
      <c r="AN366" s="487"/>
      <c r="AO366" s="488"/>
      <c r="AP366" s="487"/>
      <c r="AQ366" s="488"/>
      <c r="AR366" s="487"/>
      <c r="AS366" s="488"/>
      <c r="AT366" s="487"/>
      <c r="AU366" s="488"/>
      <c r="AV366" s="479">
        <f t="shared" si="187"/>
        <v>0</v>
      </c>
      <c r="AW366" s="483">
        <f t="shared" si="188"/>
        <v>0</v>
      </c>
      <c r="AX366" s="481">
        <f t="shared" si="189"/>
        <v>0</v>
      </c>
      <c r="AY366" s="484">
        <f t="shared" si="190"/>
        <v>0</v>
      </c>
      <c r="AZ366" s="485">
        <f t="shared" si="191"/>
        <v>3211.3333333333335</v>
      </c>
      <c r="BA366" s="481">
        <f t="shared" si="192"/>
        <v>3309.4666666666667</v>
      </c>
    </row>
    <row r="367" spans="1:53" ht="15">
      <c r="A367" s="489" t="s">
        <v>272</v>
      </c>
      <c r="B367" s="570" t="s">
        <v>758</v>
      </c>
      <c r="C367" s="717" t="s">
        <v>772</v>
      </c>
      <c r="D367" s="566">
        <v>207397</v>
      </c>
      <c r="E367" s="499">
        <v>7</v>
      </c>
      <c r="F367" s="486" t="s">
        <v>41</v>
      </c>
      <c r="G367" s="529" t="s">
        <v>41</v>
      </c>
      <c r="H367" s="506"/>
      <c r="I367" s="488"/>
      <c r="J367" s="506">
        <v>71210</v>
      </c>
      <c r="K367" s="727">
        <v>65941</v>
      </c>
      <c r="L367" s="506">
        <v>20919</v>
      </c>
      <c r="M367" s="720">
        <v>17400</v>
      </c>
      <c r="N367" s="506">
        <v>75625</v>
      </c>
      <c r="O367" s="488">
        <v>66651</v>
      </c>
      <c r="P367" s="479">
        <f t="shared" si="175"/>
        <v>167754</v>
      </c>
      <c r="Q367" s="480">
        <f t="shared" si="176"/>
        <v>5591.8</v>
      </c>
      <c r="R367" s="481">
        <f t="shared" si="177"/>
        <v>149992</v>
      </c>
      <c r="S367" s="482">
        <f t="shared" si="178"/>
        <v>4999.7333333333336</v>
      </c>
      <c r="T367" s="506">
        <v>3336</v>
      </c>
      <c r="U367" s="721">
        <v>3609</v>
      </c>
      <c r="V367" s="479">
        <f t="shared" si="179"/>
        <v>167754</v>
      </c>
      <c r="W367" s="478">
        <f t="shared" si="180"/>
        <v>149992</v>
      </c>
      <c r="X367" s="506"/>
      <c r="Y367" s="488"/>
      <c r="Z367" s="506"/>
      <c r="AA367" s="488"/>
      <c r="AB367" s="506"/>
      <c r="AC367" s="488"/>
      <c r="AD367" s="506"/>
      <c r="AE367" s="507"/>
      <c r="AF367" s="479">
        <f t="shared" si="181"/>
        <v>0</v>
      </c>
      <c r="AG367" s="480">
        <f t="shared" si="182"/>
        <v>0</v>
      </c>
      <c r="AH367" s="481">
        <f t="shared" si="183"/>
        <v>0</v>
      </c>
      <c r="AI367" s="481">
        <f t="shared" si="184"/>
        <v>0</v>
      </c>
      <c r="AJ367" s="487"/>
      <c r="AK367" s="507"/>
      <c r="AL367" s="479">
        <f t="shared" si="185"/>
        <v>0</v>
      </c>
      <c r="AM367" s="482">
        <f t="shared" si="186"/>
        <v>0</v>
      </c>
      <c r="AN367" s="487"/>
      <c r="AO367" s="488"/>
      <c r="AP367" s="487"/>
      <c r="AQ367" s="488"/>
      <c r="AR367" s="487"/>
      <c r="AS367" s="488"/>
      <c r="AT367" s="487"/>
      <c r="AU367" s="488"/>
      <c r="AV367" s="479">
        <f t="shared" si="187"/>
        <v>0</v>
      </c>
      <c r="AW367" s="483">
        <f t="shared" si="188"/>
        <v>0</v>
      </c>
      <c r="AX367" s="481">
        <f t="shared" si="189"/>
        <v>0</v>
      </c>
      <c r="AY367" s="484">
        <f t="shared" si="190"/>
        <v>0</v>
      </c>
      <c r="AZ367" s="485">
        <f t="shared" si="191"/>
        <v>5591.8</v>
      </c>
      <c r="BA367" s="481">
        <f t="shared" si="192"/>
        <v>4999.7333333333336</v>
      </c>
    </row>
    <row r="368" spans="1:53" ht="15.75">
      <c r="A368" s="489" t="s">
        <v>272</v>
      </c>
      <c r="B368" s="491" t="s">
        <v>759</v>
      </c>
      <c r="C368" s="717"/>
      <c r="D368" s="566">
        <v>207449</v>
      </c>
      <c r="E368" s="499">
        <v>8</v>
      </c>
      <c r="F368" s="486" t="s">
        <v>41</v>
      </c>
      <c r="G368" s="529" t="s">
        <v>41</v>
      </c>
      <c r="H368" s="506"/>
      <c r="I368" s="488"/>
      <c r="J368" s="506">
        <v>120354</v>
      </c>
      <c r="K368" s="729">
        <v>111438</v>
      </c>
      <c r="L368" s="506">
        <v>30470</v>
      </c>
      <c r="M368" s="720">
        <v>29459</v>
      </c>
      <c r="N368" s="506">
        <v>122469</v>
      </c>
      <c r="O368" s="507">
        <v>117292</v>
      </c>
      <c r="P368" s="479">
        <f t="shared" si="175"/>
        <v>273293</v>
      </c>
      <c r="Q368" s="480">
        <f t="shared" si="176"/>
        <v>9109.7666666666664</v>
      </c>
      <c r="R368" s="481">
        <f t="shared" si="177"/>
        <v>258189</v>
      </c>
      <c r="S368" s="482">
        <f t="shared" si="178"/>
        <v>8606.2999999999993</v>
      </c>
      <c r="T368" s="506">
        <v>17241</v>
      </c>
      <c r="U368" s="721">
        <v>10753</v>
      </c>
      <c r="V368" s="479">
        <f t="shared" si="179"/>
        <v>273293</v>
      </c>
      <c r="W368" s="478">
        <f t="shared" si="180"/>
        <v>258189</v>
      </c>
      <c r="X368" s="506"/>
      <c r="Y368" s="488"/>
      <c r="Z368" s="506"/>
      <c r="AA368" s="488"/>
      <c r="AB368" s="506"/>
      <c r="AC368" s="488"/>
      <c r="AD368" s="506"/>
      <c r="AE368" s="507"/>
      <c r="AF368" s="479">
        <f t="shared" si="181"/>
        <v>0</v>
      </c>
      <c r="AG368" s="480">
        <f t="shared" si="182"/>
        <v>0</v>
      </c>
      <c r="AH368" s="481">
        <f t="shared" si="183"/>
        <v>0</v>
      </c>
      <c r="AI368" s="481">
        <f t="shared" si="184"/>
        <v>0</v>
      </c>
      <c r="AJ368" s="487"/>
      <c r="AK368" s="507"/>
      <c r="AL368" s="479">
        <f t="shared" si="185"/>
        <v>0</v>
      </c>
      <c r="AM368" s="482">
        <f t="shared" si="186"/>
        <v>0</v>
      </c>
      <c r="AN368" s="487"/>
      <c r="AO368" s="488"/>
      <c r="AP368" s="487"/>
      <c r="AQ368" s="488"/>
      <c r="AR368" s="487"/>
      <c r="AS368" s="488"/>
      <c r="AT368" s="487"/>
      <c r="AU368" s="488"/>
      <c r="AV368" s="479">
        <f t="shared" si="187"/>
        <v>0</v>
      </c>
      <c r="AW368" s="483">
        <f t="shared" si="188"/>
        <v>0</v>
      </c>
      <c r="AX368" s="481">
        <f t="shared" si="189"/>
        <v>0</v>
      </c>
      <c r="AY368" s="484">
        <f t="shared" si="190"/>
        <v>0</v>
      </c>
      <c r="AZ368" s="485">
        <f t="shared" si="191"/>
        <v>9109.7666666666664</v>
      </c>
      <c r="BA368" s="481">
        <f t="shared" si="192"/>
        <v>8606.2999999999993</v>
      </c>
    </row>
    <row r="369" spans="1:53" ht="15.75">
      <c r="A369" s="489" t="s">
        <v>272</v>
      </c>
      <c r="B369" s="570" t="s">
        <v>760</v>
      </c>
      <c r="C369" s="717" t="s">
        <v>772</v>
      </c>
      <c r="D369" s="566">
        <v>207670</v>
      </c>
      <c r="E369" s="499">
        <v>8</v>
      </c>
      <c r="F369" s="486" t="s">
        <v>41</v>
      </c>
      <c r="G369" s="529" t="s">
        <v>41</v>
      </c>
      <c r="H369" s="506"/>
      <c r="I369" s="488"/>
      <c r="J369" s="506">
        <v>67236</v>
      </c>
      <c r="K369" s="729">
        <v>61126</v>
      </c>
      <c r="L369" s="506">
        <v>15835</v>
      </c>
      <c r="M369" s="720">
        <v>14302</v>
      </c>
      <c r="N369" s="506">
        <v>69916</v>
      </c>
      <c r="O369" s="507">
        <v>63154</v>
      </c>
      <c r="P369" s="479">
        <f t="shared" si="175"/>
        <v>152987</v>
      </c>
      <c r="Q369" s="480">
        <f t="shared" si="176"/>
        <v>5099.5666666666666</v>
      </c>
      <c r="R369" s="481">
        <f t="shared" si="177"/>
        <v>138582</v>
      </c>
      <c r="S369" s="482">
        <f t="shared" si="178"/>
        <v>4619.3999999999996</v>
      </c>
      <c r="T369" s="506">
        <v>4292</v>
      </c>
      <c r="U369" s="721">
        <v>4158</v>
      </c>
      <c r="V369" s="479">
        <f t="shared" si="179"/>
        <v>152987</v>
      </c>
      <c r="W369" s="478">
        <f t="shared" si="180"/>
        <v>138582</v>
      </c>
      <c r="X369" s="506"/>
      <c r="Y369" s="488"/>
      <c r="Z369" s="506"/>
      <c r="AA369" s="488"/>
      <c r="AB369" s="506"/>
      <c r="AC369" s="488"/>
      <c r="AD369" s="506"/>
      <c r="AE369" s="507"/>
      <c r="AF369" s="479">
        <f t="shared" si="181"/>
        <v>0</v>
      </c>
      <c r="AG369" s="480">
        <f t="shared" si="182"/>
        <v>0</v>
      </c>
      <c r="AH369" s="481">
        <f t="shared" si="183"/>
        <v>0</v>
      </c>
      <c r="AI369" s="481">
        <f t="shared" si="184"/>
        <v>0</v>
      </c>
      <c r="AJ369" s="487"/>
      <c r="AK369" s="507"/>
      <c r="AL369" s="479">
        <f t="shared" si="185"/>
        <v>0</v>
      </c>
      <c r="AM369" s="482">
        <f t="shared" si="186"/>
        <v>0</v>
      </c>
      <c r="AN369" s="487"/>
      <c r="AO369" s="488"/>
      <c r="AP369" s="487"/>
      <c r="AQ369" s="488"/>
      <c r="AR369" s="487"/>
      <c r="AS369" s="488"/>
      <c r="AT369" s="487"/>
      <c r="AU369" s="488"/>
      <c r="AV369" s="479">
        <f t="shared" si="187"/>
        <v>0</v>
      </c>
      <c r="AW369" s="483">
        <f t="shared" si="188"/>
        <v>0</v>
      </c>
      <c r="AX369" s="481">
        <f t="shared" si="189"/>
        <v>0</v>
      </c>
      <c r="AY369" s="484">
        <f t="shared" si="190"/>
        <v>0</v>
      </c>
      <c r="AZ369" s="485">
        <f t="shared" si="191"/>
        <v>5099.5666666666666</v>
      </c>
      <c r="BA369" s="481">
        <f t="shared" si="192"/>
        <v>4619.3999999999996</v>
      </c>
    </row>
    <row r="370" spans="1:53" ht="15.75">
      <c r="A370" s="489" t="s">
        <v>272</v>
      </c>
      <c r="B370" s="490" t="s">
        <v>761</v>
      </c>
      <c r="C370" s="717"/>
      <c r="D370" s="566">
        <v>207935</v>
      </c>
      <c r="E370" s="499">
        <v>8</v>
      </c>
      <c r="F370" s="486" t="s">
        <v>41</v>
      </c>
      <c r="G370" s="529" t="s">
        <v>41</v>
      </c>
      <c r="H370" s="506"/>
      <c r="I370" s="488"/>
      <c r="J370" s="506">
        <v>165422</v>
      </c>
      <c r="K370" s="719">
        <v>156923</v>
      </c>
      <c r="L370" s="506">
        <v>47856</v>
      </c>
      <c r="M370" s="720">
        <v>42359</v>
      </c>
      <c r="N370" s="506">
        <v>169640</v>
      </c>
      <c r="O370" s="488">
        <v>159214</v>
      </c>
      <c r="P370" s="479">
        <f t="shared" si="175"/>
        <v>382918</v>
      </c>
      <c r="Q370" s="480">
        <f t="shared" si="176"/>
        <v>12763.933333333332</v>
      </c>
      <c r="R370" s="481">
        <f t="shared" si="177"/>
        <v>358496</v>
      </c>
      <c r="S370" s="482">
        <f t="shared" si="178"/>
        <v>11949.866666666667</v>
      </c>
      <c r="T370" s="506">
        <v>14531</v>
      </c>
      <c r="U370" s="721">
        <v>16922</v>
      </c>
      <c r="V370" s="479">
        <f t="shared" si="179"/>
        <v>382918</v>
      </c>
      <c r="W370" s="478">
        <f t="shared" si="180"/>
        <v>358496</v>
      </c>
      <c r="X370" s="506"/>
      <c r="Y370" s="488"/>
      <c r="Z370" s="506"/>
      <c r="AA370" s="488"/>
      <c r="AB370" s="506"/>
      <c r="AC370" s="488"/>
      <c r="AD370" s="506"/>
      <c r="AE370" s="507"/>
      <c r="AF370" s="479">
        <f t="shared" si="181"/>
        <v>0</v>
      </c>
      <c r="AG370" s="480">
        <f t="shared" si="182"/>
        <v>0</v>
      </c>
      <c r="AH370" s="481">
        <f t="shared" si="183"/>
        <v>0</v>
      </c>
      <c r="AI370" s="481">
        <f t="shared" si="184"/>
        <v>0</v>
      </c>
      <c r="AJ370" s="487"/>
      <c r="AK370" s="507"/>
      <c r="AL370" s="479">
        <f t="shared" si="185"/>
        <v>0</v>
      </c>
      <c r="AM370" s="482">
        <f t="shared" si="186"/>
        <v>0</v>
      </c>
      <c r="AN370" s="487"/>
      <c r="AO370" s="488"/>
      <c r="AP370" s="487"/>
      <c r="AQ370" s="488"/>
      <c r="AR370" s="487"/>
      <c r="AS370" s="488"/>
      <c r="AT370" s="487"/>
      <c r="AU370" s="488"/>
      <c r="AV370" s="479">
        <f t="shared" si="187"/>
        <v>0</v>
      </c>
      <c r="AW370" s="483">
        <f t="shared" si="188"/>
        <v>0</v>
      </c>
      <c r="AX370" s="481">
        <f t="shared" si="189"/>
        <v>0</v>
      </c>
      <c r="AY370" s="484">
        <f t="shared" si="190"/>
        <v>0</v>
      </c>
      <c r="AZ370" s="485">
        <f t="shared" si="191"/>
        <v>12763.933333333332</v>
      </c>
      <c r="BA370" s="481">
        <f t="shared" si="192"/>
        <v>11949.866666666667</v>
      </c>
    </row>
    <row r="371" spans="1:53" ht="15.75">
      <c r="A371" s="508" t="s">
        <v>272</v>
      </c>
      <c r="B371" s="570" t="s">
        <v>762</v>
      </c>
      <c r="C371" s="717" t="s">
        <v>773</v>
      </c>
      <c r="D371" s="566">
        <v>206923</v>
      </c>
      <c r="E371" s="728">
        <v>9</v>
      </c>
      <c r="F371" s="486" t="s">
        <v>41</v>
      </c>
      <c r="G371" s="529" t="s">
        <v>41</v>
      </c>
      <c r="H371" s="506"/>
      <c r="I371" s="488"/>
      <c r="J371" s="506">
        <v>28774</v>
      </c>
      <c r="K371" s="729">
        <v>27088</v>
      </c>
      <c r="L371" s="506">
        <v>4168</v>
      </c>
      <c r="M371" s="720">
        <v>4360</v>
      </c>
      <c r="N371" s="506">
        <v>29971</v>
      </c>
      <c r="O371" s="488">
        <v>28007</v>
      </c>
      <c r="P371" s="479">
        <f t="shared" si="175"/>
        <v>62913</v>
      </c>
      <c r="Q371" s="480">
        <f t="shared" si="176"/>
        <v>2097.1</v>
      </c>
      <c r="R371" s="481">
        <f t="shared" si="177"/>
        <v>59455</v>
      </c>
      <c r="S371" s="482">
        <f t="shared" si="178"/>
        <v>1981.8333333333333</v>
      </c>
      <c r="T371" s="506">
        <v>2361</v>
      </c>
      <c r="U371" s="721">
        <v>2455</v>
      </c>
      <c r="V371" s="479">
        <f t="shared" si="179"/>
        <v>62913</v>
      </c>
      <c r="W371" s="478">
        <f t="shared" si="180"/>
        <v>59455</v>
      </c>
      <c r="X371" s="506"/>
      <c r="Y371" s="488"/>
      <c r="Z371" s="506"/>
      <c r="AA371" s="488"/>
      <c r="AB371" s="506"/>
      <c r="AC371" s="488"/>
      <c r="AD371" s="506"/>
      <c r="AE371" s="507"/>
      <c r="AF371" s="479">
        <f t="shared" si="181"/>
        <v>0</v>
      </c>
      <c r="AG371" s="480">
        <f t="shared" si="182"/>
        <v>0</v>
      </c>
      <c r="AH371" s="481">
        <f t="shared" si="183"/>
        <v>0</v>
      </c>
      <c r="AI371" s="481">
        <f t="shared" si="184"/>
        <v>0</v>
      </c>
      <c r="AJ371" s="487"/>
      <c r="AK371" s="507"/>
      <c r="AL371" s="479">
        <f t="shared" si="185"/>
        <v>0</v>
      </c>
      <c r="AM371" s="482">
        <f t="shared" si="186"/>
        <v>0</v>
      </c>
      <c r="AN371" s="487"/>
      <c r="AO371" s="488"/>
      <c r="AP371" s="487"/>
      <c r="AQ371" s="488"/>
      <c r="AR371" s="487"/>
      <c r="AS371" s="488"/>
      <c r="AT371" s="487"/>
      <c r="AU371" s="488"/>
      <c r="AV371" s="479">
        <f t="shared" si="187"/>
        <v>0</v>
      </c>
      <c r="AW371" s="483">
        <f t="shared" si="188"/>
        <v>0</v>
      </c>
      <c r="AX371" s="481">
        <f t="shared" si="189"/>
        <v>0</v>
      </c>
      <c r="AY371" s="484">
        <f t="shared" si="190"/>
        <v>0</v>
      </c>
      <c r="AZ371" s="485">
        <f t="shared" si="191"/>
        <v>2097.1</v>
      </c>
      <c r="BA371" s="481">
        <f t="shared" si="192"/>
        <v>1981.8333333333333</v>
      </c>
    </row>
    <row r="372" spans="1:53" ht="15.75">
      <c r="A372" s="489" t="s">
        <v>272</v>
      </c>
      <c r="B372" s="491" t="s">
        <v>763</v>
      </c>
      <c r="C372" s="717"/>
      <c r="D372" s="566">
        <v>207281</v>
      </c>
      <c r="E372" s="499">
        <v>9</v>
      </c>
      <c r="F372" s="486" t="s">
        <v>41</v>
      </c>
      <c r="G372" s="529" t="s">
        <v>41</v>
      </c>
      <c r="H372" s="506"/>
      <c r="I372" s="488"/>
      <c r="J372" s="506">
        <v>49789</v>
      </c>
      <c r="K372" s="719">
        <v>45161</v>
      </c>
      <c r="L372" s="506">
        <v>6950</v>
      </c>
      <c r="M372" s="699">
        <v>6514</v>
      </c>
      <c r="N372" s="506">
        <v>50260</v>
      </c>
      <c r="O372" s="488">
        <v>47501</v>
      </c>
      <c r="P372" s="479">
        <f t="shared" si="175"/>
        <v>106999</v>
      </c>
      <c r="Q372" s="480">
        <f t="shared" si="176"/>
        <v>3566.6333333333332</v>
      </c>
      <c r="R372" s="481">
        <f t="shared" si="177"/>
        <v>99176</v>
      </c>
      <c r="S372" s="482">
        <f t="shared" si="178"/>
        <v>3305.8666666666668</v>
      </c>
      <c r="T372" s="506">
        <v>6756</v>
      </c>
      <c r="U372" s="721">
        <v>5639</v>
      </c>
      <c r="V372" s="479">
        <f t="shared" si="179"/>
        <v>106999</v>
      </c>
      <c r="W372" s="478">
        <f t="shared" si="180"/>
        <v>99176</v>
      </c>
      <c r="X372" s="506"/>
      <c r="Y372" s="488"/>
      <c r="Z372" s="506"/>
      <c r="AA372" s="488"/>
      <c r="AB372" s="506"/>
      <c r="AC372" s="488"/>
      <c r="AD372" s="506"/>
      <c r="AE372" s="507"/>
      <c r="AF372" s="479">
        <f t="shared" si="181"/>
        <v>0</v>
      </c>
      <c r="AG372" s="480">
        <f t="shared" si="182"/>
        <v>0</v>
      </c>
      <c r="AH372" s="481">
        <f t="shared" si="183"/>
        <v>0</v>
      </c>
      <c r="AI372" s="481">
        <f t="shared" si="184"/>
        <v>0</v>
      </c>
      <c r="AJ372" s="487"/>
      <c r="AK372" s="507"/>
      <c r="AL372" s="479">
        <f t="shared" si="185"/>
        <v>0</v>
      </c>
      <c r="AM372" s="482">
        <f t="shared" si="186"/>
        <v>0</v>
      </c>
      <c r="AN372" s="487"/>
      <c r="AO372" s="488"/>
      <c r="AP372" s="487"/>
      <c r="AQ372" s="488"/>
      <c r="AR372" s="487"/>
      <c r="AS372" s="488"/>
      <c r="AT372" s="487"/>
      <c r="AU372" s="488"/>
      <c r="AV372" s="479">
        <f t="shared" si="187"/>
        <v>0</v>
      </c>
      <c r="AW372" s="483">
        <f t="shared" si="188"/>
        <v>0</v>
      </c>
      <c r="AX372" s="481">
        <f t="shared" si="189"/>
        <v>0</v>
      </c>
      <c r="AY372" s="484">
        <f t="shared" si="190"/>
        <v>0</v>
      </c>
      <c r="AZ372" s="485">
        <f t="shared" si="191"/>
        <v>3566.6333333333332</v>
      </c>
      <c r="BA372" s="481">
        <f t="shared" si="192"/>
        <v>3305.8666666666668</v>
      </c>
    </row>
    <row r="373" spans="1:53" ht="15.75">
      <c r="A373" s="489" t="s">
        <v>272</v>
      </c>
      <c r="B373" s="490" t="s">
        <v>764</v>
      </c>
      <c r="C373" s="717"/>
      <c r="D373" s="566">
        <v>206996</v>
      </c>
      <c r="E373" s="499">
        <v>10</v>
      </c>
      <c r="F373" s="486" t="s">
        <v>41</v>
      </c>
      <c r="G373" s="529" t="s">
        <v>41</v>
      </c>
      <c r="H373" s="506"/>
      <c r="I373" s="488"/>
      <c r="J373" s="506">
        <v>29393</v>
      </c>
      <c r="K373" s="719">
        <v>23101</v>
      </c>
      <c r="L373" s="506">
        <v>4136</v>
      </c>
      <c r="M373" s="720">
        <v>4484</v>
      </c>
      <c r="N373" s="506">
        <v>25914</v>
      </c>
      <c r="O373" s="488">
        <v>26315</v>
      </c>
      <c r="P373" s="479">
        <f t="shared" si="175"/>
        <v>59443</v>
      </c>
      <c r="Q373" s="480">
        <f t="shared" si="176"/>
        <v>1981.4333333333334</v>
      </c>
      <c r="R373" s="481">
        <f t="shared" si="177"/>
        <v>53900</v>
      </c>
      <c r="S373" s="482">
        <f t="shared" si="178"/>
        <v>1796.6666666666667</v>
      </c>
      <c r="T373" s="506">
        <v>4904</v>
      </c>
      <c r="U373" s="721">
        <v>7379</v>
      </c>
      <c r="V373" s="479">
        <f t="shared" si="179"/>
        <v>59443</v>
      </c>
      <c r="W373" s="478">
        <f t="shared" si="180"/>
        <v>53900</v>
      </c>
      <c r="X373" s="506"/>
      <c r="Y373" s="488"/>
      <c r="Z373" s="506"/>
      <c r="AA373" s="488"/>
      <c r="AB373" s="506"/>
      <c r="AC373" s="488"/>
      <c r="AD373" s="506"/>
      <c r="AE373" s="507"/>
      <c r="AF373" s="479">
        <f t="shared" si="181"/>
        <v>0</v>
      </c>
      <c r="AG373" s="480">
        <f t="shared" si="182"/>
        <v>0</v>
      </c>
      <c r="AH373" s="481">
        <f t="shared" si="183"/>
        <v>0</v>
      </c>
      <c r="AI373" s="481">
        <f t="shared" si="184"/>
        <v>0</v>
      </c>
      <c r="AJ373" s="487"/>
      <c r="AK373" s="507"/>
      <c r="AL373" s="479">
        <f t="shared" si="185"/>
        <v>0</v>
      </c>
      <c r="AM373" s="482">
        <f t="shared" si="186"/>
        <v>0</v>
      </c>
      <c r="AN373" s="487"/>
      <c r="AO373" s="488"/>
      <c r="AP373" s="487"/>
      <c r="AQ373" s="488"/>
      <c r="AR373" s="487"/>
      <c r="AS373" s="488"/>
      <c r="AT373" s="487"/>
      <c r="AU373" s="488"/>
      <c r="AV373" s="479">
        <f t="shared" si="187"/>
        <v>0</v>
      </c>
      <c r="AW373" s="483">
        <f t="shared" si="188"/>
        <v>0</v>
      </c>
      <c r="AX373" s="481">
        <f t="shared" si="189"/>
        <v>0</v>
      </c>
      <c r="AY373" s="484">
        <f t="shared" si="190"/>
        <v>0</v>
      </c>
      <c r="AZ373" s="485">
        <f t="shared" si="191"/>
        <v>1981.4333333333334</v>
      </c>
      <c r="BA373" s="481">
        <f t="shared" si="192"/>
        <v>1796.6666666666667</v>
      </c>
    </row>
    <row r="374" spans="1:53" ht="15.75">
      <c r="A374" s="489" t="s">
        <v>272</v>
      </c>
      <c r="B374" s="490" t="s">
        <v>765</v>
      </c>
      <c r="C374" s="717"/>
      <c r="D374" s="566">
        <v>207050</v>
      </c>
      <c r="E374" s="499">
        <v>10</v>
      </c>
      <c r="F374" s="486" t="s">
        <v>41</v>
      </c>
      <c r="G374" s="529" t="s">
        <v>41</v>
      </c>
      <c r="H374" s="506"/>
      <c r="I374" s="488"/>
      <c r="J374" s="506">
        <v>19429</v>
      </c>
      <c r="K374" s="719">
        <v>18677</v>
      </c>
      <c r="L374" s="506">
        <v>3195</v>
      </c>
      <c r="M374" s="720">
        <v>2786</v>
      </c>
      <c r="N374" s="506">
        <v>20574</v>
      </c>
      <c r="O374" s="488">
        <v>19190</v>
      </c>
      <c r="P374" s="479">
        <f t="shared" si="175"/>
        <v>43198</v>
      </c>
      <c r="Q374" s="480">
        <f t="shared" si="176"/>
        <v>1439.9333333333334</v>
      </c>
      <c r="R374" s="481">
        <f t="shared" si="177"/>
        <v>40653</v>
      </c>
      <c r="S374" s="482">
        <f t="shared" si="178"/>
        <v>1355.1</v>
      </c>
      <c r="T374" s="506">
        <v>3369</v>
      </c>
      <c r="U374" s="721">
        <v>3703</v>
      </c>
      <c r="V374" s="479">
        <f t="shared" si="179"/>
        <v>43198</v>
      </c>
      <c r="W374" s="478">
        <f t="shared" si="180"/>
        <v>40653</v>
      </c>
      <c r="X374" s="506"/>
      <c r="Y374" s="488"/>
      <c r="Z374" s="506"/>
      <c r="AA374" s="488"/>
      <c r="AB374" s="506"/>
      <c r="AC374" s="488"/>
      <c r="AD374" s="506"/>
      <c r="AE374" s="507"/>
      <c r="AF374" s="479">
        <f t="shared" si="181"/>
        <v>0</v>
      </c>
      <c r="AG374" s="480">
        <f t="shared" si="182"/>
        <v>0</v>
      </c>
      <c r="AH374" s="481">
        <f t="shared" si="183"/>
        <v>0</v>
      </c>
      <c r="AI374" s="481">
        <f t="shared" si="184"/>
        <v>0</v>
      </c>
      <c r="AJ374" s="487"/>
      <c r="AK374" s="507"/>
      <c r="AL374" s="479">
        <f t="shared" si="185"/>
        <v>0</v>
      </c>
      <c r="AM374" s="482">
        <f t="shared" si="186"/>
        <v>0</v>
      </c>
      <c r="AN374" s="487"/>
      <c r="AO374" s="488"/>
      <c r="AP374" s="487"/>
      <c r="AQ374" s="488"/>
      <c r="AR374" s="487"/>
      <c r="AS374" s="488"/>
      <c r="AT374" s="487"/>
      <c r="AU374" s="488"/>
      <c r="AV374" s="479">
        <f t="shared" si="187"/>
        <v>0</v>
      </c>
      <c r="AW374" s="483">
        <f t="shared" si="188"/>
        <v>0</v>
      </c>
      <c r="AX374" s="481">
        <f t="shared" si="189"/>
        <v>0</v>
      </c>
      <c r="AY374" s="484">
        <f t="shared" si="190"/>
        <v>0</v>
      </c>
      <c r="AZ374" s="485">
        <f t="shared" si="191"/>
        <v>1439.9333333333334</v>
      </c>
      <c r="BA374" s="481">
        <f t="shared" si="192"/>
        <v>1355.1</v>
      </c>
    </row>
    <row r="375" spans="1:53" ht="15.75">
      <c r="A375" s="489" t="s">
        <v>272</v>
      </c>
      <c r="B375" s="570" t="s">
        <v>766</v>
      </c>
      <c r="C375" s="717"/>
      <c r="D375" s="566">
        <v>207236</v>
      </c>
      <c r="E375" s="499">
        <v>10</v>
      </c>
      <c r="F375" s="486" t="s">
        <v>41</v>
      </c>
      <c r="G375" s="529" t="s">
        <v>41</v>
      </c>
      <c r="H375" s="506"/>
      <c r="I375" s="488"/>
      <c r="J375" s="506">
        <v>25180</v>
      </c>
      <c r="K375" s="719">
        <v>23159</v>
      </c>
      <c r="L375" s="506">
        <v>4778</v>
      </c>
      <c r="M375" s="720">
        <v>3755</v>
      </c>
      <c r="N375" s="506">
        <v>26273</v>
      </c>
      <c r="O375" s="488">
        <v>22967</v>
      </c>
      <c r="P375" s="479">
        <f t="shared" si="175"/>
        <v>56231</v>
      </c>
      <c r="Q375" s="480">
        <f t="shared" si="176"/>
        <v>1874.3666666666666</v>
      </c>
      <c r="R375" s="481">
        <f t="shared" si="177"/>
        <v>49881</v>
      </c>
      <c r="S375" s="482">
        <f t="shared" si="178"/>
        <v>1662.7</v>
      </c>
      <c r="T375" s="506">
        <v>4697</v>
      </c>
      <c r="U375" s="721">
        <v>4481</v>
      </c>
      <c r="V375" s="479">
        <f t="shared" si="179"/>
        <v>56231</v>
      </c>
      <c r="W375" s="478">
        <f t="shared" si="180"/>
        <v>49881</v>
      </c>
      <c r="X375" s="506"/>
      <c r="Y375" s="488"/>
      <c r="Z375" s="506"/>
      <c r="AA375" s="488"/>
      <c r="AB375" s="506"/>
      <c r="AC375" s="488"/>
      <c r="AD375" s="506"/>
      <c r="AE375" s="507"/>
      <c r="AF375" s="479">
        <f t="shared" si="181"/>
        <v>0</v>
      </c>
      <c r="AG375" s="480">
        <f t="shared" si="182"/>
        <v>0</v>
      </c>
      <c r="AH375" s="481">
        <f t="shared" si="183"/>
        <v>0</v>
      </c>
      <c r="AI375" s="481">
        <f t="shared" si="184"/>
        <v>0</v>
      </c>
      <c r="AJ375" s="487"/>
      <c r="AK375" s="507"/>
      <c r="AL375" s="479">
        <f t="shared" si="185"/>
        <v>0</v>
      </c>
      <c r="AM375" s="482">
        <f t="shared" si="186"/>
        <v>0</v>
      </c>
      <c r="AN375" s="487"/>
      <c r="AO375" s="488"/>
      <c r="AP375" s="487"/>
      <c r="AQ375" s="488"/>
      <c r="AR375" s="487"/>
      <c r="AS375" s="488"/>
      <c r="AT375" s="487"/>
      <c r="AU375" s="488"/>
      <c r="AV375" s="479">
        <f t="shared" si="187"/>
        <v>0</v>
      </c>
      <c r="AW375" s="483">
        <f t="shared" si="188"/>
        <v>0</v>
      </c>
      <c r="AX375" s="481">
        <f t="shared" si="189"/>
        <v>0</v>
      </c>
      <c r="AY375" s="484">
        <f t="shared" si="190"/>
        <v>0</v>
      </c>
      <c r="AZ375" s="485">
        <f t="shared" si="191"/>
        <v>1874.3666666666666</v>
      </c>
      <c r="BA375" s="481">
        <f t="shared" si="192"/>
        <v>1662.7</v>
      </c>
    </row>
    <row r="376" spans="1:53" ht="15.75">
      <c r="A376" s="489" t="s">
        <v>272</v>
      </c>
      <c r="B376" s="490" t="s">
        <v>767</v>
      </c>
      <c r="C376" s="717"/>
      <c r="D376" s="566">
        <v>207290</v>
      </c>
      <c r="E376" s="499">
        <v>10</v>
      </c>
      <c r="F376" s="486" t="s">
        <v>41</v>
      </c>
      <c r="G376" s="529" t="s">
        <v>41</v>
      </c>
      <c r="H376" s="506"/>
      <c r="I376" s="488"/>
      <c r="J376" s="506">
        <v>27681</v>
      </c>
      <c r="K376" s="719">
        <v>26860</v>
      </c>
      <c r="L376" s="506">
        <v>3957</v>
      </c>
      <c r="M376" s="720">
        <v>3519</v>
      </c>
      <c r="N376" s="506">
        <v>31427</v>
      </c>
      <c r="O376" s="488">
        <v>29479</v>
      </c>
      <c r="P376" s="479">
        <f t="shared" si="175"/>
        <v>63065</v>
      </c>
      <c r="Q376" s="480">
        <f t="shared" si="176"/>
        <v>2102.1666666666665</v>
      </c>
      <c r="R376" s="481">
        <f t="shared" si="177"/>
        <v>59858</v>
      </c>
      <c r="S376" s="482">
        <f t="shared" si="178"/>
        <v>1995.2666666666667</v>
      </c>
      <c r="T376" s="506">
        <v>2105</v>
      </c>
      <c r="U376" s="721">
        <v>2183</v>
      </c>
      <c r="V376" s="479">
        <f t="shared" si="179"/>
        <v>63065</v>
      </c>
      <c r="W376" s="478">
        <f t="shared" si="180"/>
        <v>59858</v>
      </c>
      <c r="X376" s="506"/>
      <c r="Y376" s="488"/>
      <c r="Z376" s="506"/>
      <c r="AA376" s="488"/>
      <c r="AB376" s="506"/>
      <c r="AC376" s="488"/>
      <c r="AD376" s="506"/>
      <c r="AE376" s="507"/>
      <c r="AF376" s="479">
        <f t="shared" si="181"/>
        <v>0</v>
      </c>
      <c r="AG376" s="480">
        <f t="shared" si="182"/>
        <v>0</v>
      </c>
      <c r="AH376" s="481">
        <f t="shared" si="183"/>
        <v>0</v>
      </c>
      <c r="AI376" s="481">
        <f t="shared" si="184"/>
        <v>0</v>
      </c>
      <c r="AJ376" s="487"/>
      <c r="AK376" s="507"/>
      <c r="AL376" s="479">
        <f t="shared" si="185"/>
        <v>0</v>
      </c>
      <c r="AM376" s="482">
        <f t="shared" si="186"/>
        <v>0</v>
      </c>
      <c r="AN376" s="487"/>
      <c r="AO376" s="488"/>
      <c r="AP376" s="487"/>
      <c r="AQ376" s="488"/>
      <c r="AR376" s="487"/>
      <c r="AS376" s="488"/>
      <c r="AT376" s="487"/>
      <c r="AU376" s="488"/>
      <c r="AV376" s="479">
        <f t="shared" si="187"/>
        <v>0</v>
      </c>
      <c r="AW376" s="483">
        <f t="shared" si="188"/>
        <v>0</v>
      </c>
      <c r="AX376" s="481">
        <f t="shared" si="189"/>
        <v>0</v>
      </c>
      <c r="AY376" s="484">
        <f t="shared" si="190"/>
        <v>0</v>
      </c>
      <c r="AZ376" s="485">
        <f t="shared" si="191"/>
        <v>2102.1666666666665</v>
      </c>
      <c r="BA376" s="481">
        <f t="shared" si="192"/>
        <v>1995.2666666666667</v>
      </c>
    </row>
    <row r="377" spans="1:53" ht="15.75">
      <c r="A377" s="489" t="s">
        <v>272</v>
      </c>
      <c r="B377" s="490" t="s">
        <v>768</v>
      </c>
      <c r="C377" s="717"/>
      <c r="D377" s="566">
        <v>207069</v>
      </c>
      <c r="E377" s="499">
        <v>10</v>
      </c>
      <c r="F377" s="486" t="s">
        <v>41</v>
      </c>
      <c r="G377" s="529" t="s">
        <v>41</v>
      </c>
      <c r="H377" s="506"/>
      <c r="I377" s="488"/>
      <c r="J377" s="506">
        <v>20375</v>
      </c>
      <c r="K377" s="729">
        <v>18941</v>
      </c>
      <c r="L377" s="506">
        <v>3849</v>
      </c>
      <c r="M377" s="720">
        <v>3665</v>
      </c>
      <c r="N377" s="506">
        <v>21220</v>
      </c>
      <c r="O377" s="488">
        <v>21178</v>
      </c>
      <c r="P377" s="479">
        <f t="shared" si="175"/>
        <v>45444</v>
      </c>
      <c r="Q377" s="480">
        <f t="shared" si="176"/>
        <v>1514.8</v>
      </c>
      <c r="R377" s="481">
        <f t="shared" si="177"/>
        <v>43784</v>
      </c>
      <c r="S377" s="482">
        <f t="shared" si="178"/>
        <v>1459.4666666666667</v>
      </c>
      <c r="T377" s="506">
        <v>7165</v>
      </c>
      <c r="U377" s="721">
        <v>9354</v>
      </c>
      <c r="V377" s="479">
        <f t="shared" si="179"/>
        <v>45444</v>
      </c>
      <c r="W377" s="478">
        <f t="shared" si="180"/>
        <v>43784</v>
      </c>
      <c r="X377" s="506"/>
      <c r="Y377" s="488"/>
      <c r="Z377" s="506"/>
      <c r="AA377" s="488"/>
      <c r="AB377" s="506"/>
      <c r="AC377" s="488"/>
      <c r="AD377" s="506"/>
      <c r="AE377" s="507"/>
      <c r="AF377" s="479">
        <f t="shared" si="181"/>
        <v>0</v>
      </c>
      <c r="AG377" s="480">
        <f t="shared" si="182"/>
        <v>0</v>
      </c>
      <c r="AH377" s="481">
        <f t="shared" si="183"/>
        <v>0</v>
      </c>
      <c r="AI377" s="481">
        <f t="shared" si="184"/>
        <v>0</v>
      </c>
      <c r="AJ377" s="487"/>
      <c r="AK377" s="507"/>
      <c r="AL377" s="479">
        <f t="shared" si="185"/>
        <v>0</v>
      </c>
      <c r="AM377" s="482">
        <f t="shared" si="186"/>
        <v>0</v>
      </c>
      <c r="AN377" s="487"/>
      <c r="AO377" s="488"/>
      <c r="AP377" s="487"/>
      <c r="AQ377" s="488"/>
      <c r="AR377" s="487"/>
      <c r="AS377" s="488"/>
      <c r="AT377" s="487"/>
      <c r="AU377" s="488"/>
      <c r="AV377" s="479">
        <f t="shared" si="187"/>
        <v>0</v>
      </c>
      <c r="AW377" s="483">
        <f t="shared" si="188"/>
        <v>0</v>
      </c>
      <c r="AX377" s="481">
        <f t="shared" si="189"/>
        <v>0</v>
      </c>
      <c r="AY377" s="484">
        <f t="shared" si="190"/>
        <v>0</v>
      </c>
      <c r="AZ377" s="485">
        <f t="shared" si="191"/>
        <v>1514.8</v>
      </c>
      <c r="BA377" s="481">
        <f t="shared" si="192"/>
        <v>1459.4666666666667</v>
      </c>
    </row>
    <row r="378" spans="1:53" ht="15.75">
      <c r="A378" s="508" t="s">
        <v>272</v>
      </c>
      <c r="B378" s="490" t="s">
        <v>769</v>
      </c>
      <c r="C378" s="717"/>
      <c r="D378" s="566">
        <v>207740</v>
      </c>
      <c r="E378" s="499">
        <v>10</v>
      </c>
      <c r="F378" s="486" t="s">
        <v>41</v>
      </c>
      <c r="G378" s="529" t="s">
        <v>41</v>
      </c>
      <c r="H378" s="506"/>
      <c r="I378" s="488"/>
      <c r="J378" s="506">
        <v>19994</v>
      </c>
      <c r="K378" s="729">
        <v>18344</v>
      </c>
      <c r="L378" s="506">
        <v>2802</v>
      </c>
      <c r="M378" s="720">
        <v>3642</v>
      </c>
      <c r="N378" s="506">
        <v>21107</v>
      </c>
      <c r="O378" s="488">
        <v>19006</v>
      </c>
      <c r="P378" s="479">
        <f t="shared" si="175"/>
        <v>43903</v>
      </c>
      <c r="Q378" s="480">
        <f t="shared" si="176"/>
        <v>1463.4333333333334</v>
      </c>
      <c r="R378" s="481">
        <f t="shared" si="177"/>
        <v>40992</v>
      </c>
      <c r="S378" s="482">
        <f t="shared" si="178"/>
        <v>1366.4</v>
      </c>
      <c r="T378" s="506">
        <v>3673</v>
      </c>
      <c r="U378" s="721">
        <v>3900</v>
      </c>
      <c r="V378" s="479">
        <f t="shared" si="179"/>
        <v>43903</v>
      </c>
      <c r="W378" s="478">
        <f t="shared" si="180"/>
        <v>40992</v>
      </c>
      <c r="X378" s="506"/>
      <c r="Y378" s="488"/>
      <c r="Z378" s="506"/>
      <c r="AA378" s="488"/>
      <c r="AB378" s="506"/>
      <c r="AC378" s="488"/>
      <c r="AD378" s="506"/>
      <c r="AE378" s="507"/>
      <c r="AF378" s="479">
        <f t="shared" si="181"/>
        <v>0</v>
      </c>
      <c r="AG378" s="480">
        <f t="shared" si="182"/>
        <v>0</v>
      </c>
      <c r="AH378" s="481">
        <f t="shared" si="183"/>
        <v>0</v>
      </c>
      <c r="AI378" s="481">
        <f t="shared" si="184"/>
        <v>0</v>
      </c>
      <c r="AJ378" s="487"/>
      <c r="AK378" s="507"/>
      <c r="AL378" s="479">
        <f t="shared" si="185"/>
        <v>0</v>
      </c>
      <c r="AM378" s="482">
        <f t="shared" si="186"/>
        <v>0</v>
      </c>
      <c r="AN378" s="487"/>
      <c r="AO378" s="488"/>
      <c r="AP378" s="487"/>
      <c r="AQ378" s="488"/>
      <c r="AR378" s="487"/>
      <c r="AS378" s="488"/>
      <c r="AT378" s="487"/>
      <c r="AU378" s="488"/>
      <c r="AV378" s="479">
        <f t="shared" si="187"/>
        <v>0</v>
      </c>
      <c r="AW378" s="483">
        <f t="shared" si="188"/>
        <v>0</v>
      </c>
      <c r="AX378" s="481">
        <f t="shared" si="189"/>
        <v>0</v>
      </c>
      <c r="AY378" s="484">
        <f t="shared" si="190"/>
        <v>0</v>
      </c>
      <c r="AZ378" s="485">
        <f t="shared" si="191"/>
        <v>1463.4333333333334</v>
      </c>
      <c r="BA378" s="481">
        <f t="shared" si="192"/>
        <v>1366.4</v>
      </c>
    </row>
    <row r="379" spans="1:53" ht="15.75">
      <c r="A379" s="489" t="s">
        <v>272</v>
      </c>
      <c r="B379" s="490" t="s">
        <v>770</v>
      </c>
      <c r="C379" s="717"/>
      <c r="D379" s="566">
        <v>208035</v>
      </c>
      <c r="E379" s="499">
        <v>10</v>
      </c>
      <c r="F379" s="486" t="s">
        <v>41</v>
      </c>
      <c r="G379" s="529" t="s">
        <v>41</v>
      </c>
      <c r="H379" s="506"/>
      <c r="I379" s="488"/>
      <c r="J379" s="506">
        <v>20607</v>
      </c>
      <c r="K379" s="729">
        <v>17595</v>
      </c>
      <c r="L379" s="506">
        <v>12945</v>
      </c>
      <c r="M379" s="720">
        <v>1401</v>
      </c>
      <c r="N379" s="506">
        <v>31032</v>
      </c>
      <c r="O379" s="488">
        <v>15644</v>
      </c>
      <c r="P379" s="479">
        <f t="shared" si="175"/>
        <v>64584</v>
      </c>
      <c r="Q379" s="480">
        <f t="shared" si="176"/>
        <v>2152.8000000000002</v>
      </c>
      <c r="R379" s="481">
        <f t="shared" si="177"/>
        <v>34640</v>
      </c>
      <c r="S379" s="482">
        <f t="shared" si="178"/>
        <v>1154.6666666666667</v>
      </c>
      <c r="T379" s="506">
        <v>3694</v>
      </c>
      <c r="U379" s="721">
        <v>3237</v>
      </c>
      <c r="V379" s="479">
        <f t="shared" si="179"/>
        <v>64584</v>
      </c>
      <c r="W379" s="478">
        <f t="shared" si="180"/>
        <v>34640</v>
      </c>
      <c r="X379" s="506"/>
      <c r="Y379" s="488"/>
      <c r="Z379" s="506"/>
      <c r="AA379" s="488"/>
      <c r="AB379" s="506"/>
      <c r="AC379" s="488"/>
      <c r="AD379" s="506"/>
      <c r="AE379" s="507"/>
      <c r="AF379" s="479">
        <f t="shared" si="181"/>
        <v>0</v>
      </c>
      <c r="AG379" s="480">
        <f t="shared" si="182"/>
        <v>0</v>
      </c>
      <c r="AH379" s="481">
        <f t="shared" si="183"/>
        <v>0</v>
      </c>
      <c r="AI379" s="481">
        <f t="shared" si="184"/>
        <v>0</v>
      </c>
      <c r="AJ379" s="487"/>
      <c r="AK379" s="507"/>
      <c r="AL379" s="479">
        <f t="shared" si="185"/>
        <v>0</v>
      </c>
      <c r="AM379" s="482">
        <f t="shared" si="186"/>
        <v>0</v>
      </c>
      <c r="AN379" s="487"/>
      <c r="AO379" s="488"/>
      <c r="AP379" s="487"/>
      <c r="AQ379" s="488"/>
      <c r="AR379" s="487"/>
      <c r="AS379" s="488"/>
      <c r="AT379" s="487"/>
      <c r="AU379" s="488"/>
      <c r="AV379" s="479">
        <f t="shared" si="187"/>
        <v>0</v>
      </c>
      <c r="AW379" s="483">
        <f t="shared" si="188"/>
        <v>0</v>
      </c>
      <c r="AX379" s="481">
        <f t="shared" si="189"/>
        <v>0</v>
      </c>
      <c r="AY379" s="484">
        <f t="shared" si="190"/>
        <v>0</v>
      </c>
      <c r="AZ379" s="485">
        <f t="shared" si="191"/>
        <v>2152.8000000000002</v>
      </c>
      <c r="BA379" s="481">
        <f t="shared" si="192"/>
        <v>1154.6666666666667</v>
      </c>
    </row>
    <row r="380" spans="1:53">
      <c r="A380" s="536" t="s">
        <v>272</v>
      </c>
      <c r="B380" s="586" t="s">
        <v>404</v>
      </c>
      <c r="C380" s="651"/>
      <c r="D380" s="652">
        <v>365374</v>
      </c>
      <c r="E380" s="646">
        <v>12</v>
      </c>
      <c r="F380" s="486"/>
      <c r="G380" s="529"/>
      <c r="H380" s="506"/>
      <c r="I380" s="488"/>
      <c r="J380" s="506"/>
      <c r="K380" s="488"/>
      <c r="L380" s="506"/>
      <c r="M380" s="488"/>
      <c r="N380" s="506"/>
      <c r="O380" s="488"/>
      <c r="P380" s="479">
        <f t="shared" si="157"/>
        <v>0</v>
      </c>
      <c r="Q380" s="480">
        <f t="shared" si="158"/>
        <v>0</v>
      </c>
      <c r="R380" s="481">
        <f t="shared" si="159"/>
        <v>0</v>
      </c>
      <c r="S380" s="482">
        <f t="shared" si="160"/>
        <v>0</v>
      </c>
      <c r="T380" s="506"/>
      <c r="U380" s="507"/>
      <c r="V380" s="479">
        <f t="shared" si="161"/>
        <v>0</v>
      </c>
      <c r="W380" s="478">
        <f t="shared" si="162"/>
        <v>0</v>
      </c>
      <c r="X380" s="506"/>
      <c r="Y380" s="488"/>
      <c r="Z380" s="506"/>
      <c r="AA380" s="488"/>
      <c r="AB380" s="506"/>
      <c r="AC380" s="488"/>
      <c r="AD380" s="506">
        <v>1005412</v>
      </c>
      <c r="AE380" s="507">
        <v>1079552.3799999999</v>
      </c>
      <c r="AF380" s="479">
        <f t="shared" si="163"/>
        <v>1005412</v>
      </c>
      <c r="AG380" s="480">
        <f t="shared" si="164"/>
        <v>1117.1244444444444</v>
      </c>
      <c r="AH380" s="481">
        <f t="shared" si="165"/>
        <v>1079552.3799999999</v>
      </c>
      <c r="AI380" s="481">
        <f t="shared" si="166"/>
        <v>1199.5026444444443</v>
      </c>
      <c r="AJ380" s="487"/>
      <c r="AK380" s="507"/>
      <c r="AL380" s="479">
        <f t="shared" si="167"/>
        <v>0</v>
      </c>
      <c r="AM380" s="482">
        <f t="shared" si="168"/>
        <v>0</v>
      </c>
      <c r="AN380" s="487"/>
      <c r="AO380" s="488"/>
      <c r="AP380" s="487"/>
      <c r="AQ380" s="488"/>
      <c r="AR380" s="487"/>
      <c r="AS380" s="488"/>
      <c r="AT380" s="487"/>
      <c r="AU380" s="488"/>
      <c r="AV380" s="479">
        <f t="shared" si="169"/>
        <v>0</v>
      </c>
      <c r="AW380" s="483">
        <f t="shared" si="170"/>
        <v>0</v>
      </c>
      <c r="AX380" s="481">
        <f t="shared" si="171"/>
        <v>0</v>
      </c>
      <c r="AY380" s="484">
        <f t="shared" si="172"/>
        <v>0</v>
      </c>
      <c r="AZ380" s="485">
        <f t="shared" si="173"/>
        <v>1117.1244444444444</v>
      </c>
      <c r="BA380" s="481">
        <f t="shared" si="174"/>
        <v>1199.5026444444443</v>
      </c>
    </row>
    <row r="381" spans="1:53">
      <c r="A381" s="536" t="s">
        <v>272</v>
      </c>
      <c r="B381" s="537" t="s">
        <v>405</v>
      </c>
      <c r="C381" s="651"/>
      <c r="D381" s="652">
        <v>245999</v>
      </c>
      <c r="E381" s="646">
        <v>12</v>
      </c>
      <c r="F381" s="486"/>
      <c r="G381" s="529"/>
      <c r="H381" s="506"/>
      <c r="I381" s="488"/>
      <c r="J381" s="506"/>
      <c r="K381" s="488"/>
      <c r="L381" s="506"/>
      <c r="M381" s="488"/>
      <c r="N381" s="506"/>
      <c r="O381" s="488"/>
      <c r="P381" s="479">
        <f t="shared" si="157"/>
        <v>0</v>
      </c>
      <c r="Q381" s="480">
        <f t="shared" si="158"/>
        <v>0</v>
      </c>
      <c r="R381" s="481">
        <f t="shared" si="159"/>
        <v>0</v>
      </c>
      <c r="S381" s="482">
        <f t="shared" si="160"/>
        <v>0</v>
      </c>
      <c r="T381" s="506"/>
      <c r="U381" s="507"/>
      <c r="V381" s="479">
        <f t="shared" si="161"/>
        <v>0</v>
      </c>
      <c r="W381" s="478">
        <f t="shared" si="162"/>
        <v>0</v>
      </c>
      <c r="X381" s="506"/>
      <c r="Y381" s="488"/>
      <c r="Z381" s="506"/>
      <c r="AA381" s="488"/>
      <c r="AB381" s="506"/>
      <c r="AC381" s="488"/>
      <c r="AD381" s="506">
        <v>1452946</v>
      </c>
      <c r="AE381" s="507">
        <v>1421155.25</v>
      </c>
      <c r="AF381" s="479">
        <f t="shared" si="163"/>
        <v>1452946</v>
      </c>
      <c r="AG381" s="480">
        <f t="shared" si="164"/>
        <v>1614.3844444444444</v>
      </c>
      <c r="AH381" s="481">
        <f t="shared" si="165"/>
        <v>1421155.25</v>
      </c>
      <c r="AI381" s="481">
        <f t="shared" si="166"/>
        <v>1579.0613888888888</v>
      </c>
      <c r="AJ381" s="487"/>
      <c r="AK381" s="507"/>
      <c r="AL381" s="479">
        <f t="shared" si="167"/>
        <v>0</v>
      </c>
      <c r="AM381" s="482">
        <f t="shared" si="168"/>
        <v>0</v>
      </c>
      <c r="AN381" s="487"/>
      <c r="AO381" s="488"/>
      <c r="AP381" s="487"/>
      <c r="AQ381" s="488"/>
      <c r="AR381" s="487"/>
      <c r="AS381" s="488"/>
      <c r="AT381" s="487"/>
      <c r="AU381" s="488"/>
      <c r="AV381" s="479">
        <f t="shared" si="169"/>
        <v>0</v>
      </c>
      <c r="AW381" s="483">
        <f t="shared" si="170"/>
        <v>0</v>
      </c>
      <c r="AX381" s="481">
        <f t="shared" si="171"/>
        <v>0</v>
      </c>
      <c r="AY381" s="484">
        <f t="shared" si="172"/>
        <v>0</v>
      </c>
      <c r="AZ381" s="485">
        <f t="shared" si="173"/>
        <v>1614.3844444444444</v>
      </c>
      <c r="BA381" s="481">
        <f t="shared" si="174"/>
        <v>1579.0613888888888</v>
      </c>
    </row>
    <row r="382" spans="1:53">
      <c r="A382" s="536" t="s">
        <v>272</v>
      </c>
      <c r="B382" s="537" t="s">
        <v>406</v>
      </c>
      <c r="C382" s="651"/>
      <c r="D382" s="652">
        <v>363165</v>
      </c>
      <c r="E382" s="646">
        <v>12</v>
      </c>
      <c r="F382" s="486"/>
      <c r="G382" s="529"/>
      <c r="H382" s="506"/>
      <c r="I382" s="488"/>
      <c r="J382" s="506"/>
      <c r="K382" s="488"/>
      <c r="L382" s="506"/>
      <c r="M382" s="488"/>
      <c r="N382" s="506"/>
      <c r="O382" s="488"/>
      <c r="P382" s="479">
        <f t="shared" si="157"/>
        <v>0</v>
      </c>
      <c r="Q382" s="480">
        <f t="shared" si="158"/>
        <v>0</v>
      </c>
      <c r="R382" s="481">
        <f t="shared" si="159"/>
        <v>0</v>
      </c>
      <c r="S382" s="482">
        <f t="shared" si="160"/>
        <v>0</v>
      </c>
      <c r="T382" s="506"/>
      <c r="U382" s="507"/>
      <c r="V382" s="479">
        <f t="shared" ref="V382:V391" si="193">IF(ISBLANK(T382),0,P382)</f>
        <v>0</v>
      </c>
      <c r="W382" s="478">
        <f t="shared" ref="W382:W391" si="194">IF(ISBLANK(U382),0,R382)</f>
        <v>0</v>
      </c>
      <c r="X382" s="506"/>
      <c r="Y382" s="488"/>
      <c r="Z382" s="506"/>
      <c r="AA382" s="488"/>
      <c r="AB382" s="506"/>
      <c r="AC382" s="488"/>
      <c r="AD382" s="506">
        <v>1183530</v>
      </c>
      <c r="AE382" s="507">
        <v>977438.41</v>
      </c>
      <c r="AF382" s="479">
        <f t="shared" si="163"/>
        <v>1183530</v>
      </c>
      <c r="AG382" s="480">
        <f t="shared" si="164"/>
        <v>1315.0333333333333</v>
      </c>
      <c r="AH382" s="481">
        <f t="shared" si="165"/>
        <v>977438.41</v>
      </c>
      <c r="AI382" s="481">
        <f t="shared" si="166"/>
        <v>1086.0426777777777</v>
      </c>
      <c r="AJ382" s="487"/>
      <c r="AK382" s="507"/>
      <c r="AL382" s="479">
        <f t="shared" si="167"/>
        <v>0</v>
      </c>
      <c r="AM382" s="482">
        <f t="shared" si="168"/>
        <v>0</v>
      </c>
      <c r="AN382" s="487"/>
      <c r="AO382" s="488"/>
      <c r="AP382" s="487"/>
      <c r="AQ382" s="488"/>
      <c r="AR382" s="487"/>
      <c r="AS382" s="488"/>
      <c r="AT382" s="487"/>
      <c r="AU382" s="488"/>
      <c r="AV382" s="479">
        <f t="shared" si="169"/>
        <v>0</v>
      </c>
      <c r="AW382" s="483">
        <f t="shared" si="170"/>
        <v>0</v>
      </c>
      <c r="AX382" s="481">
        <f t="shared" si="171"/>
        <v>0</v>
      </c>
      <c r="AY382" s="484">
        <f t="shared" si="172"/>
        <v>0</v>
      </c>
      <c r="AZ382" s="485">
        <f t="shared" si="173"/>
        <v>1315.0333333333333</v>
      </c>
      <c r="BA382" s="481">
        <f t="shared" si="174"/>
        <v>1086.0426777777777</v>
      </c>
    </row>
    <row r="383" spans="1:53">
      <c r="A383" s="536" t="s">
        <v>272</v>
      </c>
      <c r="B383" s="537" t="s">
        <v>407</v>
      </c>
      <c r="C383" s="653"/>
      <c r="D383" s="652">
        <v>365213</v>
      </c>
      <c r="E383" s="646">
        <v>13</v>
      </c>
      <c r="F383" s="486"/>
      <c r="G383" s="529"/>
      <c r="H383" s="506"/>
      <c r="I383" s="488"/>
      <c r="J383" s="506"/>
      <c r="K383" s="488"/>
      <c r="L383" s="506"/>
      <c r="M383" s="488"/>
      <c r="N383" s="506"/>
      <c r="O383" s="488"/>
      <c r="P383" s="479">
        <f t="shared" si="157"/>
        <v>0</v>
      </c>
      <c r="Q383" s="480">
        <f t="shared" si="158"/>
        <v>0</v>
      </c>
      <c r="R383" s="481">
        <f t="shared" si="159"/>
        <v>0</v>
      </c>
      <c r="S383" s="482">
        <f t="shared" si="160"/>
        <v>0</v>
      </c>
      <c r="T383" s="506"/>
      <c r="U383" s="507"/>
      <c r="V383" s="479">
        <f t="shared" si="193"/>
        <v>0</v>
      </c>
      <c r="W383" s="478">
        <f t="shared" si="194"/>
        <v>0</v>
      </c>
      <c r="X383" s="506"/>
      <c r="Y383" s="488"/>
      <c r="Z383" s="506"/>
      <c r="AA383" s="488"/>
      <c r="AB383" s="506"/>
      <c r="AC383" s="488"/>
      <c r="AD383" s="506">
        <v>487914</v>
      </c>
      <c r="AE383" s="507">
        <v>497102.38</v>
      </c>
      <c r="AF383" s="479">
        <f t="shared" si="163"/>
        <v>487914</v>
      </c>
      <c r="AG383" s="480">
        <f t="shared" si="164"/>
        <v>542.12666666666667</v>
      </c>
      <c r="AH383" s="481">
        <f t="shared" si="165"/>
        <v>497102.38</v>
      </c>
      <c r="AI383" s="481">
        <f t="shared" si="166"/>
        <v>552.33597777777777</v>
      </c>
      <c r="AJ383" s="487"/>
      <c r="AK383" s="507"/>
      <c r="AL383" s="479">
        <f t="shared" si="167"/>
        <v>0</v>
      </c>
      <c r="AM383" s="482">
        <f t="shared" si="168"/>
        <v>0</v>
      </c>
      <c r="AN383" s="487"/>
      <c r="AO383" s="488"/>
      <c r="AP383" s="487"/>
      <c r="AQ383" s="488"/>
      <c r="AR383" s="487"/>
      <c r="AS383" s="488"/>
      <c r="AT383" s="487"/>
      <c r="AU383" s="488"/>
      <c r="AV383" s="479">
        <f t="shared" si="169"/>
        <v>0</v>
      </c>
      <c r="AW383" s="483">
        <f t="shared" si="170"/>
        <v>0</v>
      </c>
      <c r="AX383" s="481">
        <f t="shared" si="171"/>
        <v>0</v>
      </c>
      <c r="AY383" s="484">
        <f t="shared" si="172"/>
        <v>0</v>
      </c>
      <c r="AZ383" s="485">
        <f t="shared" si="173"/>
        <v>542.12666666666667</v>
      </c>
      <c r="BA383" s="481">
        <f t="shared" si="174"/>
        <v>552.33597777777777</v>
      </c>
    </row>
    <row r="384" spans="1:53">
      <c r="A384" s="536" t="s">
        <v>272</v>
      </c>
      <c r="B384" s="537" t="s">
        <v>408</v>
      </c>
      <c r="C384" s="653"/>
      <c r="D384" s="652">
        <v>364946</v>
      </c>
      <c r="E384" s="646">
        <v>13</v>
      </c>
      <c r="F384" s="486"/>
      <c r="G384" s="529"/>
      <c r="H384" s="506"/>
      <c r="I384" s="488"/>
      <c r="J384" s="506"/>
      <c r="K384" s="488"/>
      <c r="L384" s="506"/>
      <c r="M384" s="488"/>
      <c r="N384" s="506"/>
      <c r="O384" s="488"/>
      <c r="P384" s="479">
        <f t="shared" si="157"/>
        <v>0</v>
      </c>
      <c r="Q384" s="480">
        <f t="shared" si="158"/>
        <v>0</v>
      </c>
      <c r="R384" s="481">
        <f t="shared" si="159"/>
        <v>0</v>
      </c>
      <c r="S384" s="482">
        <f t="shared" si="160"/>
        <v>0</v>
      </c>
      <c r="T384" s="506"/>
      <c r="U384" s="507"/>
      <c r="V384" s="479">
        <f t="shared" si="193"/>
        <v>0</v>
      </c>
      <c r="W384" s="478">
        <f t="shared" si="194"/>
        <v>0</v>
      </c>
      <c r="X384" s="506"/>
      <c r="Y384" s="488"/>
      <c r="Z384" s="506"/>
      <c r="AA384" s="488"/>
      <c r="AB384" s="506"/>
      <c r="AC384" s="488"/>
      <c r="AD384" s="506">
        <v>324735</v>
      </c>
      <c r="AE384" s="507">
        <v>280227</v>
      </c>
      <c r="AF384" s="479">
        <f t="shared" ref="AF384:AF391" si="195">SUM(X384,Z384,AB384,AD384)</f>
        <v>324735</v>
      </c>
      <c r="AG384" s="480">
        <f t="shared" ref="AG384:AG391" si="196">+AF384/900</f>
        <v>360.81666666666666</v>
      </c>
      <c r="AH384" s="481">
        <f t="shared" ref="AH384:AH391" si="197">SUM(Y384,AA384,AC384,AE384)</f>
        <v>280227</v>
      </c>
      <c r="AI384" s="481">
        <f t="shared" ref="AI384:AI391" si="198">+AH384/900</f>
        <v>311.36333333333334</v>
      </c>
      <c r="AJ384" s="487"/>
      <c r="AK384" s="507"/>
      <c r="AL384" s="479">
        <f t="shared" si="167"/>
        <v>0</v>
      </c>
      <c r="AM384" s="482">
        <f t="shared" si="168"/>
        <v>0</v>
      </c>
      <c r="AN384" s="487"/>
      <c r="AO384" s="488"/>
      <c r="AP384" s="487"/>
      <c r="AQ384" s="488"/>
      <c r="AR384" s="487"/>
      <c r="AS384" s="488"/>
      <c r="AT384" s="487"/>
      <c r="AU384" s="488"/>
      <c r="AV384" s="479">
        <f t="shared" si="169"/>
        <v>0</v>
      </c>
      <c r="AW384" s="483">
        <f t="shared" si="170"/>
        <v>0</v>
      </c>
      <c r="AX384" s="481">
        <f t="shared" si="171"/>
        <v>0</v>
      </c>
      <c r="AY384" s="484">
        <f t="shared" si="172"/>
        <v>0</v>
      </c>
      <c r="AZ384" s="485">
        <f t="shared" si="173"/>
        <v>360.81666666666666</v>
      </c>
      <c r="BA384" s="481">
        <f t="shared" si="174"/>
        <v>311.36333333333334</v>
      </c>
    </row>
    <row r="385" spans="1:53">
      <c r="A385" s="536" t="s">
        <v>272</v>
      </c>
      <c r="B385" s="537" t="s">
        <v>409</v>
      </c>
      <c r="C385" s="653"/>
      <c r="D385" s="652">
        <v>246017</v>
      </c>
      <c r="E385" s="646">
        <v>13</v>
      </c>
      <c r="F385" s="486"/>
      <c r="G385" s="529"/>
      <c r="H385" s="506"/>
      <c r="I385" s="488"/>
      <c r="J385" s="506"/>
      <c r="K385" s="488"/>
      <c r="L385" s="506"/>
      <c r="M385" s="488"/>
      <c r="N385" s="506"/>
      <c r="O385" s="488"/>
      <c r="P385" s="479">
        <f t="shared" si="157"/>
        <v>0</v>
      </c>
      <c r="Q385" s="480">
        <f t="shared" si="158"/>
        <v>0</v>
      </c>
      <c r="R385" s="481">
        <f t="shared" si="159"/>
        <v>0</v>
      </c>
      <c r="S385" s="482">
        <f t="shared" si="160"/>
        <v>0</v>
      </c>
      <c r="T385" s="506"/>
      <c r="U385" s="507"/>
      <c r="V385" s="479">
        <f t="shared" si="193"/>
        <v>0</v>
      </c>
      <c r="W385" s="478">
        <f t="shared" si="194"/>
        <v>0</v>
      </c>
      <c r="X385" s="506"/>
      <c r="Y385" s="488"/>
      <c r="Z385" s="506"/>
      <c r="AA385" s="488"/>
      <c r="AB385" s="506"/>
      <c r="AC385" s="488"/>
      <c r="AD385" s="506">
        <v>786172</v>
      </c>
      <c r="AE385" s="507">
        <v>717669.75</v>
      </c>
      <c r="AF385" s="479">
        <f t="shared" si="195"/>
        <v>786172</v>
      </c>
      <c r="AG385" s="480">
        <f t="shared" si="196"/>
        <v>873.5244444444445</v>
      </c>
      <c r="AH385" s="481">
        <f t="shared" si="197"/>
        <v>717669.75</v>
      </c>
      <c r="AI385" s="481">
        <f t="shared" si="198"/>
        <v>797.41083333333336</v>
      </c>
      <c r="AJ385" s="487"/>
      <c r="AK385" s="507"/>
      <c r="AL385" s="479">
        <f t="shared" ref="AL385:AL391" si="199">IF(ISBLANK(AJ385),0,AF385)</f>
        <v>0</v>
      </c>
      <c r="AM385" s="482">
        <f t="shared" ref="AM385:AM391" si="200">IF(ISBLANK(AK385),0,AH385)</f>
        <v>0</v>
      </c>
      <c r="AN385" s="487"/>
      <c r="AO385" s="488"/>
      <c r="AP385" s="487"/>
      <c r="AQ385" s="488"/>
      <c r="AR385" s="487"/>
      <c r="AS385" s="488"/>
      <c r="AT385" s="487"/>
      <c r="AU385" s="488"/>
      <c r="AV385" s="479">
        <f t="shared" si="169"/>
        <v>0</v>
      </c>
      <c r="AW385" s="483">
        <f t="shared" si="170"/>
        <v>0</v>
      </c>
      <c r="AX385" s="481">
        <f t="shared" si="171"/>
        <v>0</v>
      </c>
      <c r="AY385" s="484">
        <f t="shared" si="172"/>
        <v>0</v>
      </c>
      <c r="AZ385" s="485">
        <f t="shared" si="173"/>
        <v>873.5244444444445</v>
      </c>
      <c r="BA385" s="481">
        <f t="shared" si="174"/>
        <v>797.41083333333336</v>
      </c>
    </row>
    <row r="386" spans="1:53">
      <c r="A386" s="536" t="s">
        <v>272</v>
      </c>
      <c r="B386" s="537" t="s">
        <v>410</v>
      </c>
      <c r="C386" s="653"/>
      <c r="D386" s="652">
        <v>375656</v>
      </c>
      <c r="E386" s="646">
        <v>13</v>
      </c>
      <c r="F386" s="486"/>
      <c r="G386" s="529"/>
      <c r="H386" s="506"/>
      <c r="I386" s="488"/>
      <c r="J386" s="506"/>
      <c r="K386" s="488"/>
      <c r="L386" s="506"/>
      <c r="M386" s="488"/>
      <c r="N386" s="506"/>
      <c r="O386" s="488"/>
      <c r="P386" s="479">
        <f t="shared" ref="P386:P391" si="201">SUM(H386,J386,L386,N386)</f>
        <v>0</v>
      </c>
      <c r="Q386" s="480">
        <f t="shared" ref="Q386:Q391" si="202">+P386/30</f>
        <v>0</v>
      </c>
      <c r="R386" s="481">
        <f t="shared" ref="R386:R391" si="203">SUM(I386,K386,M386,O386)</f>
        <v>0</v>
      </c>
      <c r="S386" s="482">
        <f t="shared" ref="S386:S391" si="204">+R386/30</f>
        <v>0</v>
      </c>
      <c r="T386" s="506"/>
      <c r="U386" s="507"/>
      <c r="V386" s="479">
        <f t="shared" si="193"/>
        <v>0</v>
      </c>
      <c r="W386" s="478">
        <f t="shared" si="194"/>
        <v>0</v>
      </c>
      <c r="X386" s="506"/>
      <c r="Y386" s="488"/>
      <c r="Z386" s="506"/>
      <c r="AA386" s="488"/>
      <c r="AB386" s="506"/>
      <c r="AC386" s="488"/>
      <c r="AD386" s="506">
        <v>92664</v>
      </c>
      <c r="AE386" s="507">
        <v>84706.74</v>
      </c>
      <c r="AF386" s="479">
        <f t="shared" si="195"/>
        <v>92664</v>
      </c>
      <c r="AG386" s="480">
        <f t="shared" si="196"/>
        <v>102.96</v>
      </c>
      <c r="AH386" s="481">
        <f t="shared" si="197"/>
        <v>84706.74</v>
      </c>
      <c r="AI386" s="481">
        <f t="shared" si="198"/>
        <v>94.118600000000001</v>
      </c>
      <c r="AJ386" s="487"/>
      <c r="AK386" s="507"/>
      <c r="AL386" s="479">
        <f t="shared" si="199"/>
        <v>0</v>
      </c>
      <c r="AM386" s="482">
        <f t="shared" si="200"/>
        <v>0</v>
      </c>
      <c r="AN386" s="487"/>
      <c r="AO386" s="488"/>
      <c r="AP386" s="487"/>
      <c r="AQ386" s="488"/>
      <c r="AR386" s="487"/>
      <c r="AS386" s="488"/>
      <c r="AT386" s="487"/>
      <c r="AU386" s="488"/>
      <c r="AV386" s="479">
        <f t="shared" si="169"/>
        <v>0</v>
      </c>
      <c r="AW386" s="483">
        <f t="shared" si="170"/>
        <v>0</v>
      </c>
      <c r="AX386" s="481">
        <f t="shared" si="171"/>
        <v>0</v>
      </c>
      <c r="AY386" s="484">
        <f t="shared" si="172"/>
        <v>0</v>
      </c>
      <c r="AZ386" s="485">
        <f t="shared" si="173"/>
        <v>102.96</v>
      </c>
      <c r="BA386" s="481">
        <f t="shared" si="174"/>
        <v>94.118600000000001</v>
      </c>
    </row>
    <row r="387" spans="1:53">
      <c r="A387" s="536" t="s">
        <v>272</v>
      </c>
      <c r="B387" s="537" t="s">
        <v>411</v>
      </c>
      <c r="C387" s="653"/>
      <c r="D387" s="652">
        <v>418348</v>
      </c>
      <c r="E387" s="646">
        <v>13</v>
      </c>
      <c r="F387" s="486"/>
      <c r="G387" s="529"/>
      <c r="H387" s="506"/>
      <c r="I387" s="488"/>
      <c r="J387" s="506"/>
      <c r="K387" s="488"/>
      <c r="L387" s="506"/>
      <c r="M387" s="488"/>
      <c r="N387" s="506"/>
      <c r="O387" s="488"/>
      <c r="P387" s="479">
        <f t="shared" si="201"/>
        <v>0</v>
      </c>
      <c r="Q387" s="480">
        <f t="shared" si="202"/>
        <v>0</v>
      </c>
      <c r="R387" s="481">
        <f t="shared" si="203"/>
        <v>0</v>
      </c>
      <c r="S387" s="482">
        <f t="shared" si="204"/>
        <v>0</v>
      </c>
      <c r="T387" s="506"/>
      <c r="U387" s="507"/>
      <c r="V387" s="479">
        <f t="shared" si="193"/>
        <v>0</v>
      </c>
      <c r="W387" s="478">
        <f t="shared" si="194"/>
        <v>0</v>
      </c>
      <c r="X387" s="506"/>
      <c r="Y387" s="488"/>
      <c r="Z387" s="506"/>
      <c r="AA387" s="488"/>
      <c r="AB387" s="506"/>
      <c r="AC387" s="488"/>
      <c r="AD387" s="506">
        <v>326980</v>
      </c>
      <c r="AE387" s="507">
        <v>310003.78999999998</v>
      </c>
      <c r="AF387" s="479">
        <f t="shared" si="195"/>
        <v>326980</v>
      </c>
      <c r="AG387" s="480">
        <f t="shared" si="196"/>
        <v>363.31111111111113</v>
      </c>
      <c r="AH387" s="481">
        <f t="shared" si="197"/>
        <v>310003.78999999998</v>
      </c>
      <c r="AI387" s="481">
        <f t="shared" si="198"/>
        <v>344.44865555555555</v>
      </c>
      <c r="AJ387" s="487"/>
      <c r="AK387" s="507"/>
      <c r="AL387" s="479">
        <f t="shared" si="199"/>
        <v>0</v>
      </c>
      <c r="AM387" s="482">
        <f t="shared" si="200"/>
        <v>0</v>
      </c>
      <c r="AN387" s="487"/>
      <c r="AO387" s="488"/>
      <c r="AP387" s="487"/>
      <c r="AQ387" s="488"/>
      <c r="AR387" s="487"/>
      <c r="AS387" s="488"/>
      <c r="AT387" s="487"/>
      <c r="AU387" s="488"/>
      <c r="AV387" s="479">
        <f t="shared" ref="AV387:AV391" si="205">SUM(AN387,AP387,AR387,AT387)</f>
        <v>0</v>
      </c>
      <c r="AW387" s="483">
        <f t="shared" ref="AW387:AW391" si="206">+AV387/24</f>
        <v>0</v>
      </c>
      <c r="AX387" s="481">
        <f t="shared" ref="AX387:AX391" si="207">SUM(AO387,AQ387,AS387,AU387)</f>
        <v>0</v>
      </c>
      <c r="AY387" s="484">
        <f t="shared" ref="AY387:AY391" si="208">+AX387/24</f>
        <v>0</v>
      </c>
      <c r="AZ387" s="485">
        <f t="shared" ref="AZ387:AZ391" si="209">SUM(Q387,AG387,AW387)</f>
        <v>363.31111111111113</v>
      </c>
      <c r="BA387" s="481">
        <f t="shared" ref="BA387:BA391" si="210">SUM(S387,AI387,AY387)</f>
        <v>344.44865555555555</v>
      </c>
    </row>
    <row r="388" spans="1:53">
      <c r="A388" s="536" t="s">
        <v>272</v>
      </c>
      <c r="B388" s="537" t="s">
        <v>412</v>
      </c>
      <c r="C388" s="653"/>
      <c r="D388" s="652">
        <v>375683</v>
      </c>
      <c r="E388" s="646">
        <v>13</v>
      </c>
      <c r="F388" s="486"/>
      <c r="G388" s="529"/>
      <c r="H388" s="506"/>
      <c r="I388" s="488"/>
      <c r="J388" s="506"/>
      <c r="K388" s="488"/>
      <c r="L388" s="506"/>
      <c r="M388" s="488"/>
      <c r="N388" s="506"/>
      <c r="O388" s="488"/>
      <c r="P388" s="479">
        <f t="shared" si="201"/>
        <v>0</v>
      </c>
      <c r="Q388" s="480">
        <f t="shared" si="202"/>
        <v>0</v>
      </c>
      <c r="R388" s="481">
        <f t="shared" si="203"/>
        <v>0</v>
      </c>
      <c r="S388" s="482">
        <f t="shared" si="204"/>
        <v>0</v>
      </c>
      <c r="T388" s="506"/>
      <c r="U388" s="507"/>
      <c r="V388" s="479">
        <f t="shared" si="193"/>
        <v>0</v>
      </c>
      <c r="W388" s="478">
        <f t="shared" si="194"/>
        <v>0</v>
      </c>
      <c r="X388" s="506"/>
      <c r="Y388" s="488"/>
      <c r="Z388" s="506"/>
      <c r="AA388" s="488"/>
      <c r="AB388" s="506"/>
      <c r="AC388" s="488"/>
      <c r="AD388" s="506">
        <v>680194</v>
      </c>
      <c r="AE388" s="507">
        <v>641685</v>
      </c>
      <c r="AF388" s="479">
        <f t="shared" si="195"/>
        <v>680194</v>
      </c>
      <c r="AG388" s="480">
        <f t="shared" si="196"/>
        <v>755.77111111111117</v>
      </c>
      <c r="AH388" s="481">
        <f t="shared" si="197"/>
        <v>641685</v>
      </c>
      <c r="AI388" s="481">
        <f t="shared" si="198"/>
        <v>712.98333333333335</v>
      </c>
      <c r="AJ388" s="487"/>
      <c r="AK388" s="507"/>
      <c r="AL388" s="479">
        <f t="shared" si="199"/>
        <v>0</v>
      </c>
      <c r="AM388" s="482">
        <f t="shared" si="200"/>
        <v>0</v>
      </c>
      <c r="AN388" s="487"/>
      <c r="AO388" s="488"/>
      <c r="AP388" s="487"/>
      <c r="AQ388" s="488"/>
      <c r="AR388" s="487"/>
      <c r="AS388" s="488"/>
      <c r="AT388" s="487"/>
      <c r="AU388" s="488"/>
      <c r="AV388" s="479">
        <f t="shared" si="205"/>
        <v>0</v>
      </c>
      <c r="AW388" s="483">
        <f t="shared" si="206"/>
        <v>0</v>
      </c>
      <c r="AX388" s="481">
        <f t="shared" si="207"/>
        <v>0</v>
      </c>
      <c r="AY388" s="484">
        <f t="shared" si="208"/>
        <v>0</v>
      </c>
      <c r="AZ388" s="485">
        <f t="shared" si="209"/>
        <v>755.77111111111117</v>
      </c>
      <c r="BA388" s="481">
        <f t="shared" si="210"/>
        <v>712.98333333333335</v>
      </c>
    </row>
    <row r="389" spans="1:53">
      <c r="A389" s="536" t="s">
        <v>272</v>
      </c>
      <c r="B389" s="537" t="s">
        <v>413</v>
      </c>
      <c r="C389" s="587"/>
      <c r="D389" s="652">
        <v>364548</v>
      </c>
      <c r="E389" s="539">
        <v>13</v>
      </c>
      <c r="F389" s="486"/>
      <c r="G389" s="529"/>
      <c r="H389" s="506"/>
      <c r="I389" s="488"/>
      <c r="J389" s="506"/>
      <c r="K389" s="488"/>
      <c r="L389" s="506"/>
      <c r="M389" s="488"/>
      <c r="N389" s="506"/>
      <c r="O389" s="488"/>
      <c r="P389" s="479">
        <f t="shared" si="201"/>
        <v>0</v>
      </c>
      <c r="Q389" s="480">
        <f t="shared" si="202"/>
        <v>0</v>
      </c>
      <c r="R389" s="481">
        <f t="shared" si="203"/>
        <v>0</v>
      </c>
      <c r="S389" s="482">
        <f t="shared" si="204"/>
        <v>0</v>
      </c>
      <c r="T389" s="506"/>
      <c r="U389" s="507"/>
      <c r="V389" s="479">
        <f t="shared" si="193"/>
        <v>0</v>
      </c>
      <c r="W389" s="478">
        <f t="shared" si="194"/>
        <v>0</v>
      </c>
      <c r="X389" s="506"/>
      <c r="Y389" s="488"/>
      <c r="Z389" s="506"/>
      <c r="AA389" s="488"/>
      <c r="AB389" s="506"/>
      <c r="AC389" s="488"/>
      <c r="AD389" s="506">
        <v>827147</v>
      </c>
      <c r="AE389" s="507">
        <v>776050.25</v>
      </c>
      <c r="AF389" s="479">
        <f t="shared" si="195"/>
        <v>827147</v>
      </c>
      <c r="AG389" s="480">
        <f t="shared" si="196"/>
        <v>919.05222222222221</v>
      </c>
      <c r="AH389" s="481">
        <f t="shared" si="197"/>
        <v>776050.25</v>
      </c>
      <c r="AI389" s="481">
        <f t="shared" si="198"/>
        <v>862.27805555555551</v>
      </c>
      <c r="AJ389" s="487"/>
      <c r="AK389" s="507"/>
      <c r="AL389" s="479">
        <f t="shared" si="199"/>
        <v>0</v>
      </c>
      <c r="AM389" s="482">
        <f t="shared" si="200"/>
        <v>0</v>
      </c>
      <c r="AN389" s="487"/>
      <c r="AO389" s="488"/>
      <c r="AP389" s="487"/>
      <c r="AQ389" s="488"/>
      <c r="AR389" s="487"/>
      <c r="AS389" s="488"/>
      <c r="AT389" s="487"/>
      <c r="AU389" s="488"/>
      <c r="AV389" s="479">
        <f t="shared" si="205"/>
        <v>0</v>
      </c>
      <c r="AW389" s="483">
        <f t="shared" si="206"/>
        <v>0</v>
      </c>
      <c r="AX389" s="481">
        <f t="shared" si="207"/>
        <v>0</v>
      </c>
      <c r="AY389" s="484">
        <f t="shared" si="208"/>
        <v>0</v>
      </c>
      <c r="AZ389" s="485">
        <f t="shared" si="209"/>
        <v>919.05222222222221</v>
      </c>
      <c r="BA389" s="481">
        <f t="shared" si="210"/>
        <v>862.27805555555551</v>
      </c>
    </row>
    <row r="390" spans="1:53">
      <c r="A390" s="588" t="s">
        <v>272</v>
      </c>
      <c r="B390" s="537" t="s">
        <v>414</v>
      </c>
      <c r="C390" s="653"/>
      <c r="D390" s="652">
        <v>428019</v>
      </c>
      <c r="E390" s="646">
        <v>13</v>
      </c>
      <c r="F390" s="486"/>
      <c r="G390" s="529"/>
      <c r="H390" s="506"/>
      <c r="I390" s="488"/>
      <c r="J390" s="506"/>
      <c r="K390" s="488"/>
      <c r="L390" s="506"/>
      <c r="M390" s="488"/>
      <c r="N390" s="506"/>
      <c r="O390" s="488"/>
      <c r="P390" s="479">
        <f t="shared" si="201"/>
        <v>0</v>
      </c>
      <c r="Q390" s="480">
        <f t="shared" si="202"/>
        <v>0</v>
      </c>
      <c r="R390" s="481">
        <f t="shared" si="203"/>
        <v>0</v>
      </c>
      <c r="S390" s="482">
        <f t="shared" si="204"/>
        <v>0</v>
      </c>
      <c r="T390" s="506"/>
      <c r="U390" s="507"/>
      <c r="V390" s="479">
        <f t="shared" si="193"/>
        <v>0</v>
      </c>
      <c r="W390" s="478">
        <f t="shared" si="194"/>
        <v>0</v>
      </c>
      <c r="X390" s="506"/>
      <c r="Y390" s="488"/>
      <c r="Z390" s="506"/>
      <c r="AA390" s="488"/>
      <c r="AB390" s="506"/>
      <c r="AC390" s="488"/>
      <c r="AD390" s="506">
        <v>207618</v>
      </c>
      <c r="AE390" s="507">
        <v>191823</v>
      </c>
      <c r="AF390" s="479">
        <f t="shared" si="195"/>
        <v>207618</v>
      </c>
      <c r="AG390" s="480">
        <f t="shared" si="196"/>
        <v>230.68666666666667</v>
      </c>
      <c r="AH390" s="481">
        <f t="shared" si="197"/>
        <v>191823</v>
      </c>
      <c r="AI390" s="481">
        <f t="shared" si="198"/>
        <v>213.13666666666666</v>
      </c>
      <c r="AJ390" s="487"/>
      <c r="AK390" s="507"/>
      <c r="AL390" s="479">
        <f t="shared" si="199"/>
        <v>0</v>
      </c>
      <c r="AM390" s="482">
        <f t="shared" si="200"/>
        <v>0</v>
      </c>
      <c r="AN390" s="487"/>
      <c r="AO390" s="488"/>
      <c r="AP390" s="487"/>
      <c r="AQ390" s="488"/>
      <c r="AR390" s="487"/>
      <c r="AS390" s="488"/>
      <c r="AT390" s="487"/>
      <c r="AU390" s="488"/>
      <c r="AV390" s="479">
        <f t="shared" si="205"/>
        <v>0</v>
      </c>
      <c r="AW390" s="483">
        <f t="shared" si="206"/>
        <v>0</v>
      </c>
      <c r="AX390" s="481">
        <f t="shared" si="207"/>
        <v>0</v>
      </c>
      <c r="AY390" s="484">
        <f t="shared" si="208"/>
        <v>0</v>
      </c>
      <c r="AZ390" s="485">
        <f t="shared" si="209"/>
        <v>230.68666666666667</v>
      </c>
      <c r="BA390" s="481">
        <f t="shared" si="210"/>
        <v>213.13666666666666</v>
      </c>
    </row>
    <row r="391" spans="1:53">
      <c r="A391" s="536" t="s">
        <v>272</v>
      </c>
      <c r="B391" s="537" t="s">
        <v>415</v>
      </c>
      <c r="C391" s="653"/>
      <c r="D391" s="652">
        <v>208053</v>
      </c>
      <c r="E391" s="646">
        <v>13</v>
      </c>
      <c r="F391" s="486"/>
      <c r="G391" s="529"/>
      <c r="H391" s="506"/>
      <c r="I391" s="488"/>
      <c r="J391" s="506"/>
      <c r="K391" s="488"/>
      <c r="L391" s="506"/>
      <c r="M391" s="488"/>
      <c r="N391" s="506"/>
      <c r="O391" s="488"/>
      <c r="P391" s="479">
        <f t="shared" si="201"/>
        <v>0</v>
      </c>
      <c r="Q391" s="480">
        <f t="shared" si="202"/>
        <v>0</v>
      </c>
      <c r="R391" s="481">
        <f t="shared" si="203"/>
        <v>0</v>
      </c>
      <c r="S391" s="482">
        <f t="shared" si="204"/>
        <v>0</v>
      </c>
      <c r="T391" s="506"/>
      <c r="U391" s="507"/>
      <c r="V391" s="479">
        <f t="shared" si="193"/>
        <v>0</v>
      </c>
      <c r="W391" s="478">
        <f t="shared" si="194"/>
        <v>0</v>
      </c>
      <c r="X391" s="506"/>
      <c r="Y391" s="488"/>
      <c r="Z391" s="506"/>
      <c r="AA391" s="488"/>
      <c r="AB391" s="506"/>
      <c r="AC391" s="488"/>
      <c r="AD391" s="506">
        <v>189990</v>
      </c>
      <c r="AE391" s="507">
        <v>182392.25</v>
      </c>
      <c r="AF391" s="479">
        <f t="shared" si="195"/>
        <v>189990</v>
      </c>
      <c r="AG391" s="480">
        <f t="shared" si="196"/>
        <v>211.1</v>
      </c>
      <c r="AH391" s="481">
        <f t="shared" si="197"/>
        <v>182392.25</v>
      </c>
      <c r="AI391" s="481">
        <f t="shared" si="198"/>
        <v>202.65805555555556</v>
      </c>
      <c r="AJ391" s="487"/>
      <c r="AK391" s="507"/>
      <c r="AL391" s="479">
        <f t="shared" si="199"/>
        <v>0</v>
      </c>
      <c r="AM391" s="482">
        <f t="shared" si="200"/>
        <v>0</v>
      </c>
      <c r="AN391" s="487"/>
      <c r="AO391" s="488"/>
      <c r="AP391" s="487"/>
      <c r="AQ391" s="488"/>
      <c r="AR391" s="487"/>
      <c r="AS391" s="488"/>
      <c r="AT391" s="487"/>
      <c r="AU391" s="488"/>
      <c r="AV391" s="479">
        <f t="shared" si="205"/>
        <v>0</v>
      </c>
      <c r="AW391" s="483">
        <f t="shared" si="206"/>
        <v>0</v>
      </c>
      <c r="AX391" s="481">
        <f t="shared" si="207"/>
        <v>0</v>
      </c>
      <c r="AY391" s="484">
        <f t="shared" si="208"/>
        <v>0</v>
      </c>
      <c r="AZ391" s="485">
        <f t="shared" si="209"/>
        <v>211.1</v>
      </c>
      <c r="BA391" s="481">
        <f t="shared" si="210"/>
        <v>202.65805555555556</v>
      </c>
    </row>
    <row r="392" spans="1:53">
      <c r="A392" s="536" t="s">
        <v>272</v>
      </c>
      <c r="B392" s="537" t="s">
        <v>416</v>
      </c>
      <c r="C392" s="653"/>
      <c r="D392" s="652">
        <v>418296</v>
      </c>
      <c r="E392" s="646">
        <v>13</v>
      </c>
      <c r="F392" s="486"/>
      <c r="G392" s="529"/>
      <c r="H392" s="506"/>
      <c r="I392" s="488"/>
      <c r="J392" s="506"/>
      <c r="K392" s="488"/>
      <c r="L392" s="506"/>
      <c r="M392" s="488"/>
      <c r="N392" s="506"/>
      <c r="O392" s="488"/>
      <c r="P392" s="479">
        <f t="shared" ref="P392:P455" si="211">SUM(H392,J392,L392,N392)</f>
        <v>0</v>
      </c>
      <c r="Q392" s="480">
        <f t="shared" ref="Q392:Q455" si="212">+P392/30</f>
        <v>0</v>
      </c>
      <c r="R392" s="481">
        <f t="shared" ref="R392:R455" si="213">SUM(I392,K392,M392,O392)</f>
        <v>0</v>
      </c>
      <c r="S392" s="482">
        <f t="shared" ref="S392:S455" si="214">+R392/30</f>
        <v>0</v>
      </c>
      <c r="T392" s="506"/>
      <c r="U392" s="507"/>
      <c r="V392" s="479">
        <f t="shared" ref="V392:V455" si="215">IF(ISBLANK(T392),0,P392)</f>
        <v>0</v>
      </c>
      <c r="W392" s="478">
        <f t="shared" ref="W392:W455" si="216">IF(ISBLANK(U392),0,R392)</f>
        <v>0</v>
      </c>
      <c r="X392" s="506"/>
      <c r="Y392" s="488"/>
      <c r="Z392" s="506"/>
      <c r="AA392" s="488"/>
      <c r="AB392" s="506"/>
      <c r="AC392" s="488"/>
      <c r="AD392" s="506">
        <v>488612</v>
      </c>
      <c r="AE392" s="507">
        <v>477487.3</v>
      </c>
      <c r="AF392" s="479">
        <f t="shared" ref="AF392:AF455" si="217">SUM(X392,Z392,AB392,AD392)</f>
        <v>488612</v>
      </c>
      <c r="AG392" s="480">
        <f t="shared" ref="AG392:AG455" si="218">+AF392/900</f>
        <v>542.90222222222224</v>
      </c>
      <c r="AH392" s="481">
        <f t="shared" ref="AH392:AH455" si="219">SUM(Y392,AA392,AC392,AE392)</f>
        <v>477487.3</v>
      </c>
      <c r="AI392" s="481">
        <f t="shared" ref="AI392:AI455" si="220">+AH392/900</f>
        <v>530.54144444444444</v>
      </c>
      <c r="AJ392" s="487"/>
      <c r="AK392" s="507"/>
      <c r="AL392" s="479">
        <f t="shared" ref="AL392:AL455" si="221">IF(ISBLANK(AJ392),0,AF392)</f>
        <v>0</v>
      </c>
      <c r="AM392" s="482">
        <f t="shared" ref="AM392:AM455" si="222">IF(ISBLANK(AK392),0,AH392)</f>
        <v>0</v>
      </c>
      <c r="AN392" s="487"/>
      <c r="AO392" s="488"/>
      <c r="AP392" s="487"/>
      <c r="AQ392" s="488"/>
      <c r="AR392" s="487"/>
      <c r="AS392" s="488"/>
      <c r="AT392" s="487"/>
      <c r="AU392" s="488"/>
      <c r="AV392" s="479">
        <f t="shared" ref="AV392:AV455" si="223">SUM(AN392,AP392,AR392,AT392)</f>
        <v>0</v>
      </c>
      <c r="AW392" s="483">
        <f t="shared" ref="AW392:AW455" si="224">+AV392/24</f>
        <v>0</v>
      </c>
      <c r="AX392" s="481">
        <f t="shared" ref="AX392:AX455" si="225">SUM(AO392,AQ392,AS392,AU392)</f>
        <v>0</v>
      </c>
      <c r="AY392" s="484">
        <f t="shared" ref="AY392:AY455" si="226">+AX392/24</f>
        <v>0</v>
      </c>
      <c r="AZ392" s="485">
        <f t="shared" ref="AZ392:AZ455" si="227">SUM(Q392,AG392,AW392)</f>
        <v>542.90222222222224</v>
      </c>
      <c r="BA392" s="481">
        <f t="shared" ref="BA392:BA455" si="228">SUM(S392,AI392,AY392)</f>
        <v>530.54144444444444</v>
      </c>
    </row>
    <row r="393" spans="1:53">
      <c r="A393" s="536" t="s">
        <v>272</v>
      </c>
      <c r="B393" s="537" t="s">
        <v>417</v>
      </c>
      <c r="C393" s="653"/>
      <c r="D393" s="652">
        <v>421540</v>
      </c>
      <c r="E393" s="646">
        <v>13</v>
      </c>
      <c r="F393" s="486"/>
      <c r="G393" s="529"/>
      <c r="H393" s="506"/>
      <c r="I393" s="488"/>
      <c r="J393" s="506"/>
      <c r="K393" s="488"/>
      <c r="L393" s="506"/>
      <c r="M393" s="488"/>
      <c r="N393" s="506"/>
      <c r="O393" s="488"/>
      <c r="P393" s="479">
        <f t="shared" si="211"/>
        <v>0</v>
      </c>
      <c r="Q393" s="480">
        <f t="shared" si="212"/>
        <v>0</v>
      </c>
      <c r="R393" s="481">
        <f t="shared" si="213"/>
        <v>0</v>
      </c>
      <c r="S393" s="482">
        <f t="shared" si="214"/>
        <v>0</v>
      </c>
      <c r="T393" s="506"/>
      <c r="U393" s="507"/>
      <c r="V393" s="479">
        <f t="shared" si="215"/>
        <v>0</v>
      </c>
      <c r="W393" s="478">
        <f t="shared" si="216"/>
        <v>0</v>
      </c>
      <c r="X393" s="506"/>
      <c r="Y393" s="488"/>
      <c r="Z393" s="506"/>
      <c r="AA393" s="488"/>
      <c r="AB393" s="506"/>
      <c r="AC393" s="488"/>
      <c r="AD393" s="506">
        <v>158466</v>
      </c>
      <c r="AE393" s="507">
        <v>148841</v>
      </c>
      <c r="AF393" s="479">
        <f t="shared" si="217"/>
        <v>158466</v>
      </c>
      <c r="AG393" s="480">
        <f t="shared" si="218"/>
        <v>176.07333333333332</v>
      </c>
      <c r="AH393" s="481">
        <f t="shared" si="219"/>
        <v>148841</v>
      </c>
      <c r="AI393" s="481">
        <f t="shared" si="220"/>
        <v>165.37888888888889</v>
      </c>
      <c r="AJ393" s="487"/>
      <c r="AK393" s="507"/>
      <c r="AL393" s="479">
        <f t="shared" si="221"/>
        <v>0</v>
      </c>
      <c r="AM393" s="482">
        <f t="shared" si="222"/>
        <v>0</v>
      </c>
      <c r="AN393" s="487"/>
      <c r="AO393" s="488"/>
      <c r="AP393" s="487"/>
      <c r="AQ393" s="488"/>
      <c r="AR393" s="487"/>
      <c r="AS393" s="488"/>
      <c r="AT393" s="487"/>
      <c r="AU393" s="488"/>
      <c r="AV393" s="479">
        <f t="shared" si="223"/>
        <v>0</v>
      </c>
      <c r="AW393" s="483">
        <f t="shared" si="224"/>
        <v>0</v>
      </c>
      <c r="AX393" s="481">
        <f t="shared" si="225"/>
        <v>0</v>
      </c>
      <c r="AY393" s="484">
        <f t="shared" si="226"/>
        <v>0</v>
      </c>
      <c r="AZ393" s="485">
        <f t="shared" si="227"/>
        <v>176.07333333333332</v>
      </c>
      <c r="BA393" s="481">
        <f t="shared" si="228"/>
        <v>165.37888888888889</v>
      </c>
    </row>
    <row r="394" spans="1:53">
      <c r="A394" s="536" t="s">
        <v>272</v>
      </c>
      <c r="B394" s="537" t="s">
        <v>418</v>
      </c>
      <c r="C394" s="653"/>
      <c r="D394" s="652">
        <v>421559</v>
      </c>
      <c r="E394" s="646">
        <v>13</v>
      </c>
      <c r="F394" s="486"/>
      <c r="G394" s="529"/>
      <c r="H394" s="506"/>
      <c r="I394" s="488"/>
      <c r="J394" s="506"/>
      <c r="K394" s="488"/>
      <c r="L394" s="506"/>
      <c r="M394" s="488"/>
      <c r="N394" s="506"/>
      <c r="O394" s="488"/>
      <c r="P394" s="479">
        <f t="shared" si="211"/>
        <v>0</v>
      </c>
      <c r="Q394" s="480">
        <f t="shared" si="212"/>
        <v>0</v>
      </c>
      <c r="R394" s="481">
        <f t="shared" si="213"/>
        <v>0</v>
      </c>
      <c r="S394" s="482">
        <f t="shared" si="214"/>
        <v>0</v>
      </c>
      <c r="T394" s="506"/>
      <c r="U394" s="507"/>
      <c r="V394" s="479">
        <f t="shared" si="215"/>
        <v>0</v>
      </c>
      <c r="W394" s="478">
        <f t="shared" si="216"/>
        <v>0</v>
      </c>
      <c r="X394" s="506"/>
      <c r="Y394" s="488"/>
      <c r="Z394" s="506"/>
      <c r="AA394" s="488"/>
      <c r="AB394" s="506"/>
      <c r="AC394" s="488"/>
      <c r="AD394" s="506">
        <v>117530</v>
      </c>
      <c r="AE394" s="507">
        <v>112729</v>
      </c>
      <c r="AF394" s="479">
        <f t="shared" si="217"/>
        <v>117530</v>
      </c>
      <c r="AG394" s="480">
        <f t="shared" si="218"/>
        <v>130.5888888888889</v>
      </c>
      <c r="AH394" s="481">
        <f t="shared" si="219"/>
        <v>112729</v>
      </c>
      <c r="AI394" s="481">
        <f t="shared" si="220"/>
        <v>125.25444444444445</v>
      </c>
      <c r="AJ394" s="487"/>
      <c r="AK394" s="507"/>
      <c r="AL394" s="479">
        <f t="shared" si="221"/>
        <v>0</v>
      </c>
      <c r="AM394" s="482">
        <f t="shared" si="222"/>
        <v>0</v>
      </c>
      <c r="AN394" s="487"/>
      <c r="AO394" s="488"/>
      <c r="AP394" s="487"/>
      <c r="AQ394" s="488"/>
      <c r="AR394" s="487"/>
      <c r="AS394" s="488"/>
      <c r="AT394" s="487"/>
      <c r="AU394" s="488"/>
      <c r="AV394" s="479">
        <f t="shared" si="223"/>
        <v>0</v>
      </c>
      <c r="AW394" s="483">
        <f t="shared" si="224"/>
        <v>0</v>
      </c>
      <c r="AX394" s="481">
        <f t="shared" si="225"/>
        <v>0</v>
      </c>
      <c r="AY394" s="484">
        <f t="shared" si="226"/>
        <v>0</v>
      </c>
      <c r="AZ394" s="485">
        <f t="shared" si="227"/>
        <v>130.5888888888889</v>
      </c>
      <c r="BA394" s="481">
        <f t="shared" si="228"/>
        <v>125.25444444444445</v>
      </c>
    </row>
    <row r="395" spans="1:53">
      <c r="A395" s="536" t="s">
        <v>272</v>
      </c>
      <c r="B395" s="537" t="s">
        <v>419</v>
      </c>
      <c r="C395" s="653"/>
      <c r="D395" s="652">
        <v>208026</v>
      </c>
      <c r="E395" s="646">
        <v>13</v>
      </c>
      <c r="F395" s="486"/>
      <c r="G395" s="529"/>
      <c r="H395" s="506"/>
      <c r="I395" s="488"/>
      <c r="J395" s="506"/>
      <c r="K395" s="488"/>
      <c r="L395" s="506"/>
      <c r="M395" s="488"/>
      <c r="N395" s="506"/>
      <c r="O395" s="488"/>
      <c r="P395" s="479">
        <f t="shared" si="211"/>
        <v>0</v>
      </c>
      <c r="Q395" s="480">
        <f t="shared" si="212"/>
        <v>0</v>
      </c>
      <c r="R395" s="481">
        <f t="shared" si="213"/>
        <v>0</v>
      </c>
      <c r="S395" s="482">
        <f t="shared" si="214"/>
        <v>0</v>
      </c>
      <c r="T395" s="506"/>
      <c r="U395" s="507"/>
      <c r="V395" s="479">
        <f t="shared" si="215"/>
        <v>0</v>
      </c>
      <c r="W395" s="478">
        <f t="shared" si="216"/>
        <v>0</v>
      </c>
      <c r="X395" s="506"/>
      <c r="Y395" s="488"/>
      <c r="Z395" s="506"/>
      <c r="AA395" s="488"/>
      <c r="AB395" s="506"/>
      <c r="AC395" s="488"/>
      <c r="AD395" s="506">
        <v>195943</v>
      </c>
      <c r="AE395" s="507">
        <v>188224</v>
      </c>
      <c r="AF395" s="479">
        <f t="shared" si="217"/>
        <v>195943</v>
      </c>
      <c r="AG395" s="480">
        <f t="shared" si="218"/>
        <v>217.71444444444444</v>
      </c>
      <c r="AH395" s="481">
        <f t="shared" si="219"/>
        <v>188224</v>
      </c>
      <c r="AI395" s="481">
        <f t="shared" si="220"/>
        <v>209.13777777777779</v>
      </c>
      <c r="AJ395" s="487"/>
      <c r="AK395" s="507"/>
      <c r="AL395" s="479">
        <f t="shared" si="221"/>
        <v>0</v>
      </c>
      <c r="AM395" s="482">
        <f t="shared" si="222"/>
        <v>0</v>
      </c>
      <c r="AN395" s="487"/>
      <c r="AO395" s="488"/>
      <c r="AP395" s="487"/>
      <c r="AQ395" s="488"/>
      <c r="AR395" s="487"/>
      <c r="AS395" s="488"/>
      <c r="AT395" s="487"/>
      <c r="AU395" s="488"/>
      <c r="AV395" s="479">
        <f t="shared" si="223"/>
        <v>0</v>
      </c>
      <c r="AW395" s="483">
        <f t="shared" si="224"/>
        <v>0</v>
      </c>
      <c r="AX395" s="481">
        <f t="shared" si="225"/>
        <v>0</v>
      </c>
      <c r="AY395" s="484">
        <f t="shared" si="226"/>
        <v>0</v>
      </c>
      <c r="AZ395" s="485">
        <f t="shared" si="227"/>
        <v>217.71444444444444</v>
      </c>
      <c r="BA395" s="481">
        <f t="shared" si="228"/>
        <v>209.13777777777779</v>
      </c>
    </row>
    <row r="396" spans="1:53">
      <c r="A396" s="536" t="s">
        <v>272</v>
      </c>
      <c r="B396" s="537" t="s">
        <v>420</v>
      </c>
      <c r="C396" s="653"/>
      <c r="D396" s="652">
        <v>375692</v>
      </c>
      <c r="E396" s="646">
        <v>13</v>
      </c>
      <c r="F396" s="486"/>
      <c r="G396" s="529"/>
      <c r="H396" s="506"/>
      <c r="I396" s="488"/>
      <c r="J396" s="506"/>
      <c r="K396" s="488"/>
      <c r="L396" s="506"/>
      <c r="M396" s="488"/>
      <c r="N396" s="506"/>
      <c r="O396" s="488"/>
      <c r="P396" s="479">
        <f t="shared" si="211"/>
        <v>0</v>
      </c>
      <c r="Q396" s="480">
        <f t="shared" si="212"/>
        <v>0</v>
      </c>
      <c r="R396" s="481">
        <f t="shared" si="213"/>
        <v>0</v>
      </c>
      <c r="S396" s="482">
        <f t="shared" si="214"/>
        <v>0</v>
      </c>
      <c r="T396" s="506"/>
      <c r="U396" s="507"/>
      <c r="V396" s="479">
        <f t="shared" si="215"/>
        <v>0</v>
      </c>
      <c r="W396" s="478">
        <f t="shared" si="216"/>
        <v>0</v>
      </c>
      <c r="X396" s="506"/>
      <c r="Y396" s="488"/>
      <c r="Z396" s="506"/>
      <c r="AA396" s="488"/>
      <c r="AB396" s="506"/>
      <c r="AC396" s="488"/>
      <c r="AD396" s="506">
        <v>106717</v>
      </c>
      <c r="AE396" s="507">
        <v>109479.5</v>
      </c>
      <c r="AF396" s="479">
        <f t="shared" si="217"/>
        <v>106717</v>
      </c>
      <c r="AG396" s="480">
        <f t="shared" si="218"/>
        <v>118.57444444444444</v>
      </c>
      <c r="AH396" s="481">
        <f t="shared" si="219"/>
        <v>109479.5</v>
      </c>
      <c r="AI396" s="481">
        <f t="shared" si="220"/>
        <v>121.6438888888889</v>
      </c>
      <c r="AJ396" s="487"/>
      <c r="AK396" s="507"/>
      <c r="AL396" s="479">
        <f t="shared" si="221"/>
        <v>0</v>
      </c>
      <c r="AM396" s="482">
        <f t="shared" si="222"/>
        <v>0</v>
      </c>
      <c r="AN396" s="487"/>
      <c r="AO396" s="488"/>
      <c r="AP396" s="487"/>
      <c r="AQ396" s="488"/>
      <c r="AR396" s="487"/>
      <c r="AS396" s="488"/>
      <c r="AT396" s="487"/>
      <c r="AU396" s="488"/>
      <c r="AV396" s="479">
        <f t="shared" si="223"/>
        <v>0</v>
      </c>
      <c r="AW396" s="483">
        <f t="shared" si="224"/>
        <v>0</v>
      </c>
      <c r="AX396" s="481">
        <f t="shared" si="225"/>
        <v>0</v>
      </c>
      <c r="AY396" s="484">
        <f t="shared" si="226"/>
        <v>0</v>
      </c>
      <c r="AZ396" s="485">
        <f t="shared" si="227"/>
        <v>118.57444444444444</v>
      </c>
      <c r="BA396" s="481">
        <f t="shared" si="228"/>
        <v>121.6438888888889</v>
      </c>
    </row>
    <row r="397" spans="1:53">
      <c r="A397" s="536" t="s">
        <v>272</v>
      </c>
      <c r="B397" s="537" t="s">
        <v>421</v>
      </c>
      <c r="C397" s="653"/>
      <c r="D397" s="652">
        <v>375708</v>
      </c>
      <c r="E397" s="646">
        <v>13</v>
      </c>
      <c r="F397" s="486"/>
      <c r="G397" s="529"/>
      <c r="H397" s="506"/>
      <c r="I397" s="488"/>
      <c r="J397" s="506"/>
      <c r="K397" s="488"/>
      <c r="L397" s="506"/>
      <c r="M397" s="488"/>
      <c r="N397" s="506"/>
      <c r="O397" s="488"/>
      <c r="P397" s="479">
        <f t="shared" si="211"/>
        <v>0</v>
      </c>
      <c r="Q397" s="480">
        <f t="shared" si="212"/>
        <v>0</v>
      </c>
      <c r="R397" s="481">
        <f t="shared" si="213"/>
        <v>0</v>
      </c>
      <c r="S397" s="482">
        <f t="shared" si="214"/>
        <v>0</v>
      </c>
      <c r="T397" s="506"/>
      <c r="U397" s="507"/>
      <c r="V397" s="479">
        <f t="shared" si="215"/>
        <v>0</v>
      </c>
      <c r="W397" s="478">
        <f t="shared" si="216"/>
        <v>0</v>
      </c>
      <c r="X397" s="506"/>
      <c r="Y397" s="488"/>
      <c r="Z397" s="506"/>
      <c r="AA397" s="488"/>
      <c r="AB397" s="506"/>
      <c r="AC397" s="488"/>
      <c r="AD397" s="506">
        <v>169385</v>
      </c>
      <c r="AE397" s="507">
        <v>171229.5</v>
      </c>
      <c r="AF397" s="479">
        <f t="shared" si="217"/>
        <v>169385</v>
      </c>
      <c r="AG397" s="480">
        <f t="shared" si="218"/>
        <v>188.20555555555555</v>
      </c>
      <c r="AH397" s="481">
        <f t="shared" si="219"/>
        <v>171229.5</v>
      </c>
      <c r="AI397" s="481">
        <f t="shared" si="220"/>
        <v>190.255</v>
      </c>
      <c r="AJ397" s="487"/>
      <c r="AK397" s="507"/>
      <c r="AL397" s="479">
        <f t="shared" si="221"/>
        <v>0</v>
      </c>
      <c r="AM397" s="482">
        <f t="shared" si="222"/>
        <v>0</v>
      </c>
      <c r="AN397" s="487"/>
      <c r="AO397" s="488"/>
      <c r="AP397" s="487"/>
      <c r="AQ397" s="488"/>
      <c r="AR397" s="487"/>
      <c r="AS397" s="488"/>
      <c r="AT397" s="487"/>
      <c r="AU397" s="488"/>
      <c r="AV397" s="479">
        <f t="shared" si="223"/>
        <v>0</v>
      </c>
      <c r="AW397" s="483">
        <f t="shared" si="224"/>
        <v>0</v>
      </c>
      <c r="AX397" s="481">
        <f t="shared" si="225"/>
        <v>0</v>
      </c>
      <c r="AY397" s="484">
        <f t="shared" si="226"/>
        <v>0</v>
      </c>
      <c r="AZ397" s="485">
        <f t="shared" si="227"/>
        <v>188.20555555555555</v>
      </c>
      <c r="BA397" s="481">
        <f t="shared" si="228"/>
        <v>190.255</v>
      </c>
    </row>
    <row r="398" spans="1:53">
      <c r="A398" s="536" t="s">
        <v>272</v>
      </c>
      <c r="B398" s="537" t="s">
        <v>422</v>
      </c>
      <c r="C398" s="653"/>
      <c r="D398" s="652">
        <v>375717</v>
      </c>
      <c r="E398" s="646">
        <v>13</v>
      </c>
      <c r="F398" s="486"/>
      <c r="G398" s="529"/>
      <c r="H398" s="506"/>
      <c r="I398" s="488"/>
      <c r="J398" s="506"/>
      <c r="K398" s="488"/>
      <c r="L398" s="506"/>
      <c r="M398" s="488"/>
      <c r="N398" s="506"/>
      <c r="O398" s="488"/>
      <c r="P398" s="479">
        <f t="shared" si="211"/>
        <v>0</v>
      </c>
      <c r="Q398" s="480">
        <f t="shared" si="212"/>
        <v>0</v>
      </c>
      <c r="R398" s="481">
        <f t="shared" si="213"/>
        <v>0</v>
      </c>
      <c r="S398" s="482">
        <f t="shared" si="214"/>
        <v>0</v>
      </c>
      <c r="T398" s="506"/>
      <c r="U398" s="507"/>
      <c r="V398" s="479">
        <f t="shared" si="215"/>
        <v>0</v>
      </c>
      <c r="W398" s="478">
        <f t="shared" si="216"/>
        <v>0</v>
      </c>
      <c r="X398" s="506"/>
      <c r="Y398" s="488"/>
      <c r="Z398" s="506"/>
      <c r="AA398" s="488"/>
      <c r="AB398" s="506"/>
      <c r="AC398" s="488"/>
      <c r="AD398" s="506">
        <v>139724</v>
      </c>
      <c r="AE398" s="507">
        <v>147243</v>
      </c>
      <c r="AF398" s="479">
        <f t="shared" si="217"/>
        <v>139724</v>
      </c>
      <c r="AG398" s="480">
        <f t="shared" si="218"/>
        <v>155.2488888888889</v>
      </c>
      <c r="AH398" s="481">
        <f t="shared" si="219"/>
        <v>147243</v>
      </c>
      <c r="AI398" s="481">
        <f t="shared" si="220"/>
        <v>163.60333333333332</v>
      </c>
      <c r="AJ398" s="487"/>
      <c r="AK398" s="507"/>
      <c r="AL398" s="479">
        <f t="shared" si="221"/>
        <v>0</v>
      </c>
      <c r="AM398" s="482">
        <f t="shared" si="222"/>
        <v>0</v>
      </c>
      <c r="AN398" s="487"/>
      <c r="AO398" s="488"/>
      <c r="AP398" s="487"/>
      <c r="AQ398" s="488"/>
      <c r="AR398" s="487"/>
      <c r="AS398" s="488"/>
      <c r="AT398" s="487"/>
      <c r="AU398" s="488"/>
      <c r="AV398" s="479">
        <f t="shared" si="223"/>
        <v>0</v>
      </c>
      <c r="AW398" s="483">
        <f t="shared" si="224"/>
        <v>0</v>
      </c>
      <c r="AX398" s="481">
        <f t="shared" si="225"/>
        <v>0</v>
      </c>
      <c r="AY398" s="484">
        <f t="shared" si="226"/>
        <v>0</v>
      </c>
      <c r="AZ398" s="485">
        <f t="shared" si="227"/>
        <v>155.2488888888889</v>
      </c>
      <c r="BA398" s="481">
        <f t="shared" si="228"/>
        <v>163.60333333333332</v>
      </c>
    </row>
    <row r="399" spans="1:53">
      <c r="A399" s="536" t="s">
        <v>272</v>
      </c>
      <c r="B399" s="537" t="s">
        <v>423</v>
      </c>
      <c r="C399" s="653"/>
      <c r="D399" s="652">
        <v>375735</v>
      </c>
      <c r="E399" s="646">
        <v>13</v>
      </c>
      <c r="F399" s="486"/>
      <c r="G399" s="529"/>
      <c r="H399" s="506"/>
      <c r="I399" s="488"/>
      <c r="J399" s="506"/>
      <c r="K399" s="488"/>
      <c r="L399" s="506"/>
      <c r="M399" s="488"/>
      <c r="N399" s="506"/>
      <c r="O399" s="488"/>
      <c r="P399" s="479">
        <f t="shared" si="211"/>
        <v>0</v>
      </c>
      <c r="Q399" s="480">
        <f t="shared" si="212"/>
        <v>0</v>
      </c>
      <c r="R399" s="481">
        <f t="shared" si="213"/>
        <v>0</v>
      </c>
      <c r="S399" s="482">
        <f t="shared" si="214"/>
        <v>0</v>
      </c>
      <c r="T399" s="506"/>
      <c r="U399" s="507"/>
      <c r="V399" s="479">
        <f t="shared" si="215"/>
        <v>0</v>
      </c>
      <c r="W399" s="478">
        <f t="shared" si="216"/>
        <v>0</v>
      </c>
      <c r="X399" s="506"/>
      <c r="Y399" s="488"/>
      <c r="Z399" s="506"/>
      <c r="AA399" s="488"/>
      <c r="AB399" s="506"/>
      <c r="AC399" s="488"/>
      <c r="AD399" s="506">
        <v>188055</v>
      </c>
      <c r="AE399" s="507">
        <v>195062</v>
      </c>
      <c r="AF399" s="479">
        <f t="shared" si="217"/>
        <v>188055</v>
      </c>
      <c r="AG399" s="480">
        <f t="shared" si="218"/>
        <v>208.95</v>
      </c>
      <c r="AH399" s="481">
        <f t="shared" si="219"/>
        <v>195062</v>
      </c>
      <c r="AI399" s="481">
        <f t="shared" si="220"/>
        <v>216.73555555555555</v>
      </c>
      <c r="AJ399" s="487"/>
      <c r="AK399" s="507"/>
      <c r="AL399" s="479">
        <f t="shared" si="221"/>
        <v>0</v>
      </c>
      <c r="AM399" s="482">
        <f t="shared" si="222"/>
        <v>0</v>
      </c>
      <c r="AN399" s="487"/>
      <c r="AO399" s="488"/>
      <c r="AP399" s="487"/>
      <c r="AQ399" s="488"/>
      <c r="AR399" s="487"/>
      <c r="AS399" s="488"/>
      <c r="AT399" s="487"/>
      <c r="AU399" s="488"/>
      <c r="AV399" s="479">
        <f t="shared" si="223"/>
        <v>0</v>
      </c>
      <c r="AW399" s="483">
        <f t="shared" si="224"/>
        <v>0</v>
      </c>
      <c r="AX399" s="481">
        <f t="shared" si="225"/>
        <v>0</v>
      </c>
      <c r="AY399" s="484">
        <f t="shared" si="226"/>
        <v>0</v>
      </c>
      <c r="AZ399" s="485">
        <f t="shared" si="227"/>
        <v>208.95</v>
      </c>
      <c r="BA399" s="481">
        <f t="shared" si="228"/>
        <v>216.73555555555555</v>
      </c>
    </row>
    <row r="400" spans="1:53">
      <c r="A400" s="536" t="s">
        <v>272</v>
      </c>
      <c r="B400" s="537" t="s">
        <v>424</v>
      </c>
      <c r="C400" s="653"/>
      <c r="D400" s="652">
        <v>375726</v>
      </c>
      <c r="E400" s="646">
        <v>13</v>
      </c>
      <c r="F400" s="486"/>
      <c r="G400" s="529"/>
      <c r="H400" s="506"/>
      <c r="I400" s="488"/>
      <c r="J400" s="506"/>
      <c r="K400" s="488"/>
      <c r="L400" s="506"/>
      <c r="M400" s="488"/>
      <c r="N400" s="506"/>
      <c r="O400" s="488"/>
      <c r="P400" s="479">
        <f t="shared" si="211"/>
        <v>0</v>
      </c>
      <c r="Q400" s="480">
        <f t="shared" si="212"/>
        <v>0</v>
      </c>
      <c r="R400" s="481">
        <f t="shared" si="213"/>
        <v>0</v>
      </c>
      <c r="S400" s="482">
        <f t="shared" si="214"/>
        <v>0</v>
      </c>
      <c r="T400" s="506"/>
      <c r="U400" s="507"/>
      <c r="V400" s="479">
        <f t="shared" si="215"/>
        <v>0</v>
      </c>
      <c r="W400" s="478">
        <f t="shared" si="216"/>
        <v>0</v>
      </c>
      <c r="X400" s="506"/>
      <c r="Y400" s="488"/>
      <c r="Z400" s="506"/>
      <c r="AA400" s="488"/>
      <c r="AB400" s="506"/>
      <c r="AC400" s="488"/>
      <c r="AD400" s="506">
        <v>335342</v>
      </c>
      <c r="AE400" s="507">
        <v>261368</v>
      </c>
      <c r="AF400" s="479">
        <f t="shared" si="217"/>
        <v>335342</v>
      </c>
      <c r="AG400" s="480">
        <f t="shared" si="218"/>
        <v>372.60222222222222</v>
      </c>
      <c r="AH400" s="481">
        <f t="shared" si="219"/>
        <v>261368</v>
      </c>
      <c r="AI400" s="481">
        <f t="shared" si="220"/>
        <v>290.4088888888889</v>
      </c>
      <c r="AJ400" s="487"/>
      <c r="AK400" s="507"/>
      <c r="AL400" s="479">
        <f t="shared" si="221"/>
        <v>0</v>
      </c>
      <c r="AM400" s="482">
        <f t="shared" si="222"/>
        <v>0</v>
      </c>
      <c r="AN400" s="487"/>
      <c r="AO400" s="488"/>
      <c r="AP400" s="487"/>
      <c r="AQ400" s="488"/>
      <c r="AR400" s="487"/>
      <c r="AS400" s="488"/>
      <c r="AT400" s="487"/>
      <c r="AU400" s="488"/>
      <c r="AV400" s="479">
        <f t="shared" si="223"/>
        <v>0</v>
      </c>
      <c r="AW400" s="483">
        <f t="shared" si="224"/>
        <v>0</v>
      </c>
      <c r="AX400" s="481">
        <f t="shared" si="225"/>
        <v>0</v>
      </c>
      <c r="AY400" s="484">
        <f t="shared" si="226"/>
        <v>0</v>
      </c>
      <c r="AZ400" s="485">
        <f t="shared" si="227"/>
        <v>372.60222222222222</v>
      </c>
      <c r="BA400" s="481">
        <f t="shared" si="228"/>
        <v>290.4088888888889</v>
      </c>
    </row>
    <row r="401" spans="1:53">
      <c r="A401" s="536" t="s">
        <v>272</v>
      </c>
      <c r="B401" s="537" t="s">
        <v>425</v>
      </c>
      <c r="C401" s="653"/>
      <c r="D401" s="652">
        <v>375744</v>
      </c>
      <c r="E401" s="646">
        <v>13</v>
      </c>
      <c r="F401" s="486"/>
      <c r="G401" s="529"/>
      <c r="H401" s="506"/>
      <c r="I401" s="488"/>
      <c r="J401" s="506"/>
      <c r="K401" s="488"/>
      <c r="L401" s="506"/>
      <c r="M401" s="488"/>
      <c r="N401" s="506"/>
      <c r="O401" s="488"/>
      <c r="P401" s="479">
        <f t="shared" si="211"/>
        <v>0</v>
      </c>
      <c r="Q401" s="480">
        <f t="shared" si="212"/>
        <v>0</v>
      </c>
      <c r="R401" s="481">
        <f t="shared" si="213"/>
        <v>0</v>
      </c>
      <c r="S401" s="482">
        <f t="shared" si="214"/>
        <v>0</v>
      </c>
      <c r="T401" s="506"/>
      <c r="U401" s="507"/>
      <c r="V401" s="479">
        <f t="shared" si="215"/>
        <v>0</v>
      </c>
      <c r="W401" s="478">
        <f t="shared" si="216"/>
        <v>0</v>
      </c>
      <c r="X401" s="506"/>
      <c r="Y401" s="488"/>
      <c r="Z401" s="506"/>
      <c r="AA401" s="488"/>
      <c r="AB401" s="506"/>
      <c r="AC401" s="488"/>
      <c r="AD401" s="506">
        <v>346977</v>
      </c>
      <c r="AE401" s="507">
        <v>253503.35</v>
      </c>
      <c r="AF401" s="479">
        <f t="shared" si="217"/>
        <v>346977</v>
      </c>
      <c r="AG401" s="480">
        <f t="shared" si="218"/>
        <v>385.53</v>
      </c>
      <c r="AH401" s="481">
        <f t="shared" si="219"/>
        <v>253503.35</v>
      </c>
      <c r="AI401" s="481">
        <f t="shared" si="220"/>
        <v>281.67038888888891</v>
      </c>
      <c r="AJ401" s="487"/>
      <c r="AK401" s="507"/>
      <c r="AL401" s="479">
        <f t="shared" si="221"/>
        <v>0</v>
      </c>
      <c r="AM401" s="482">
        <f t="shared" si="222"/>
        <v>0</v>
      </c>
      <c r="AN401" s="487"/>
      <c r="AO401" s="488"/>
      <c r="AP401" s="487"/>
      <c r="AQ401" s="488"/>
      <c r="AR401" s="487"/>
      <c r="AS401" s="488"/>
      <c r="AT401" s="487"/>
      <c r="AU401" s="488"/>
      <c r="AV401" s="479">
        <f t="shared" si="223"/>
        <v>0</v>
      </c>
      <c r="AW401" s="483">
        <f t="shared" si="224"/>
        <v>0</v>
      </c>
      <c r="AX401" s="481">
        <f t="shared" si="225"/>
        <v>0</v>
      </c>
      <c r="AY401" s="484">
        <f t="shared" si="226"/>
        <v>0</v>
      </c>
      <c r="AZ401" s="485">
        <f t="shared" si="227"/>
        <v>385.53</v>
      </c>
      <c r="BA401" s="481">
        <f t="shared" si="228"/>
        <v>281.67038888888891</v>
      </c>
    </row>
    <row r="402" spans="1:53">
      <c r="A402" s="536" t="s">
        <v>272</v>
      </c>
      <c r="B402" s="537" t="s">
        <v>426</v>
      </c>
      <c r="C402" s="653"/>
      <c r="D402" s="652">
        <v>375753</v>
      </c>
      <c r="E402" s="646">
        <v>13</v>
      </c>
      <c r="F402" s="486"/>
      <c r="G402" s="529"/>
      <c r="H402" s="506"/>
      <c r="I402" s="488"/>
      <c r="J402" s="506"/>
      <c r="K402" s="488"/>
      <c r="L402" s="506"/>
      <c r="M402" s="488"/>
      <c r="N402" s="506"/>
      <c r="O402" s="488"/>
      <c r="P402" s="479">
        <f t="shared" si="211"/>
        <v>0</v>
      </c>
      <c r="Q402" s="480">
        <f t="shared" si="212"/>
        <v>0</v>
      </c>
      <c r="R402" s="481">
        <f t="shared" si="213"/>
        <v>0</v>
      </c>
      <c r="S402" s="482">
        <f t="shared" si="214"/>
        <v>0</v>
      </c>
      <c r="T402" s="506"/>
      <c r="U402" s="507"/>
      <c r="V402" s="479">
        <f t="shared" si="215"/>
        <v>0</v>
      </c>
      <c r="W402" s="478">
        <f t="shared" si="216"/>
        <v>0</v>
      </c>
      <c r="X402" s="506"/>
      <c r="Y402" s="488"/>
      <c r="Z402" s="506"/>
      <c r="AA402" s="488"/>
      <c r="AB402" s="506"/>
      <c r="AC402" s="488"/>
      <c r="AD402" s="506">
        <v>30277</v>
      </c>
      <c r="AE402" s="507">
        <v>47156</v>
      </c>
      <c r="AF402" s="479">
        <f t="shared" si="217"/>
        <v>30277</v>
      </c>
      <c r="AG402" s="480">
        <f t="shared" si="218"/>
        <v>33.641111111111108</v>
      </c>
      <c r="AH402" s="481">
        <f t="shared" si="219"/>
        <v>47156</v>
      </c>
      <c r="AI402" s="481">
        <f t="shared" si="220"/>
        <v>52.395555555555553</v>
      </c>
      <c r="AJ402" s="487"/>
      <c r="AK402" s="507"/>
      <c r="AL402" s="479">
        <f t="shared" si="221"/>
        <v>0</v>
      </c>
      <c r="AM402" s="482">
        <f t="shared" si="222"/>
        <v>0</v>
      </c>
      <c r="AN402" s="487"/>
      <c r="AO402" s="488"/>
      <c r="AP402" s="487"/>
      <c r="AQ402" s="488"/>
      <c r="AR402" s="487"/>
      <c r="AS402" s="488"/>
      <c r="AT402" s="487"/>
      <c r="AU402" s="488"/>
      <c r="AV402" s="479">
        <f t="shared" si="223"/>
        <v>0</v>
      </c>
      <c r="AW402" s="483">
        <f t="shared" si="224"/>
        <v>0</v>
      </c>
      <c r="AX402" s="481">
        <f t="shared" si="225"/>
        <v>0</v>
      </c>
      <c r="AY402" s="484">
        <f t="shared" si="226"/>
        <v>0</v>
      </c>
      <c r="AZ402" s="485">
        <f t="shared" si="227"/>
        <v>33.641111111111108</v>
      </c>
      <c r="BA402" s="481">
        <f t="shared" si="228"/>
        <v>52.395555555555553</v>
      </c>
    </row>
    <row r="403" spans="1:53">
      <c r="A403" s="536" t="s">
        <v>272</v>
      </c>
      <c r="B403" s="537" t="s">
        <v>427</v>
      </c>
      <c r="C403" s="653"/>
      <c r="D403" s="652">
        <v>405748</v>
      </c>
      <c r="E403" s="646">
        <v>13</v>
      </c>
      <c r="F403" s="486"/>
      <c r="G403" s="529"/>
      <c r="H403" s="506"/>
      <c r="I403" s="488"/>
      <c r="J403" s="506"/>
      <c r="K403" s="488"/>
      <c r="L403" s="506"/>
      <c r="M403" s="488"/>
      <c r="N403" s="506"/>
      <c r="O403" s="488"/>
      <c r="P403" s="479">
        <f t="shared" si="211"/>
        <v>0</v>
      </c>
      <c r="Q403" s="480">
        <f t="shared" si="212"/>
        <v>0</v>
      </c>
      <c r="R403" s="481">
        <f t="shared" si="213"/>
        <v>0</v>
      </c>
      <c r="S403" s="482">
        <f t="shared" si="214"/>
        <v>0</v>
      </c>
      <c r="T403" s="506"/>
      <c r="U403" s="507"/>
      <c r="V403" s="479">
        <f t="shared" si="215"/>
        <v>0</v>
      </c>
      <c r="W403" s="478">
        <f t="shared" si="216"/>
        <v>0</v>
      </c>
      <c r="X403" s="506"/>
      <c r="Y403" s="488"/>
      <c r="Z403" s="506"/>
      <c r="AA403" s="488"/>
      <c r="AB403" s="506"/>
      <c r="AC403" s="488"/>
      <c r="AD403" s="506">
        <v>87753</v>
      </c>
      <c r="AE403" s="507">
        <v>85002</v>
      </c>
      <c r="AF403" s="479">
        <f t="shared" si="217"/>
        <v>87753</v>
      </c>
      <c r="AG403" s="480">
        <f t="shared" si="218"/>
        <v>97.50333333333333</v>
      </c>
      <c r="AH403" s="481">
        <f t="shared" si="219"/>
        <v>85002</v>
      </c>
      <c r="AI403" s="481">
        <f t="shared" si="220"/>
        <v>94.446666666666673</v>
      </c>
      <c r="AJ403" s="487"/>
      <c r="AK403" s="507"/>
      <c r="AL403" s="479">
        <f t="shared" si="221"/>
        <v>0</v>
      </c>
      <c r="AM403" s="482">
        <f t="shared" si="222"/>
        <v>0</v>
      </c>
      <c r="AN403" s="487"/>
      <c r="AO403" s="488"/>
      <c r="AP403" s="487"/>
      <c r="AQ403" s="488"/>
      <c r="AR403" s="487"/>
      <c r="AS403" s="488"/>
      <c r="AT403" s="487"/>
      <c r="AU403" s="488"/>
      <c r="AV403" s="479">
        <f t="shared" si="223"/>
        <v>0</v>
      </c>
      <c r="AW403" s="483">
        <f t="shared" si="224"/>
        <v>0</v>
      </c>
      <c r="AX403" s="481">
        <f t="shared" si="225"/>
        <v>0</v>
      </c>
      <c r="AY403" s="484">
        <f t="shared" si="226"/>
        <v>0</v>
      </c>
      <c r="AZ403" s="485">
        <f t="shared" si="227"/>
        <v>97.50333333333333</v>
      </c>
      <c r="BA403" s="481">
        <f t="shared" si="228"/>
        <v>94.446666666666673</v>
      </c>
    </row>
    <row r="404" spans="1:53">
      <c r="A404" s="536" t="s">
        <v>272</v>
      </c>
      <c r="B404" s="537" t="s">
        <v>428</v>
      </c>
      <c r="C404" s="653"/>
      <c r="D404" s="652">
        <v>375762</v>
      </c>
      <c r="E404" s="646">
        <v>13</v>
      </c>
      <c r="F404" s="486"/>
      <c r="G404" s="529"/>
      <c r="H404" s="506"/>
      <c r="I404" s="488"/>
      <c r="J404" s="506"/>
      <c r="K404" s="488"/>
      <c r="L404" s="506"/>
      <c r="M404" s="488"/>
      <c r="N404" s="506"/>
      <c r="O404" s="488"/>
      <c r="P404" s="479">
        <f t="shared" si="211"/>
        <v>0</v>
      </c>
      <c r="Q404" s="480">
        <f t="shared" si="212"/>
        <v>0</v>
      </c>
      <c r="R404" s="481">
        <f t="shared" si="213"/>
        <v>0</v>
      </c>
      <c r="S404" s="482">
        <f t="shared" si="214"/>
        <v>0</v>
      </c>
      <c r="T404" s="506"/>
      <c r="U404" s="507"/>
      <c r="V404" s="479">
        <f t="shared" si="215"/>
        <v>0</v>
      </c>
      <c r="W404" s="478">
        <f t="shared" si="216"/>
        <v>0</v>
      </c>
      <c r="X404" s="506"/>
      <c r="Y404" s="488"/>
      <c r="Z404" s="506"/>
      <c r="AA404" s="488"/>
      <c r="AB404" s="506"/>
      <c r="AC404" s="488"/>
      <c r="AD404" s="506">
        <v>94476</v>
      </c>
      <c r="AE404" s="507">
        <v>69833</v>
      </c>
      <c r="AF404" s="479">
        <f t="shared" si="217"/>
        <v>94476</v>
      </c>
      <c r="AG404" s="480">
        <f t="shared" si="218"/>
        <v>104.97333333333333</v>
      </c>
      <c r="AH404" s="481">
        <f t="shared" si="219"/>
        <v>69833</v>
      </c>
      <c r="AI404" s="481">
        <f t="shared" si="220"/>
        <v>77.592222222222219</v>
      </c>
      <c r="AJ404" s="487"/>
      <c r="AK404" s="507"/>
      <c r="AL404" s="479">
        <f t="shared" si="221"/>
        <v>0</v>
      </c>
      <c r="AM404" s="482">
        <f t="shared" si="222"/>
        <v>0</v>
      </c>
      <c r="AN404" s="487"/>
      <c r="AO404" s="488"/>
      <c r="AP404" s="487"/>
      <c r="AQ404" s="488"/>
      <c r="AR404" s="487"/>
      <c r="AS404" s="488"/>
      <c r="AT404" s="487"/>
      <c r="AU404" s="488"/>
      <c r="AV404" s="479">
        <f t="shared" si="223"/>
        <v>0</v>
      </c>
      <c r="AW404" s="483">
        <f t="shared" si="224"/>
        <v>0</v>
      </c>
      <c r="AX404" s="481">
        <f t="shared" si="225"/>
        <v>0</v>
      </c>
      <c r="AY404" s="484">
        <f t="shared" si="226"/>
        <v>0</v>
      </c>
      <c r="AZ404" s="485">
        <f t="shared" si="227"/>
        <v>104.97333333333333</v>
      </c>
      <c r="BA404" s="481">
        <f t="shared" si="228"/>
        <v>77.592222222222219</v>
      </c>
    </row>
    <row r="405" spans="1:53">
      <c r="A405" s="536" t="s">
        <v>272</v>
      </c>
      <c r="B405" s="537" t="s">
        <v>429</v>
      </c>
      <c r="C405" s="653"/>
      <c r="D405" s="652">
        <v>365480</v>
      </c>
      <c r="E405" s="646">
        <v>13</v>
      </c>
      <c r="F405" s="486"/>
      <c r="G405" s="529"/>
      <c r="H405" s="506"/>
      <c r="I405" s="488"/>
      <c r="J405" s="506"/>
      <c r="K405" s="488"/>
      <c r="L405" s="506"/>
      <c r="M405" s="488"/>
      <c r="N405" s="506"/>
      <c r="O405" s="488"/>
      <c r="P405" s="479">
        <f t="shared" si="211"/>
        <v>0</v>
      </c>
      <c r="Q405" s="480">
        <f t="shared" si="212"/>
        <v>0</v>
      </c>
      <c r="R405" s="481">
        <f t="shared" si="213"/>
        <v>0</v>
      </c>
      <c r="S405" s="482">
        <f t="shared" si="214"/>
        <v>0</v>
      </c>
      <c r="T405" s="506"/>
      <c r="U405" s="507"/>
      <c r="V405" s="479">
        <f t="shared" si="215"/>
        <v>0</v>
      </c>
      <c r="W405" s="478">
        <f t="shared" si="216"/>
        <v>0</v>
      </c>
      <c r="X405" s="506"/>
      <c r="Y405" s="488"/>
      <c r="Z405" s="506"/>
      <c r="AA405" s="488"/>
      <c r="AB405" s="506"/>
      <c r="AC405" s="488"/>
      <c r="AD405" s="506">
        <v>508491</v>
      </c>
      <c r="AE405" s="507">
        <v>532826.69999999995</v>
      </c>
      <c r="AF405" s="479">
        <f t="shared" si="217"/>
        <v>508491</v>
      </c>
      <c r="AG405" s="480">
        <f t="shared" si="218"/>
        <v>564.99</v>
      </c>
      <c r="AH405" s="481">
        <f t="shared" si="219"/>
        <v>532826.69999999995</v>
      </c>
      <c r="AI405" s="481">
        <f t="shared" si="220"/>
        <v>592.02966666666657</v>
      </c>
      <c r="AJ405" s="487"/>
      <c r="AK405" s="507"/>
      <c r="AL405" s="479">
        <f t="shared" si="221"/>
        <v>0</v>
      </c>
      <c r="AM405" s="482">
        <f t="shared" si="222"/>
        <v>0</v>
      </c>
      <c r="AN405" s="487"/>
      <c r="AO405" s="488"/>
      <c r="AP405" s="487"/>
      <c r="AQ405" s="488"/>
      <c r="AR405" s="487"/>
      <c r="AS405" s="488"/>
      <c r="AT405" s="487"/>
      <c r="AU405" s="488"/>
      <c r="AV405" s="479">
        <f t="shared" si="223"/>
        <v>0</v>
      </c>
      <c r="AW405" s="483">
        <f t="shared" si="224"/>
        <v>0</v>
      </c>
      <c r="AX405" s="481">
        <f t="shared" si="225"/>
        <v>0</v>
      </c>
      <c r="AY405" s="484">
        <f t="shared" si="226"/>
        <v>0</v>
      </c>
      <c r="AZ405" s="485">
        <f t="shared" si="227"/>
        <v>564.99</v>
      </c>
      <c r="BA405" s="481">
        <f t="shared" si="228"/>
        <v>592.02966666666657</v>
      </c>
    </row>
    <row r="406" spans="1:53">
      <c r="A406" s="536" t="s">
        <v>272</v>
      </c>
      <c r="B406" s="537" t="s">
        <v>430</v>
      </c>
      <c r="C406" s="653"/>
      <c r="D406" s="652">
        <v>418320</v>
      </c>
      <c r="E406" s="646">
        <v>13</v>
      </c>
      <c r="F406" s="486"/>
      <c r="G406" s="529"/>
      <c r="H406" s="506"/>
      <c r="I406" s="488"/>
      <c r="J406" s="506"/>
      <c r="K406" s="488"/>
      <c r="L406" s="506"/>
      <c r="M406" s="488"/>
      <c r="N406" s="506"/>
      <c r="O406" s="488"/>
      <c r="P406" s="479">
        <f t="shared" si="211"/>
        <v>0</v>
      </c>
      <c r="Q406" s="480">
        <f t="shared" si="212"/>
        <v>0</v>
      </c>
      <c r="R406" s="481">
        <f t="shared" si="213"/>
        <v>0</v>
      </c>
      <c r="S406" s="482">
        <f t="shared" si="214"/>
        <v>0</v>
      </c>
      <c r="T406" s="506"/>
      <c r="U406" s="507"/>
      <c r="V406" s="479">
        <f t="shared" si="215"/>
        <v>0</v>
      </c>
      <c r="W406" s="478">
        <f t="shared" si="216"/>
        <v>0</v>
      </c>
      <c r="X406" s="506"/>
      <c r="Y406" s="488"/>
      <c r="Z406" s="506"/>
      <c r="AA406" s="488"/>
      <c r="AB406" s="506"/>
      <c r="AC406" s="488"/>
      <c r="AD406" s="506">
        <v>534435</v>
      </c>
      <c r="AE406" s="507">
        <v>518911</v>
      </c>
      <c r="AF406" s="479">
        <f t="shared" si="217"/>
        <v>534435</v>
      </c>
      <c r="AG406" s="480">
        <f t="shared" si="218"/>
        <v>593.81666666666672</v>
      </c>
      <c r="AH406" s="481">
        <f t="shared" si="219"/>
        <v>518911</v>
      </c>
      <c r="AI406" s="481">
        <f t="shared" si="220"/>
        <v>576.56777777777779</v>
      </c>
      <c r="AJ406" s="487"/>
      <c r="AK406" s="507"/>
      <c r="AL406" s="479">
        <f t="shared" si="221"/>
        <v>0</v>
      </c>
      <c r="AM406" s="482">
        <f t="shared" si="222"/>
        <v>0</v>
      </c>
      <c r="AN406" s="487"/>
      <c r="AO406" s="488"/>
      <c r="AP406" s="487"/>
      <c r="AQ406" s="488"/>
      <c r="AR406" s="487"/>
      <c r="AS406" s="488"/>
      <c r="AT406" s="487"/>
      <c r="AU406" s="488"/>
      <c r="AV406" s="479">
        <f t="shared" si="223"/>
        <v>0</v>
      </c>
      <c r="AW406" s="483">
        <f t="shared" si="224"/>
        <v>0</v>
      </c>
      <c r="AX406" s="481">
        <f t="shared" si="225"/>
        <v>0</v>
      </c>
      <c r="AY406" s="484">
        <f t="shared" si="226"/>
        <v>0</v>
      </c>
      <c r="AZ406" s="485">
        <f t="shared" si="227"/>
        <v>593.81666666666672</v>
      </c>
      <c r="BA406" s="481">
        <f t="shared" si="228"/>
        <v>576.56777777777779</v>
      </c>
    </row>
    <row r="407" spans="1:53">
      <c r="A407" s="536" t="s">
        <v>272</v>
      </c>
      <c r="B407" s="537" t="s">
        <v>431</v>
      </c>
      <c r="C407" s="653"/>
      <c r="D407" s="652">
        <v>431017</v>
      </c>
      <c r="E407" s="646">
        <v>13</v>
      </c>
      <c r="F407" s="486"/>
      <c r="G407" s="529"/>
      <c r="H407" s="506"/>
      <c r="I407" s="488"/>
      <c r="J407" s="506"/>
      <c r="K407" s="488"/>
      <c r="L407" s="506"/>
      <c r="M407" s="488"/>
      <c r="N407" s="506"/>
      <c r="O407" s="488"/>
      <c r="P407" s="479">
        <f t="shared" si="211"/>
        <v>0</v>
      </c>
      <c r="Q407" s="480">
        <f t="shared" si="212"/>
        <v>0</v>
      </c>
      <c r="R407" s="481">
        <f t="shared" si="213"/>
        <v>0</v>
      </c>
      <c r="S407" s="482">
        <f t="shared" si="214"/>
        <v>0</v>
      </c>
      <c r="T407" s="506"/>
      <c r="U407" s="507"/>
      <c r="V407" s="479">
        <f t="shared" si="215"/>
        <v>0</v>
      </c>
      <c r="W407" s="478">
        <f t="shared" si="216"/>
        <v>0</v>
      </c>
      <c r="X407" s="506"/>
      <c r="Y407" s="488"/>
      <c r="Z407" s="506"/>
      <c r="AA407" s="488"/>
      <c r="AB407" s="506"/>
      <c r="AC407" s="488"/>
      <c r="AD407" s="506">
        <v>414983</v>
      </c>
      <c r="AE407" s="507">
        <v>368528</v>
      </c>
      <c r="AF407" s="479">
        <f t="shared" si="217"/>
        <v>414983</v>
      </c>
      <c r="AG407" s="480">
        <f t="shared" si="218"/>
        <v>461.09222222222223</v>
      </c>
      <c r="AH407" s="481">
        <f t="shared" si="219"/>
        <v>368528</v>
      </c>
      <c r="AI407" s="481">
        <f t="shared" si="220"/>
        <v>409.47555555555556</v>
      </c>
      <c r="AJ407" s="487"/>
      <c r="AK407" s="507"/>
      <c r="AL407" s="479">
        <f t="shared" si="221"/>
        <v>0</v>
      </c>
      <c r="AM407" s="482">
        <f t="shared" si="222"/>
        <v>0</v>
      </c>
      <c r="AN407" s="487"/>
      <c r="AO407" s="488"/>
      <c r="AP407" s="487"/>
      <c r="AQ407" s="488"/>
      <c r="AR407" s="487"/>
      <c r="AS407" s="488"/>
      <c r="AT407" s="487"/>
      <c r="AU407" s="488"/>
      <c r="AV407" s="479">
        <f t="shared" si="223"/>
        <v>0</v>
      </c>
      <c r="AW407" s="483">
        <f t="shared" si="224"/>
        <v>0</v>
      </c>
      <c r="AX407" s="481">
        <f t="shared" si="225"/>
        <v>0</v>
      </c>
      <c r="AY407" s="484">
        <f t="shared" si="226"/>
        <v>0</v>
      </c>
      <c r="AZ407" s="485">
        <f t="shared" si="227"/>
        <v>461.09222222222223</v>
      </c>
      <c r="BA407" s="481">
        <f t="shared" si="228"/>
        <v>409.47555555555556</v>
      </c>
    </row>
    <row r="408" spans="1:53">
      <c r="A408" s="536" t="s">
        <v>272</v>
      </c>
      <c r="B408" s="586" t="s">
        <v>432</v>
      </c>
      <c r="C408" s="654"/>
      <c r="D408" s="652">
        <v>248606</v>
      </c>
      <c r="E408" s="646">
        <v>13</v>
      </c>
      <c r="F408" s="486"/>
      <c r="G408" s="529"/>
      <c r="H408" s="506"/>
      <c r="I408" s="488"/>
      <c r="J408" s="506"/>
      <c r="K408" s="488"/>
      <c r="L408" s="506"/>
      <c r="M408" s="488"/>
      <c r="N408" s="506"/>
      <c r="O408" s="488"/>
      <c r="P408" s="479">
        <f t="shared" si="211"/>
        <v>0</v>
      </c>
      <c r="Q408" s="480">
        <f t="shared" si="212"/>
        <v>0</v>
      </c>
      <c r="R408" s="481">
        <f t="shared" si="213"/>
        <v>0</v>
      </c>
      <c r="S408" s="482">
        <f t="shared" si="214"/>
        <v>0</v>
      </c>
      <c r="T408" s="506"/>
      <c r="U408" s="507"/>
      <c r="V408" s="479">
        <f t="shared" si="215"/>
        <v>0</v>
      </c>
      <c r="W408" s="478">
        <f t="shared" si="216"/>
        <v>0</v>
      </c>
      <c r="X408" s="506"/>
      <c r="Y408" s="488"/>
      <c r="Z408" s="506"/>
      <c r="AA408" s="488"/>
      <c r="AB408" s="506"/>
      <c r="AC408" s="488"/>
      <c r="AD408" s="506">
        <v>806348</v>
      </c>
      <c r="AE408" s="507">
        <v>785855.6</v>
      </c>
      <c r="AF408" s="479">
        <f t="shared" si="217"/>
        <v>806348</v>
      </c>
      <c r="AG408" s="480">
        <f t="shared" si="218"/>
        <v>895.9422222222222</v>
      </c>
      <c r="AH408" s="481">
        <f t="shared" si="219"/>
        <v>785855.6</v>
      </c>
      <c r="AI408" s="481">
        <f t="shared" si="220"/>
        <v>873.17288888888891</v>
      </c>
      <c r="AJ408" s="487"/>
      <c r="AK408" s="507"/>
      <c r="AL408" s="479">
        <f t="shared" si="221"/>
        <v>0</v>
      </c>
      <c r="AM408" s="482">
        <f t="shared" si="222"/>
        <v>0</v>
      </c>
      <c r="AN408" s="487"/>
      <c r="AO408" s="488"/>
      <c r="AP408" s="487"/>
      <c r="AQ408" s="488"/>
      <c r="AR408" s="487"/>
      <c r="AS408" s="488"/>
      <c r="AT408" s="487"/>
      <c r="AU408" s="488"/>
      <c r="AV408" s="479">
        <f t="shared" si="223"/>
        <v>0</v>
      </c>
      <c r="AW408" s="483">
        <f t="shared" si="224"/>
        <v>0</v>
      </c>
      <c r="AX408" s="481">
        <f t="shared" si="225"/>
        <v>0</v>
      </c>
      <c r="AY408" s="484">
        <f t="shared" si="226"/>
        <v>0</v>
      </c>
      <c r="AZ408" s="485">
        <f t="shared" si="227"/>
        <v>895.9422222222222</v>
      </c>
      <c r="BA408" s="481">
        <f t="shared" si="228"/>
        <v>873.17288888888891</v>
      </c>
    </row>
    <row r="409" spans="1:53">
      <c r="A409" s="536" t="s">
        <v>272</v>
      </c>
      <c r="B409" s="537" t="s">
        <v>433</v>
      </c>
      <c r="C409" s="653"/>
      <c r="D409" s="652">
        <v>420459</v>
      </c>
      <c r="E409" s="646">
        <v>13</v>
      </c>
      <c r="F409" s="486"/>
      <c r="G409" s="529"/>
      <c r="H409" s="506"/>
      <c r="I409" s="488"/>
      <c r="J409" s="506"/>
      <c r="K409" s="488"/>
      <c r="L409" s="506"/>
      <c r="M409" s="488"/>
      <c r="N409" s="506"/>
      <c r="O409" s="488"/>
      <c r="P409" s="479">
        <f t="shared" si="211"/>
        <v>0</v>
      </c>
      <c r="Q409" s="480">
        <f t="shared" si="212"/>
        <v>0</v>
      </c>
      <c r="R409" s="481">
        <f t="shared" si="213"/>
        <v>0</v>
      </c>
      <c r="S409" s="482">
        <f t="shared" si="214"/>
        <v>0</v>
      </c>
      <c r="T409" s="506"/>
      <c r="U409" s="507"/>
      <c r="V409" s="479">
        <f t="shared" si="215"/>
        <v>0</v>
      </c>
      <c r="W409" s="478">
        <f t="shared" si="216"/>
        <v>0</v>
      </c>
      <c r="X409" s="506"/>
      <c r="Y409" s="488"/>
      <c r="Z409" s="506"/>
      <c r="AA409" s="488"/>
      <c r="AB409" s="506"/>
      <c r="AC409" s="488"/>
      <c r="AD409" s="506">
        <v>290355</v>
      </c>
      <c r="AE409" s="507">
        <v>265995.5</v>
      </c>
      <c r="AF409" s="479">
        <f t="shared" si="217"/>
        <v>290355</v>
      </c>
      <c r="AG409" s="480">
        <f t="shared" si="218"/>
        <v>322.61666666666667</v>
      </c>
      <c r="AH409" s="481">
        <f t="shared" si="219"/>
        <v>265995.5</v>
      </c>
      <c r="AI409" s="481">
        <f t="shared" si="220"/>
        <v>295.55055555555555</v>
      </c>
      <c r="AJ409" s="487"/>
      <c r="AK409" s="507"/>
      <c r="AL409" s="479">
        <f t="shared" si="221"/>
        <v>0</v>
      </c>
      <c r="AM409" s="482">
        <f t="shared" si="222"/>
        <v>0</v>
      </c>
      <c r="AN409" s="487"/>
      <c r="AO409" s="488"/>
      <c r="AP409" s="487"/>
      <c r="AQ409" s="488"/>
      <c r="AR409" s="487"/>
      <c r="AS409" s="488"/>
      <c r="AT409" s="487"/>
      <c r="AU409" s="488"/>
      <c r="AV409" s="479">
        <f t="shared" si="223"/>
        <v>0</v>
      </c>
      <c r="AW409" s="483">
        <f t="shared" si="224"/>
        <v>0</v>
      </c>
      <c r="AX409" s="481">
        <f t="shared" si="225"/>
        <v>0</v>
      </c>
      <c r="AY409" s="484">
        <f t="shared" si="226"/>
        <v>0</v>
      </c>
      <c r="AZ409" s="485">
        <f t="shared" si="227"/>
        <v>322.61666666666667</v>
      </c>
      <c r="BA409" s="481">
        <f t="shared" si="228"/>
        <v>295.55055555555555</v>
      </c>
    </row>
    <row r="410" spans="1:53">
      <c r="A410" s="536" t="s">
        <v>272</v>
      </c>
      <c r="B410" s="537" t="s">
        <v>434</v>
      </c>
      <c r="C410" s="655"/>
      <c r="D410" s="656">
        <v>456560</v>
      </c>
      <c r="E410" s="657">
        <v>13</v>
      </c>
      <c r="F410" s="486"/>
      <c r="G410" s="529"/>
      <c r="H410" s="506"/>
      <c r="I410" s="488"/>
      <c r="J410" s="506"/>
      <c r="K410" s="488"/>
      <c r="L410" s="506"/>
      <c r="M410" s="488"/>
      <c r="N410" s="506"/>
      <c r="O410" s="488"/>
      <c r="P410" s="479">
        <f t="shared" si="211"/>
        <v>0</v>
      </c>
      <c r="Q410" s="480">
        <f t="shared" si="212"/>
        <v>0</v>
      </c>
      <c r="R410" s="481">
        <f t="shared" si="213"/>
        <v>0</v>
      </c>
      <c r="S410" s="482">
        <f t="shared" si="214"/>
        <v>0</v>
      </c>
      <c r="T410" s="506"/>
      <c r="U410" s="507"/>
      <c r="V410" s="479">
        <f t="shared" si="215"/>
        <v>0</v>
      </c>
      <c r="W410" s="478">
        <f t="shared" si="216"/>
        <v>0</v>
      </c>
      <c r="X410" s="506"/>
      <c r="Y410" s="488"/>
      <c r="Z410" s="506"/>
      <c r="AA410" s="488"/>
      <c r="AB410" s="506"/>
      <c r="AC410" s="488"/>
      <c r="AD410" s="506">
        <v>105286</v>
      </c>
      <c r="AE410" s="507">
        <v>117443.75</v>
      </c>
      <c r="AF410" s="479">
        <f t="shared" si="217"/>
        <v>105286</v>
      </c>
      <c r="AG410" s="480">
        <f t="shared" si="218"/>
        <v>116.98444444444445</v>
      </c>
      <c r="AH410" s="481">
        <f t="shared" si="219"/>
        <v>117443.75</v>
      </c>
      <c r="AI410" s="481">
        <f t="shared" si="220"/>
        <v>130.49305555555554</v>
      </c>
      <c r="AJ410" s="487"/>
      <c r="AK410" s="507"/>
      <c r="AL410" s="479">
        <f t="shared" si="221"/>
        <v>0</v>
      </c>
      <c r="AM410" s="482">
        <f t="shared" si="222"/>
        <v>0</v>
      </c>
      <c r="AN410" s="487"/>
      <c r="AO410" s="488"/>
      <c r="AP410" s="487"/>
      <c r="AQ410" s="488"/>
      <c r="AR410" s="487"/>
      <c r="AS410" s="488"/>
      <c r="AT410" s="487"/>
      <c r="AU410" s="488"/>
      <c r="AV410" s="479">
        <f t="shared" si="223"/>
        <v>0</v>
      </c>
      <c r="AW410" s="483">
        <f t="shared" si="224"/>
        <v>0</v>
      </c>
      <c r="AX410" s="481">
        <f t="shared" si="225"/>
        <v>0</v>
      </c>
      <c r="AY410" s="484">
        <f t="shared" si="226"/>
        <v>0</v>
      </c>
      <c r="AZ410" s="485">
        <f t="shared" si="227"/>
        <v>116.98444444444445</v>
      </c>
      <c r="BA410" s="481">
        <f t="shared" si="228"/>
        <v>130.49305555555554</v>
      </c>
    </row>
    <row r="411" spans="1:53">
      <c r="A411" s="536" t="s">
        <v>272</v>
      </c>
      <c r="B411" s="537" t="s">
        <v>435</v>
      </c>
      <c r="C411" s="658"/>
      <c r="D411" s="659">
        <v>432074</v>
      </c>
      <c r="E411" s="646">
        <v>13</v>
      </c>
      <c r="F411" s="486"/>
      <c r="G411" s="529"/>
      <c r="H411" s="506"/>
      <c r="I411" s="488"/>
      <c r="J411" s="506"/>
      <c r="K411" s="488"/>
      <c r="L411" s="506"/>
      <c r="M411" s="488"/>
      <c r="N411" s="506"/>
      <c r="O411" s="488"/>
      <c r="P411" s="479">
        <f t="shared" si="211"/>
        <v>0</v>
      </c>
      <c r="Q411" s="480">
        <f t="shared" si="212"/>
        <v>0</v>
      </c>
      <c r="R411" s="481">
        <f t="shared" si="213"/>
        <v>0</v>
      </c>
      <c r="S411" s="482">
        <f t="shared" si="214"/>
        <v>0</v>
      </c>
      <c r="T411" s="506"/>
      <c r="U411" s="507"/>
      <c r="V411" s="479">
        <f t="shared" si="215"/>
        <v>0</v>
      </c>
      <c r="W411" s="478">
        <f t="shared" si="216"/>
        <v>0</v>
      </c>
      <c r="X411" s="506"/>
      <c r="Y411" s="488"/>
      <c r="Z411" s="506"/>
      <c r="AA411" s="488"/>
      <c r="AB411" s="506"/>
      <c r="AC411" s="488"/>
      <c r="AD411" s="506">
        <v>163349</v>
      </c>
      <c r="AE411" s="507">
        <v>152511</v>
      </c>
      <c r="AF411" s="479">
        <f t="shared" si="217"/>
        <v>163349</v>
      </c>
      <c r="AG411" s="480">
        <f t="shared" si="218"/>
        <v>181.4988888888889</v>
      </c>
      <c r="AH411" s="481">
        <f t="shared" si="219"/>
        <v>152511</v>
      </c>
      <c r="AI411" s="481">
        <f t="shared" si="220"/>
        <v>169.45666666666668</v>
      </c>
      <c r="AJ411" s="487"/>
      <c r="AK411" s="507"/>
      <c r="AL411" s="479">
        <f t="shared" si="221"/>
        <v>0</v>
      </c>
      <c r="AM411" s="482">
        <f t="shared" si="222"/>
        <v>0</v>
      </c>
      <c r="AN411" s="487"/>
      <c r="AO411" s="488"/>
      <c r="AP411" s="487"/>
      <c r="AQ411" s="488"/>
      <c r="AR411" s="487"/>
      <c r="AS411" s="488"/>
      <c r="AT411" s="487"/>
      <c r="AU411" s="488"/>
      <c r="AV411" s="479">
        <f t="shared" si="223"/>
        <v>0</v>
      </c>
      <c r="AW411" s="483">
        <f t="shared" si="224"/>
        <v>0</v>
      </c>
      <c r="AX411" s="481">
        <f t="shared" si="225"/>
        <v>0</v>
      </c>
      <c r="AY411" s="484">
        <f t="shared" si="226"/>
        <v>0</v>
      </c>
      <c r="AZ411" s="485">
        <f t="shared" si="227"/>
        <v>181.4988888888889</v>
      </c>
      <c r="BA411" s="481">
        <f t="shared" si="228"/>
        <v>169.45666666666668</v>
      </c>
    </row>
    <row r="412" spans="1:53">
      <c r="A412" s="536" t="s">
        <v>272</v>
      </c>
      <c r="B412" s="537" t="s">
        <v>436</v>
      </c>
      <c r="C412" s="658"/>
      <c r="D412" s="659">
        <v>418339</v>
      </c>
      <c r="E412" s="646">
        <v>13</v>
      </c>
      <c r="F412" s="486"/>
      <c r="G412" s="529"/>
      <c r="H412" s="506"/>
      <c r="I412" s="488"/>
      <c r="J412" s="506"/>
      <c r="K412" s="488"/>
      <c r="L412" s="506"/>
      <c r="M412" s="488"/>
      <c r="N412" s="506"/>
      <c r="O412" s="488"/>
      <c r="P412" s="479">
        <f t="shared" si="211"/>
        <v>0</v>
      </c>
      <c r="Q412" s="480">
        <f t="shared" si="212"/>
        <v>0</v>
      </c>
      <c r="R412" s="481">
        <f t="shared" si="213"/>
        <v>0</v>
      </c>
      <c r="S412" s="482">
        <f t="shared" si="214"/>
        <v>0</v>
      </c>
      <c r="T412" s="506"/>
      <c r="U412" s="507"/>
      <c r="V412" s="479">
        <f t="shared" si="215"/>
        <v>0</v>
      </c>
      <c r="W412" s="478">
        <f t="shared" si="216"/>
        <v>0</v>
      </c>
      <c r="X412" s="506"/>
      <c r="Y412" s="488"/>
      <c r="Z412" s="506"/>
      <c r="AA412" s="488"/>
      <c r="AB412" s="506"/>
      <c r="AC412" s="488"/>
      <c r="AD412" s="506">
        <v>265031</v>
      </c>
      <c r="AE412" s="507">
        <v>260728.75</v>
      </c>
      <c r="AF412" s="479">
        <f t="shared" si="217"/>
        <v>265031</v>
      </c>
      <c r="AG412" s="480">
        <f t="shared" si="218"/>
        <v>294.47888888888889</v>
      </c>
      <c r="AH412" s="481">
        <f t="shared" si="219"/>
        <v>260728.75</v>
      </c>
      <c r="AI412" s="481">
        <f t="shared" si="220"/>
        <v>289.69861111111112</v>
      </c>
      <c r="AJ412" s="487"/>
      <c r="AK412" s="507"/>
      <c r="AL412" s="479">
        <f t="shared" si="221"/>
        <v>0</v>
      </c>
      <c r="AM412" s="482">
        <f t="shared" si="222"/>
        <v>0</v>
      </c>
      <c r="AN412" s="487"/>
      <c r="AO412" s="488"/>
      <c r="AP412" s="487"/>
      <c r="AQ412" s="488"/>
      <c r="AR412" s="487"/>
      <c r="AS412" s="488"/>
      <c r="AT412" s="487"/>
      <c r="AU412" s="488"/>
      <c r="AV412" s="479">
        <f t="shared" si="223"/>
        <v>0</v>
      </c>
      <c r="AW412" s="483">
        <f t="shared" si="224"/>
        <v>0</v>
      </c>
      <c r="AX412" s="481">
        <f t="shared" si="225"/>
        <v>0</v>
      </c>
      <c r="AY412" s="484">
        <f t="shared" si="226"/>
        <v>0</v>
      </c>
      <c r="AZ412" s="485">
        <f t="shared" si="227"/>
        <v>294.47888888888889</v>
      </c>
      <c r="BA412" s="481">
        <f t="shared" si="228"/>
        <v>289.69861111111112</v>
      </c>
    </row>
    <row r="413" spans="1:53">
      <c r="A413" s="536" t="s">
        <v>272</v>
      </c>
      <c r="B413" s="537" t="s">
        <v>437</v>
      </c>
      <c r="C413" s="658"/>
      <c r="D413" s="659">
        <v>366623</v>
      </c>
      <c r="E413" s="646">
        <v>13</v>
      </c>
      <c r="F413" s="486"/>
      <c r="G413" s="529"/>
      <c r="H413" s="506"/>
      <c r="I413" s="488"/>
      <c r="J413" s="506"/>
      <c r="K413" s="488"/>
      <c r="L413" s="506"/>
      <c r="M413" s="488"/>
      <c r="N413" s="506"/>
      <c r="O413" s="488"/>
      <c r="P413" s="479">
        <f t="shared" si="211"/>
        <v>0</v>
      </c>
      <c r="Q413" s="480">
        <f t="shared" si="212"/>
        <v>0</v>
      </c>
      <c r="R413" s="481">
        <f t="shared" si="213"/>
        <v>0</v>
      </c>
      <c r="S413" s="482">
        <f t="shared" si="214"/>
        <v>0</v>
      </c>
      <c r="T413" s="506"/>
      <c r="U413" s="507"/>
      <c r="V413" s="479">
        <f t="shared" si="215"/>
        <v>0</v>
      </c>
      <c r="W413" s="478">
        <f t="shared" si="216"/>
        <v>0</v>
      </c>
      <c r="X413" s="506"/>
      <c r="Y413" s="488"/>
      <c r="Z413" s="506"/>
      <c r="AA413" s="488"/>
      <c r="AB413" s="506"/>
      <c r="AC413" s="488"/>
      <c r="AD413" s="506">
        <v>99218</v>
      </c>
      <c r="AE413" s="507">
        <v>86764.9</v>
      </c>
      <c r="AF413" s="479">
        <f t="shared" si="217"/>
        <v>99218</v>
      </c>
      <c r="AG413" s="480">
        <f t="shared" si="218"/>
        <v>110.24222222222222</v>
      </c>
      <c r="AH413" s="481">
        <f t="shared" si="219"/>
        <v>86764.9</v>
      </c>
      <c r="AI413" s="481">
        <f t="shared" si="220"/>
        <v>96.405444444444441</v>
      </c>
      <c r="AJ413" s="487"/>
      <c r="AK413" s="507"/>
      <c r="AL413" s="479">
        <f t="shared" si="221"/>
        <v>0</v>
      </c>
      <c r="AM413" s="482">
        <f t="shared" si="222"/>
        <v>0</v>
      </c>
      <c r="AN413" s="487"/>
      <c r="AO413" s="488"/>
      <c r="AP413" s="487"/>
      <c r="AQ413" s="488"/>
      <c r="AR413" s="487"/>
      <c r="AS413" s="488"/>
      <c r="AT413" s="487"/>
      <c r="AU413" s="488"/>
      <c r="AV413" s="479">
        <f t="shared" si="223"/>
        <v>0</v>
      </c>
      <c r="AW413" s="483">
        <f t="shared" si="224"/>
        <v>0</v>
      </c>
      <c r="AX413" s="481">
        <f t="shared" si="225"/>
        <v>0</v>
      </c>
      <c r="AY413" s="484">
        <f t="shared" si="226"/>
        <v>0</v>
      </c>
      <c r="AZ413" s="485">
        <f t="shared" si="227"/>
        <v>110.24222222222222</v>
      </c>
      <c r="BA413" s="481">
        <f t="shared" si="228"/>
        <v>96.405444444444441</v>
      </c>
    </row>
    <row r="414" spans="1:53">
      <c r="A414" s="536" t="s">
        <v>272</v>
      </c>
      <c r="B414" s="537" t="s">
        <v>438</v>
      </c>
      <c r="C414" s="658"/>
      <c r="D414" s="659">
        <v>407601</v>
      </c>
      <c r="E414" s="646">
        <v>13</v>
      </c>
      <c r="F414" s="486"/>
      <c r="G414" s="529"/>
      <c r="H414" s="506"/>
      <c r="I414" s="488"/>
      <c r="J414" s="506"/>
      <c r="K414" s="488"/>
      <c r="L414" s="506"/>
      <c r="M414" s="488"/>
      <c r="N414" s="506"/>
      <c r="O414" s="488"/>
      <c r="P414" s="479">
        <f t="shared" si="211"/>
        <v>0</v>
      </c>
      <c r="Q414" s="480">
        <f t="shared" si="212"/>
        <v>0</v>
      </c>
      <c r="R414" s="481">
        <f t="shared" si="213"/>
        <v>0</v>
      </c>
      <c r="S414" s="482">
        <f t="shared" si="214"/>
        <v>0</v>
      </c>
      <c r="T414" s="506"/>
      <c r="U414" s="507"/>
      <c r="V414" s="479">
        <f t="shared" si="215"/>
        <v>0</v>
      </c>
      <c r="W414" s="478">
        <f t="shared" si="216"/>
        <v>0</v>
      </c>
      <c r="X414" s="506"/>
      <c r="Y414" s="488"/>
      <c r="Z414" s="506"/>
      <c r="AA414" s="488"/>
      <c r="AB414" s="506"/>
      <c r="AC414" s="488"/>
      <c r="AD414" s="506">
        <v>76702</v>
      </c>
      <c r="AE414" s="507">
        <v>81926</v>
      </c>
      <c r="AF414" s="479">
        <f t="shared" si="217"/>
        <v>76702</v>
      </c>
      <c r="AG414" s="480">
        <f t="shared" si="218"/>
        <v>85.224444444444444</v>
      </c>
      <c r="AH414" s="481">
        <f t="shared" si="219"/>
        <v>81926</v>
      </c>
      <c r="AI414" s="481">
        <f t="shared" si="220"/>
        <v>91.028888888888886</v>
      </c>
      <c r="AJ414" s="487"/>
      <c r="AK414" s="507"/>
      <c r="AL414" s="479">
        <f t="shared" si="221"/>
        <v>0</v>
      </c>
      <c r="AM414" s="482">
        <f t="shared" si="222"/>
        <v>0</v>
      </c>
      <c r="AN414" s="487"/>
      <c r="AO414" s="488"/>
      <c r="AP414" s="487"/>
      <c r="AQ414" s="488"/>
      <c r="AR414" s="487"/>
      <c r="AS414" s="488"/>
      <c r="AT414" s="487"/>
      <c r="AU414" s="488"/>
      <c r="AV414" s="479">
        <f t="shared" si="223"/>
        <v>0</v>
      </c>
      <c r="AW414" s="483">
        <f t="shared" si="224"/>
        <v>0</v>
      </c>
      <c r="AX414" s="481">
        <f t="shared" si="225"/>
        <v>0</v>
      </c>
      <c r="AY414" s="484">
        <f t="shared" si="226"/>
        <v>0</v>
      </c>
      <c r="AZ414" s="485">
        <f t="shared" si="227"/>
        <v>85.224444444444444</v>
      </c>
      <c r="BA414" s="481">
        <f t="shared" si="228"/>
        <v>91.028888888888886</v>
      </c>
    </row>
    <row r="415" spans="1:53">
      <c r="A415" s="536" t="s">
        <v>272</v>
      </c>
      <c r="B415" s="537" t="s">
        <v>439</v>
      </c>
      <c r="C415" s="658"/>
      <c r="D415" s="659">
        <v>364627</v>
      </c>
      <c r="E415" s="646">
        <v>13</v>
      </c>
      <c r="F415" s="486"/>
      <c r="G415" s="529"/>
      <c r="H415" s="506"/>
      <c r="I415" s="488"/>
      <c r="J415" s="506"/>
      <c r="K415" s="488"/>
      <c r="L415" s="506"/>
      <c r="M415" s="488"/>
      <c r="N415" s="506"/>
      <c r="O415" s="488"/>
      <c r="P415" s="479">
        <f t="shared" si="211"/>
        <v>0</v>
      </c>
      <c r="Q415" s="480">
        <f t="shared" si="212"/>
        <v>0</v>
      </c>
      <c r="R415" s="481">
        <f t="shared" si="213"/>
        <v>0</v>
      </c>
      <c r="S415" s="482">
        <f t="shared" si="214"/>
        <v>0</v>
      </c>
      <c r="T415" s="506"/>
      <c r="U415" s="507"/>
      <c r="V415" s="479">
        <f t="shared" si="215"/>
        <v>0</v>
      </c>
      <c r="W415" s="478">
        <f t="shared" si="216"/>
        <v>0</v>
      </c>
      <c r="X415" s="506"/>
      <c r="Y415" s="488"/>
      <c r="Z415" s="506"/>
      <c r="AA415" s="488"/>
      <c r="AB415" s="506"/>
      <c r="AC415" s="488"/>
      <c r="AD415" s="506">
        <v>323062</v>
      </c>
      <c r="AE415" s="507">
        <v>291396</v>
      </c>
      <c r="AF415" s="479">
        <f t="shared" si="217"/>
        <v>323062</v>
      </c>
      <c r="AG415" s="480">
        <f t="shared" si="218"/>
        <v>358.95777777777778</v>
      </c>
      <c r="AH415" s="481">
        <f t="shared" si="219"/>
        <v>291396</v>
      </c>
      <c r="AI415" s="481">
        <f t="shared" si="220"/>
        <v>323.77333333333331</v>
      </c>
      <c r="AJ415" s="487"/>
      <c r="AK415" s="507"/>
      <c r="AL415" s="479">
        <f t="shared" si="221"/>
        <v>0</v>
      </c>
      <c r="AM415" s="482">
        <f t="shared" si="222"/>
        <v>0</v>
      </c>
      <c r="AN415" s="487"/>
      <c r="AO415" s="488"/>
      <c r="AP415" s="487"/>
      <c r="AQ415" s="488"/>
      <c r="AR415" s="487"/>
      <c r="AS415" s="488"/>
      <c r="AT415" s="487"/>
      <c r="AU415" s="488"/>
      <c r="AV415" s="479">
        <f t="shared" si="223"/>
        <v>0</v>
      </c>
      <c r="AW415" s="483">
        <f t="shared" si="224"/>
        <v>0</v>
      </c>
      <c r="AX415" s="481">
        <f t="shared" si="225"/>
        <v>0</v>
      </c>
      <c r="AY415" s="484">
        <f t="shared" si="226"/>
        <v>0</v>
      </c>
      <c r="AZ415" s="485">
        <f t="shared" si="227"/>
        <v>358.95777777777778</v>
      </c>
      <c r="BA415" s="481">
        <f t="shared" si="228"/>
        <v>323.77333333333331</v>
      </c>
    </row>
    <row r="416" spans="1:53">
      <c r="A416" s="536" t="s">
        <v>272</v>
      </c>
      <c r="B416" s="537" t="s">
        <v>440</v>
      </c>
      <c r="C416" s="658"/>
      <c r="D416" s="659">
        <v>206905</v>
      </c>
      <c r="E416" s="646">
        <v>13</v>
      </c>
      <c r="F416" s="486"/>
      <c r="G416" s="529"/>
      <c r="H416" s="506"/>
      <c r="I416" s="488"/>
      <c r="J416" s="506"/>
      <c r="K416" s="488"/>
      <c r="L416" s="506"/>
      <c r="M416" s="488"/>
      <c r="N416" s="506"/>
      <c r="O416" s="488"/>
      <c r="P416" s="479">
        <f t="shared" si="211"/>
        <v>0</v>
      </c>
      <c r="Q416" s="480">
        <f t="shared" si="212"/>
        <v>0</v>
      </c>
      <c r="R416" s="481">
        <f t="shared" si="213"/>
        <v>0</v>
      </c>
      <c r="S416" s="482">
        <f t="shared" si="214"/>
        <v>0</v>
      </c>
      <c r="T416" s="506"/>
      <c r="U416" s="507"/>
      <c r="V416" s="479">
        <f t="shared" si="215"/>
        <v>0</v>
      </c>
      <c r="W416" s="478">
        <f t="shared" si="216"/>
        <v>0</v>
      </c>
      <c r="X416" s="506"/>
      <c r="Y416" s="488"/>
      <c r="Z416" s="506"/>
      <c r="AA416" s="488"/>
      <c r="AB416" s="506"/>
      <c r="AC416" s="488"/>
      <c r="AD416" s="506">
        <v>252360</v>
      </c>
      <c r="AE416" s="507">
        <v>202056.5</v>
      </c>
      <c r="AF416" s="479">
        <f t="shared" si="217"/>
        <v>252360</v>
      </c>
      <c r="AG416" s="480">
        <f t="shared" si="218"/>
        <v>280.39999999999998</v>
      </c>
      <c r="AH416" s="481">
        <f t="shared" si="219"/>
        <v>202056.5</v>
      </c>
      <c r="AI416" s="481">
        <f t="shared" si="220"/>
        <v>224.50722222222223</v>
      </c>
      <c r="AJ416" s="487"/>
      <c r="AK416" s="507"/>
      <c r="AL416" s="479">
        <f t="shared" si="221"/>
        <v>0</v>
      </c>
      <c r="AM416" s="482">
        <f t="shared" si="222"/>
        <v>0</v>
      </c>
      <c r="AN416" s="487"/>
      <c r="AO416" s="488"/>
      <c r="AP416" s="487"/>
      <c r="AQ416" s="488"/>
      <c r="AR416" s="487"/>
      <c r="AS416" s="488"/>
      <c r="AT416" s="487"/>
      <c r="AU416" s="488"/>
      <c r="AV416" s="479">
        <f t="shared" si="223"/>
        <v>0</v>
      </c>
      <c r="AW416" s="483">
        <f t="shared" si="224"/>
        <v>0</v>
      </c>
      <c r="AX416" s="481">
        <f t="shared" si="225"/>
        <v>0</v>
      </c>
      <c r="AY416" s="484">
        <f t="shared" si="226"/>
        <v>0</v>
      </c>
      <c r="AZ416" s="485">
        <f t="shared" si="227"/>
        <v>280.39999999999998</v>
      </c>
      <c r="BA416" s="481">
        <f t="shared" si="228"/>
        <v>224.50722222222223</v>
      </c>
    </row>
    <row r="417" spans="1:53">
      <c r="A417" s="536" t="s">
        <v>272</v>
      </c>
      <c r="B417" s="537" t="s">
        <v>441</v>
      </c>
      <c r="C417" s="658"/>
      <c r="D417" s="659">
        <v>250993</v>
      </c>
      <c r="E417" s="646">
        <v>13</v>
      </c>
      <c r="F417" s="486"/>
      <c r="G417" s="529"/>
      <c r="H417" s="506"/>
      <c r="I417" s="488"/>
      <c r="J417" s="506"/>
      <c r="K417" s="488"/>
      <c r="L417" s="506"/>
      <c r="M417" s="488"/>
      <c r="N417" s="506"/>
      <c r="O417" s="488"/>
      <c r="P417" s="479">
        <f t="shared" si="211"/>
        <v>0</v>
      </c>
      <c r="Q417" s="480">
        <f t="shared" si="212"/>
        <v>0</v>
      </c>
      <c r="R417" s="481">
        <f t="shared" si="213"/>
        <v>0</v>
      </c>
      <c r="S417" s="482">
        <f t="shared" si="214"/>
        <v>0</v>
      </c>
      <c r="T417" s="506"/>
      <c r="U417" s="507"/>
      <c r="V417" s="479">
        <f t="shared" si="215"/>
        <v>0</v>
      </c>
      <c r="W417" s="478">
        <f t="shared" si="216"/>
        <v>0</v>
      </c>
      <c r="X417" s="506"/>
      <c r="Y417" s="488"/>
      <c r="Z417" s="506"/>
      <c r="AA417" s="488"/>
      <c r="AB417" s="506"/>
      <c r="AC417" s="488"/>
      <c r="AD417" s="506">
        <v>300008</v>
      </c>
      <c r="AE417" s="507">
        <v>313042.75</v>
      </c>
      <c r="AF417" s="479">
        <f t="shared" si="217"/>
        <v>300008</v>
      </c>
      <c r="AG417" s="480">
        <f t="shared" si="218"/>
        <v>333.34222222222223</v>
      </c>
      <c r="AH417" s="481">
        <f t="shared" si="219"/>
        <v>313042.75</v>
      </c>
      <c r="AI417" s="481">
        <f t="shared" si="220"/>
        <v>347.82527777777779</v>
      </c>
      <c r="AJ417" s="487"/>
      <c r="AK417" s="507"/>
      <c r="AL417" s="479">
        <f t="shared" si="221"/>
        <v>0</v>
      </c>
      <c r="AM417" s="482">
        <f t="shared" si="222"/>
        <v>0</v>
      </c>
      <c r="AN417" s="487"/>
      <c r="AO417" s="488"/>
      <c r="AP417" s="487"/>
      <c r="AQ417" s="488"/>
      <c r="AR417" s="487"/>
      <c r="AS417" s="488"/>
      <c r="AT417" s="487"/>
      <c r="AU417" s="488"/>
      <c r="AV417" s="479">
        <f t="shared" si="223"/>
        <v>0</v>
      </c>
      <c r="AW417" s="483">
        <f t="shared" si="224"/>
        <v>0</v>
      </c>
      <c r="AX417" s="481">
        <f t="shared" si="225"/>
        <v>0</v>
      </c>
      <c r="AY417" s="484">
        <f t="shared" si="226"/>
        <v>0</v>
      </c>
      <c r="AZ417" s="485">
        <f t="shared" si="227"/>
        <v>333.34222222222223</v>
      </c>
      <c r="BA417" s="481">
        <f t="shared" si="228"/>
        <v>347.82527777777779</v>
      </c>
    </row>
    <row r="418" spans="1:53">
      <c r="A418" s="536" t="s">
        <v>272</v>
      </c>
      <c r="B418" s="537" t="s">
        <v>442</v>
      </c>
      <c r="C418" s="658"/>
      <c r="D418" s="659">
        <v>365198</v>
      </c>
      <c r="E418" s="646">
        <v>13</v>
      </c>
      <c r="F418" s="486"/>
      <c r="G418" s="529"/>
      <c r="H418" s="506"/>
      <c r="I418" s="488"/>
      <c r="J418" s="506"/>
      <c r="K418" s="488"/>
      <c r="L418" s="506"/>
      <c r="M418" s="488"/>
      <c r="N418" s="506"/>
      <c r="O418" s="488"/>
      <c r="P418" s="479">
        <f t="shared" si="211"/>
        <v>0</v>
      </c>
      <c r="Q418" s="480">
        <f t="shared" si="212"/>
        <v>0</v>
      </c>
      <c r="R418" s="481">
        <f t="shared" si="213"/>
        <v>0</v>
      </c>
      <c r="S418" s="482">
        <f t="shared" si="214"/>
        <v>0</v>
      </c>
      <c r="T418" s="506"/>
      <c r="U418" s="507"/>
      <c r="V418" s="479">
        <f t="shared" si="215"/>
        <v>0</v>
      </c>
      <c r="W418" s="478">
        <f t="shared" si="216"/>
        <v>0</v>
      </c>
      <c r="X418" s="506"/>
      <c r="Y418" s="488"/>
      <c r="Z418" s="506"/>
      <c r="AA418" s="488"/>
      <c r="AB418" s="506"/>
      <c r="AC418" s="488"/>
      <c r="AD418" s="506">
        <v>365802</v>
      </c>
      <c r="AE418" s="507">
        <v>384988.75</v>
      </c>
      <c r="AF418" s="479">
        <f t="shared" si="217"/>
        <v>365802</v>
      </c>
      <c r="AG418" s="480">
        <f t="shared" si="218"/>
        <v>406.44666666666666</v>
      </c>
      <c r="AH418" s="481">
        <f t="shared" si="219"/>
        <v>384988.75</v>
      </c>
      <c r="AI418" s="481">
        <f t="shared" si="220"/>
        <v>427.76527777777778</v>
      </c>
      <c r="AJ418" s="487"/>
      <c r="AK418" s="507"/>
      <c r="AL418" s="479">
        <f t="shared" si="221"/>
        <v>0</v>
      </c>
      <c r="AM418" s="482">
        <f t="shared" si="222"/>
        <v>0</v>
      </c>
      <c r="AN418" s="487"/>
      <c r="AO418" s="488"/>
      <c r="AP418" s="487"/>
      <c r="AQ418" s="488"/>
      <c r="AR418" s="487"/>
      <c r="AS418" s="488"/>
      <c r="AT418" s="487"/>
      <c r="AU418" s="488"/>
      <c r="AV418" s="479">
        <f t="shared" si="223"/>
        <v>0</v>
      </c>
      <c r="AW418" s="483">
        <f t="shared" si="224"/>
        <v>0</v>
      </c>
      <c r="AX418" s="481">
        <f t="shared" si="225"/>
        <v>0</v>
      </c>
      <c r="AY418" s="484">
        <f t="shared" si="226"/>
        <v>0</v>
      </c>
      <c r="AZ418" s="485">
        <f t="shared" si="227"/>
        <v>406.44666666666666</v>
      </c>
      <c r="BA418" s="481">
        <f t="shared" si="228"/>
        <v>427.76527777777778</v>
      </c>
    </row>
    <row r="419" spans="1:53">
      <c r="A419" s="536" t="s">
        <v>272</v>
      </c>
      <c r="B419" s="537" t="s">
        <v>443</v>
      </c>
      <c r="C419" s="658"/>
      <c r="D419" s="659">
        <v>368364</v>
      </c>
      <c r="E419" s="646">
        <v>13</v>
      </c>
      <c r="F419" s="486"/>
      <c r="G419" s="529"/>
      <c r="H419" s="506"/>
      <c r="I419" s="488"/>
      <c r="J419" s="506"/>
      <c r="K419" s="488"/>
      <c r="L419" s="506"/>
      <c r="M419" s="488"/>
      <c r="N419" s="506"/>
      <c r="O419" s="488"/>
      <c r="P419" s="479">
        <f t="shared" si="211"/>
        <v>0</v>
      </c>
      <c r="Q419" s="480">
        <f t="shared" si="212"/>
        <v>0</v>
      </c>
      <c r="R419" s="481">
        <f t="shared" si="213"/>
        <v>0</v>
      </c>
      <c r="S419" s="482">
        <f t="shared" si="214"/>
        <v>0</v>
      </c>
      <c r="T419" s="506"/>
      <c r="U419" s="507"/>
      <c r="V419" s="479">
        <f t="shared" si="215"/>
        <v>0</v>
      </c>
      <c r="W419" s="478">
        <f t="shared" si="216"/>
        <v>0</v>
      </c>
      <c r="X419" s="506"/>
      <c r="Y419" s="488"/>
      <c r="Z419" s="506"/>
      <c r="AA419" s="488"/>
      <c r="AB419" s="506"/>
      <c r="AC419" s="488"/>
      <c r="AD419" s="506">
        <v>216488</v>
      </c>
      <c r="AE419" s="507">
        <v>201072.75</v>
      </c>
      <c r="AF419" s="479">
        <f t="shared" si="217"/>
        <v>216488</v>
      </c>
      <c r="AG419" s="480">
        <f t="shared" si="218"/>
        <v>240.54222222222222</v>
      </c>
      <c r="AH419" s="481">
        <f t="shared" si="219"/>
        <v>201072.75</v>
      </c>
      <c r="AI419" s="481">
        <f t="shared" si="220"/>
        <v>223.41416666666666</v>
      </c>
      <c r="AJ419" s="487"/>
      <c r="AK419" s="507"/>
      <c r="AL419" s="479">
        <f t="shared" si="221"/>
        <v>0</v>
      </c>
      <c r="AM419" s="482">
        <f t="shared" si="222"/>
        <v>0</v>
      </c>
      <c r="AN419" s="487"/>
      <c r="AO419" s="488"/>
      <c r="AP419" s="487"/>
      <c r="AQ419" s="488"/>
      <c r="AR419" s="487"/>
      <c r="AS419" s="488"/>
      <c r="AT419" s="487"/>
      <c r="AU419" s="488"/>
      <c r="AV419" s="479">
        <f t="shared" si="223"/>
        <v>0</v>
      </c>
      <c r="AW419" s="483">
        <f t="shared" si="224"/>
        <v>0</v>
      </c>
      <c r="AX419" s="481">
        <f t="shared" si="225"/>
        <v>0</v>
      </c>
      <c r="AY419" s="484">
        <f t="shared" si="226"/>
        <v>0</v>
      </c>
      <c r="AZ419" s="485">
        <f t="shared" si="227"/>
        <v>240.54222222222222</v>
      </c>
      <c r="BA419" s="481">
        <f t="shared" si="228"/>
        <v>223.41416666666666</v>
      </c>
    </row>
    <row r="420" spans="1:53">
      <c r="A420" s="536" t="s">
        <v>272</v>
      </c>
      <c r="B420" s="537" t="s">
        <v>444</v>
      </c>
      <c r="C420" s="658"/>
      <c r="D420" s="659">
        <v>418287</v>
      </c>
      <c r="E420" s="646">
        <v>13</v>
      </c>
      <c r="F420" s="486"/>
      <c r="G420" s="529"/>
      <c r="H420" s="506"/>
      <c r="I420" s="488"/>
      <c r="J420" s="506"/>
      <c r="K420" s="488"/>
      <c r="L420" s="506"/>
      <c r="M420" s="488"/>
      <c r="N420" s="506"/>
      <c r="O420" s="488"/>
      <c r="P420" s="479">
        <f t="shared" si="211"/>
        <v>0</v>
      </c>
      <c r="Q420" s="480">
        <f t="shared" si="212"/>
        <v>0</v>
      </c>
      <c r="R420" s="481">
        <f t="shared" si="213"/>
        <v>0</v>
      </c>
      <c r="S420" s="482">
        <f t="shared" si="214"/>
        <v>0</v>
      </c>
      <c r="T420" s="506"/>
      <c r="U420" s="507"/>
      <c r="V420" s="479">
        <f t="shared" si="215"/>
        <v>0</v>
      </c>
      <c r="W420" s="478">
        <f t="shared" si="216"/>
        <v>0</v>
      </c>
      <c r="X420" s="506"/>
      <c r="Y420" s="488"/>
      <c r="Z420" s="506"/>
      <c r="AA420" s="488"/>
      <c r="AB420" s="506"/>
      <c r="AC420" s="488"/>
      <c r="AD420" s="506">
        <v>400941</v>
      </c>
      <c r="AE420" s="507">
        <v>398413</v>
      </c>
      <c r="AF420" s="479">
        <f t="shared" si="217"/>
        <v>400941</v>
      </c>
      <c r="AG420" s="480">
        <f t="shared" si="218"/>
        <v>445.49</v>
      </c>
      <c r="AH420" s="481">
        <f t="shared" si="219"/>
        <v>398413</v>
      </c>
      <c r="AI420" s="481">
        <f t="shared" si="220"/>
        <v>442.68111111111114</v>
      </c>
      <c r="AJ420" s="487"/>
      <c r="AK420" s="507"/>
      <c r="AL420" s="479">
        <f t="shared" si="221"/>
        <v>0</v>
      </c>
      <c r="AM420" s="482">
        <f t="shared" si="222"/>
        <v>0</v>
      </c>
      <c r="AN420" s="487"/>
      <c r="AO420" s="488"/>
      <c r="AP420" s="487"/>
      <c r="AQ420" s="488"/>
      <c r="AR420" s="487"/>
      <c r="AS420" s="488"/>
      <c r="AT420" s="487"/>
      <c r="AU420" s="488"/>
      <c r="AV420" s="479">
        <f t="shared" si="223"/>
        <v>0</v>
      </c>
      <c r="AW420" s="483">
        <f t="shared" si="224"/>
        <v>0</v>
      </c>
      <c r="AX420" s="481">
        <f t="shared" si="225"/>
        <v>0</v>
      </c>
      <c r="AY420" s="484">
        <f t="shared" si="226"/>
        <v>0</v>
      </c>
      <c r="AZ420" s="485">
        <f t="shared" si="227"/>
        <v>445.49</v>
      </c>
      <c r="BA420" s="481">
        <f t="shared" si="228"/>
        <v>442.68111111111114</v>
      </c>
    </row>
    <row r="421" spans="1:53">
      <c r="A421" s="536" t="s">
        <v>272</v>
      </c>
      <c r="B421" s="537" t="s">
        <v>445</v>
      </c>
      <c r="C421" s="658"/>
      <c r="D421" s="659">
        <v>207607</v>
      </c>
      <c r="E421" s="646">
        <v>13</v>
      </c>
      <c r="F421" s="486"/>
      <c r="G421" s="529"/>
      <c r="H421" s="506"/>
      <c r="I421" s="488"/>
      <c r="J421" s="506"/>
      <c r="K421" s="488"/>
      <c r="L421" s="506"/>
      <c r="M421" s="488"/>
      <c r="N421" s="506"/>
      <c r="O421" s="488"/>
      <c r="P421" s="479">
        <f t="shared" si="211"/>
        <v>0</v>
      </c>
      <c r="Q421" s="480">
        <f t="shared" si="212"/>
        <v>0</v>
      </c>
      <c r="R421" s="481">
        <f t="shared" si="213"/>
        <v>0</v>
      </c>
      <c r="S421" s="482">
        <f t="shared" si="214"/>
        <v>0</v>
      </c>
      <c r="T421" s="506"/>
      <c r="U421" s="507"/>
      <c r="V421" s="479">
        <f t="shared" si="215"/>
        <v>0</v>
      </c>
      <c r="W421" s="478">
        <f t="shared" si="216"/>
        <v>0</v>
      </c>
      <c r="X421" s="506"/>
      <c r="Y421" s="488"/>
      <c r="Z421" s="506"/>
      <c r="AA421" s="488"/>
      <c r="AB421" s="506"/>
      <c r="AC421" s="488"/>
      <c r="AD421" s="506">
        <v>338177</v>
      </c>
      <c r="AE421" s="507">
        <v>444360.5</v>
      </c>
      <c r="AF421" s="479">
        <f t="shared" si="217"/>
        <v>338177</v>
      </c>
      <c r="AG421" s="480">
        <f t="shared" si="218"/>
        <v>375.7522222222222</v>
      </c>
      <c r="AH421" s="481">
        <f t="shared" si="219"/>
        <v>444360.5</v>
      </c>
      <c r="AI421" s="481">
        <f t="shared" si="220"/>
        <v>493.73388888888888</v>
      </c>
      <c r="AJ421" s="487"/>
      <c r="AK421" s="507"/>
      <c r="AL421" s="479">
        <f t="shared" si="221"/>
        <v>0</v>
      </c>
      <c r="AM421" s="482">
        <f t="shared" si="222"/>
        <v>0</v>
      </c>
      <c r="AN421" s="487"/>
      <c r="AO421" s="488"/>
      <c r="AP421" s="487"/>
      <c r="AQ421" s="488"/>
      <c r="AR421" s="487"/>
      <c r="AS421" s="488"/>
      <c r="AT421" s="487"/>
      <c r="AU421" s="488"/>
      <c r="AV421" s="479">
        <f t="shared" si="223"/>
        <v>0</v>
      </c>
      <c r="AW421" s="483">
        <f t="shared" si="224"/>
        <v>0</v>
      </c>
      <c r="AX421" s="481">
        <f t="shared" si="225"/>
        <v>0</v>
      </c>
      <c r="AY421" s="484">
        <f t="shared" si="226"/>
        <v>0</v>
      </c>
      <c r="AZ421" s="485">
        <f t="shared" si="227"/>
        <v>375.7522222222222</v>
      </c>
      <c r="BA421" s="481">
        <f t="shared" si="228"/>
        <v>493.73388888888888</v>
      </c>
    </row>
    <row r="422" spans="1:53">
      <c r="A422" s="536" t="s">
        <v>272</v>
      </c>
      <c r="B422" s="537" t="s">
        <v>446</v>
      </c>
      <c r="C422" s="651" t="s">
        <v>617</v>
      </c>
      <c r="D422" s="659">
        <v>261393</v>
      </c>
      <c r="E422" s="539">
        <v>13</v>
      </c>
      <c r="F422" s="486"/>
      <c r="G422" s="529"/>
      <c r="H422" s="506"/>
      <c r="I422" s="488"/>
      <c r="J422" s="506"/>
      <c r="K422" s="488"/>
      <c r="L422" s="506"/>
      <c r="M422" s="488"/>
      <c r="N422" s="506"/>
      <c r="O422" s="488"/>
      <c r="P422" s="479">
        <f t="shared" si="211"/>
        <v>0</v>
      </c>
      <c r="Q422" s="480">
        <f t="shared" si="212"/>
        <v>0</v>
      </c>
      <c r="R422" s="481">
        <f t="shared" si="213"/>
        <v>0</v>
      </c>
      <c r="S422" s="482">
        <f t="shared" si="214"/>
        <v>0</v>
      </c>
      <c r="T422" s="506"/>
      <c r="U422" s="507"/>
      <c r="V422" s="479">
        <f t="shared" si="215"/>
        <v>0</v>
      </c>
      <c r="W422" s="478">
        <f t="shared" si="216"/>
        <v>0</v>
      </c>
      <c r="X422" s="506"/>
      <c r="Y422" s="488"/>
      <c r="Z422" s="506"/>
      <c r="AA422" s="488"/>
      <c r="AB422" s="506"/>
      <c r="AC422" s="488"/>
      <c r="AD422" s="506">
        <v>765586</v>
      </c>
      <c r="AE422" s="507">
        <v>1032741.1</v>
      </c>
      <c r="AF422" s="479">
        <f t="shared" si="217"/>
        <v>765586</v>
      </c>
      <c r="AG422" s="480">
        <f t="shared" si="218"/>
        <v>850.65111111111116</v>
      </c>
      <c r="AH422" s="481">
        <f t="shared" si="219"/>
        <v>1032741.1</v>
      </c>
      <c r="AI422" s="481">
        <f t="shared" si="220"/>
        <v>1147.490111111111</v>
      </c>
      <c r="AJ422" s="487"/>
      <c r="AK422" s="507"/>
      <c r="AL422" s="479">
        <f t="shared" si="221"/>
        <v>0</v>
      </c>
      <c r="AM422" s="482">
        <f t="shared" si="222"/>
        <v>0</v>
      </c>
      <c r="AN422" s="487"/>
      <c r="AO422" s="488"/>
      <c r="AP422" s="487"/>
      <c r="AQ422" s="488"/>
      <c r="AR422" s="487"/>
      <c r="AS422" s="488"/>
      <c r="AT422" s="487"/>
      <c r="AU422" s="488"/>
      <c r="AV422" s="479">
        <f t="shared" si="223"/>
        <v>0</v>
      </c>
      <c r="AW422" s="483">
        <f t="shared" si="224"/>
        <v>0</v>
      </c>
      <c r="AX422" s="481">
        <f t="shared" si="225"/>
        <v>0</v>
      </c>
      <c r="AY422" s="484">
        <f t="shared" si="226"/>
        <v>0</v>
      </c>
      <c r="AZ422" s="485">
        <f t="shared" si="227"/>
        <v>850.65111111111116</v>
      </c>
      <c r="BA422" s="481">
        <f t="shared" si="228"/>
        <v>1147.490111111111</v>
      </c>
    </row>
    <row r="423" spans="1:53">
      <c r="A423" s="536" t="s">
        <v>272</v>
      </c>
      <c r="B423" s="537" t="s">
        <v>447</v>
      </c>
      <c r="C423" s="651" t="s">
        <v>617</v>
      </c>
      <c r="D423" s="659">
        <v>261375</v>
      </c>
      <c r="E423" s="646">
        <v>13</v>
      </c>
      <c r="F423" s="486"/>
      <c r="G423" s="529"/>
      <c r="H423" s="506"/>
      <c r="I423" s="488"/>
      <c r="J423" s="506"/>
      <c r="K423" s="488"/>
      <c r="L423" s="506"/>
      <c r="M423" s="488"/>
      <c r="N423" s="506"/>
      <c r="O423" s="488"/>
      <c r="P423" s="479">
        <f t="shared" si="211"/>
        <v>0</v>
      </c>
      <c r="Q423" s="480">
        <f t="shared" si="212"/>
        <v>0</v>
      </c>
      <c r="R423" s="481">
        <f t="shared" si="213"/>
        <v>0</v>
      </c>
      <c r="S423" s="482">
        <f t="shared" si="214"/>
        <v>0</v>
      </c>
      <c r="T423" s="506"/>
      <c r="U423" s="507"/>
      <c r="V423" s="479">
        <f t="shared" si="215"/>
        <v>0</v>
      </c>
      <c r="W423" s="478">
        <f t="shared" si="216"/>
        <v>0</v>
      </c>
      <c r="X423" s="506"/>
      <c r="Y423" s="488"/>
      <c r="Z423" s="506"/>
      <c r="AA423" s="488"/>
      <c r="AB423" s="506"/>
      <c r="AC423" s="488"/>
      <c r="AD423" s="506">
        <v>747476</v>
      </c>
      <c r="AE423" s="507">
        <v>994081.38</v>
      </c>
      <c r="AF423" s="479">
        <f t="shared" si="217"/>
        <v>747476</v>
      </c>
      <c r="AG423" s="480">
        <f t="shared" si="218"/>
        <v>830.5288888888889</v>
      </c>
      <c r="AH423" s="481">
        <f t="shared" si="219"/>
        <v>994081.38</v>
      </c>
      <c r="AI423" s="481">
        <f t="shared" si="220"/>
        <v>1104.5348666666666</v>
      </c>
      <c r="AJ423" s="487"/>
      <c r="AK423" s="507"/>
      <c r="AL423" s="479">
        <f t="shared" si="221"/>
        <v>0</v>
      </c>
      <c r="AM423" s="482">
        <f t="shared" si="222"/>
        <v>0</v>
      </c>
      <c r="AN423" s="487"/>
      <c r="AO423" s="488"/>
      <c r="AP423" s="487"/>
      <c r="AQ423" s="488"/>
      <c r="AR423" s="487"/>
      <c r="AS423" s="488"/>
      <c r="AT423" s="487"/>
      <c r="AU423" s="488"/>
      <c r="AV423" s="479">
        <f t="shared" si="223"/>
        <v>0</v>
      </c>
      <c r="AW423" s="483">
        <f t="shared" si="224"/>
        <v>0</v>
      </c>
      <c r="AX423" s="481">
        <f t="shared" si="225"/>
        <v>0</v>
      </c>
      <c r="AY423" s="484">
        <f t="shared" si="226"/>
        <v>0</v>
      </c>
      <c r="AZ423" s="485">
        <f t="shared" si="227"/>
        <v>830.5288888888889</v>
      </c>
      <c r="BA423" s="481">
        <f t="shared" si="228"/>
        <v>1104.5348666666666</v>
      </c>
    </row>
    <row r="424" spans="1:53">
      <c r="A424" s="536" t="s">
        <v>272</v>
      </c>
      <c r="B424" s="537" t="s">
        <v>448</v>
      </c>
      <c r="C424" s="658"/>
      <c r="D424" s="659">
        <v>261384</v>
      </c>
      <c r="E424" s="646">
        <v>13</v>
      </c>
      <c r="F424" s="486"/>
      <c r="G424" s="529"/>
      <c r="H424" s="506"/>
      <c r="I424" s="488"/>
      <c r="J424" s="506"/>
      <c r="K424" s="488"/>
      <c r="L424" s="506"/>
      <c r="M424" s="488"/>
      <c r="N424" s="506"/>
      <c r="O424" s="488"/>
      <c r="P424" s="479">
        <f t="shared" si="211"/>
        <v>0</v>
      </c>
      <c r="Q424" s="480">
        <f t="shared" si="212"/>
        <v>0</v>
      </c>
      <c r="R424" s="481">
        <f t="shared" si="213"/>
        <v>0</v>
      </c>
      <c r="S424" s="482">
        <f t="shared" si="214"/>
        <v>0</v>
      </c>
      <c r="T424" s="506"/>
      <c r="U424" s="507"/>
      <c r="V424" s="479">
        <f t="shared" si="215"/>
        <v>0</v>
      </c>
      <c r="W424" s="478">
        <f t="shared" si="216"/>
        <v>0</v>
      </c>
      <c r="X424" s="506"/>
      <c r="Y424" s="488"/>
      <c r="Z424" s="506"/>
      <c r="AA424" s="488"/>
      <c r="AB424" s="506"/>
      <c r="AC424" s="488"/>
      <c r="AD424" s="506">
        <v>409746</v>
      </c>
      <c r="AE424" s="507">
        <v>556305</v>
      </c>
      <c r="AF424" s="479">
        <f t="shared" si="217"/>
        <v>409746</v>
      </c>
      <c r="AG424" s="480">
        <f t="shared" si="218"/>
        <v>455.27333333333331</v>
      </c>
      <c r="AH424" s="481">
        <f t="shared" si="219"/>
        <v>556305</v>
      </c>
      <c r="AI424" s="481">
        <f t="shared" si="220"/>
        <v>618.11666666666667</v>
      </c>
      <c r="AJ424" s="487"/>
      <c r="AK424" s="507"/>
      <c r="AL424" s="479">
        <f t="shared" si="221"/>
        <v>0</v>
      </c>
      <c r="AM424" s="482">
        <f t="shared" si="222"/>
        <v>0</v>
      </c>
      <c r="AN424" s="487"/>
      <c r="AO424" s="488"/>
      <c r="AP424" s="487"/>
      <c r="AQ424" s="488"/>
      <c r="AR424" s="487"/>
      <c r="AS424" s="488"/>
      <c r="AT424" s="487"/>
      <c r="AU424" s="488"/>
      <c r="AV424" s="479">
        <f t="shared" si="223"/>
        <v>0</v>
      </c>
      <c r="AW424" s="483">
        <f t="shared" si="224"/>
        <v>0</v>
      </c>
      <c r="AX424" s="481">
        <f t="shared" si="225"/>
        <v>0</v>
      </c>
      <c r="AY424" s="484">
        <f t="shared" si="226"/>
        <v>0</v>
      </c>
      <c r="AZ424" s="485">
        <f t="shared" si="227"/>
        <v>455.27333333333331</v>
      </c>
      <c r="BA424" s="481">
        <f t="shared" si="228"/>
        <v>618.11666666666667</v>
      </c>
    </row>
    <row r="425" spans="1:53">
      <c r="A425" s="536" t="s">
        <v>272</v>
      </c>
      <c r="B425" s="537" t="s">
        <v>449</v>
      </c>
      <c r="C425" s="658"/>
      <c r="D425" s="659">
        <v>418357</v>
      </c>
      <c r="E425" s="646">
        <v>13</v>
      </c>
      <c r="F425" s="486"/>
      <c r="G425" s="529"/>
      <c r="H425" s="506"/>
      <c r="I425" s="488"/>
      <c r="J425" s="506"/>
      <c r="K425" s="488"/>
      <c r="L425" s="506"/>
      <c r="M425" s="488"/>
      <c r="N425" s="506"/>
      <c r="O425" s="488"/>
      <c r="P425" s="479">
        <f t="shared" si="211"/>
        <v>0</v>
      </c>
      <c r="Q425" s="480">
        <f t="shared" si="212"/>
        <v>0</v>
      </c>
      <c r="R425" s="481">
        <f t="shared" si="213"/>
        <v>0</v>
      </c>
      <c r="S425" s="482">
        <f t="shared" si="214"/>
        <v>0</v>
      </c>
      <c r="T425" s="506"/>
      <c r="U425" s="507"/>
      <c r="V425" s="479">
        <f t="shared" si="215"/>
        <v>0</v>
      </c>
      <c r="W425" s="478">
        <f t="shared" si="216"/>
        <v>0</v>
      </c>
      <c r="X425" s="506"/>
      <c r="Y425" s="488"/>
      <c r="Z425" s="506"/>
      <c r="AA425" s="488"/>
      <c r="AB425" s="506"/>
      <c r="AC425" s="488"/>
      <c r="AD425" s="506">
        <v>189543</v>
      </c>
      <c r="AE425" s="507">
        <v>158878.5</v>
      </c>
      <c r="AF425" s="479">
        <f t="shared" si="217"/>
        <v>189543</v>
      </c>
      <c r="AG425" s="480">
        <f t="shared" si="218"/>
        <v>210.60333333333332</v>
      </c>
      <c r="AH425" s="481">
        <f t="shared" si="219"/>
        <v>158878.5</v>
      </c>
      <c r="AI425" s="481">
        <f t="shared" si="220"/>
        <v>176.53166666666667</v>
      </c>
      <c r="AJ425" s="487"/>
      <c r="AK425" s="507"/>
      <c r="AL425" s="479">
        <f t="shared" si="221"/>
        <v>0</v>
      </c>
      <c r="AM425" s="482">
        <f t="shared" si="222"/>
        <v>0</v>
      </c>
      <c r="AN425" s="487"/>
      <c r="AO425" s="488"/>
      <c r="AP425" s="487"/>
      <c r="AQ425" s="488"/>
      <c r="AR425" s="487"/>
      <c r="AS425" s="488"/>
      <c r="AT425" s="487"/>
      <c r="AU425" s="488"/>
      <c r="AV425" s="479">
        <f t="shared" si="223"/>
        <v>0</v>
      </c>
      <c r="AW425" s="483">
        <f t="shared" si="224"/>
        <v>0</v>
      </c>
      <c r="AX425" s="481">
        <f t="shared" si="225"/>
        <v>0</v>
      </c>
      <c r="AY425" s="484">
        <f t="shared" si="226"/>
        <v>0</v>
      </c>
      <c r="AZ425" s="485">
        <f t="shared" si="227"/>
        <v>210.60333333333332</v>
      </c>
      <c r="BA425" s="481">
        <f t="shared" si="228"/>
        <v>176.53166666666667</v>
      </c>
    </row>
    <row r="426" spans="1:53">
      <c r="A426" s="536" t="s">
        <v>272</v>
      </c>
      <c r="B426" s="537" t="s">
        <v>450</v>
      </c>
      <c r="C426" s="658"/>
      <c r="D426" s="659">
        <v>418302</v>
      </c>
      <c r="E426" s="646">
        <v>13</v>
      </c>
      <c r="F426" s="486"/>
      <c r="G426" s="529"/>
      <c r="H426" s="506"/>
      <c r="I426" s="488"/>
      <c r="J426" s="506"/>
      <c r="K426" s="488"/>
      <c r="L426" s="506"/>
      <c r="M426" s="488"/>
      <c r="N426" s="506"/>
      <c r="O426" s="488"/>
      <c r="P426" s="479">
        <f t="shared" si="211"/>
        <v>0</v>
      </c>
      <c r="Q426" s="480">
        <f t="shared" si="212"/>
        <v>0</v>
      </c>
      <c r="R426" s="481">
        <f t="shared" si="213"/>
        <v>0</v>
      </c>
      <c r="S426" s="482">
        <f t="shared" si="214"/>
        <v>0</v>
      </c>
      <c r="T426" s="506"/>
      <c r="U426" s="507"/>
      <c r="V426" s="479">
        <f t="shared" si="215"/>
        <v>0</v>
      </c>
      <c r="W426" s="478">
        <f t="shared" si="216"/>
        <v>0</v>
      </c>
      <c r="X426" s="506"/>
      <c r="Y426" s="488"/>
      <c r="Z426" s="506"/>
      <c r="AA426" s="488"/>
      <c r="AB426" s="506"/>
      <c r="AC426" s="488"/>
      <c r="AD426" s="506">
        <v>381800</v>
      </c>
      <c r="AE426" s="507">
        <v>351024.5</v>
      </c>
      <c r="AF426" s="479">
        <f t="shared" si="217"/>
        <v>381800</v>
      </c>
      <c r="AG426" s="480">
        <f t="shared" si="218"/>
        <v>424.22222222222223</v>
      </c>
      <c r="AH426" s="481">
        <f t="shared" si="219"/>
        <v>351024.5</v>
      </c>
      <c r="AI426" s="481">
        <f t="shared" si="220"/>
        <v>390.02722222222224</v>
      </c>
      <c r="AJ426" s="487"/>
      <c r="AK426" s="507"/>
      <c r="AL426" s="479">
        <f t="shared" si="221"/>
        <v>0</v>
      </c>
      <c r="AM426" s="482">
        <f t="shared" si="222"/>
        <v>0</v>
      </c>
      <c r="AN426" s="487"/>
      <c r="AO426" s="488"/>
      <c r="AP426" s="487"/>
      <c r="AQ426" s="488"/>
      <c r="AR426" s="487"/>
      <c r="AS426" s="488"/>
      <c r="AT426" s="487"/>
      <c r="AU426" s="488"/>
      <c r="AV426" s="479">
        <f t="shared" si="223"/>
        <v>0</v>
      </c>
      <c r="AW426" s="483">
        <f t="shared" si="224"/>
        <v>0</v>
      </c>
      <c r="AX426" s="481">
        <f t="shared" si="225"/>
        <v>0</v>
      </c>
      <c r="AY426" s="484">
        <f t="shared" si="226"/>
        <v>0</v>
      </c>
      <c r="AZ426" s="485">
        <f t="shared" si="227"/>
        <v>424.22222222222223</v>
      </c>
      <c r="BA426" s="481">
        <f t="shared" si="228"/>
        <v>390.02722222222224</v>
      </c>
    </row>
    <row r="427" spans="1:53">
      <c r="A427" s="761" t="s">
        <v>287</v>
      </c>
      <c r="B427" s="701" t="s">
        <v>875</v>
      </c>
      <c r="C427" s="694"/>
      <c r="D427" s="762">
        <v>217882</v>
      </c>
      <c r="E427" s="763">
        <v>1</v>
      </c>
      <c r="F427" s="486" t="s">
        <v>41</v>
      </c>
      <c r="G427" s="529"/>
      <c r="H427" s="506"/>
      <c r="I427" s="488"/>
      <c r="J427" s="506">
        <v>218776</v>
      </c>
      <c r="K427" s="488">
        <v>229989</v>
      </c>
      <c r="L427" s="506">
        <v>26274</v>
      </c>
      <c r="M427" s="488">
        <v>25249</v>
      </c>
      <c r="N427" s="506">
        <v>247981</v>
      </c>
      <c r="O427" s="488">
        <v>254669</v>
      </c>
      <c r="P427" s="479">
        <f t="shared" si="211"/>
        <v>493031</v>
      </c>
      <c r="Q427" s="480">
        <f t="shared" si="212"/>
        <v>16434.366666666665</v>
      </c>
      <c r="R427" s="481">
        <f t="shared" si="213"/>
        <v>509907</v>
      </c>
      <c r="S427" s="482">
        <f t="shared" si="214"/>
        <v>16996.900000000001</v>
      </c>
      <c r="T427" s="506"/>
      <c r="U427" s="770">
        <v>126</v>
      </c>
      <c r="V427" s="479">
        <f t="shared" si="215"/>
        <v>0</v>
      </c>
      <c r="W427" s="478">
        <f t="shared" si="216"/>
        <v>509907</v>
      </c>
      <c r="X427" s="506"/>
      <c r="Y427" s="488"/>
      <c r="Z427" s="506"/>
      <c r="AA427" s="488"/>
      <c r="AB427" s="506"/>
      <c r="AC427" s="488"/>
      <c r="AD427" s="506"/>
      <c r="AE427" s="507"/>
      <c r="AF427" s="479">
        <f t="shared" si="217"/>
        <v>0</v>
      </c>
      <c r="AG427" s="480">
        <f t="shared" si="218"/>
        <v>0</v>
      </c>
      <c r="AH427" s="481">
        <f t="shared" si="219"/>
        <v>0</v>
      </c>
      <c r="AI427" s="481">
        <f t="shared" si="220"/>
        <v>0</v>
      </c>
      <c r="AJ427" s="487"/>
      <c r="AK427" s="507"/>
      <c r="AL427" s="479">
        <f t="shared" si="221"/>
        <v>0</v>
      </c>
      <c r="AM427" s="482">
        <f t="shared" si="222"/>
        <v>0</v>
      </c>
      <c r="AN427" s="487"/>
      <c r="AO427" s="488"/>
      <c r="AP427" s="487">
        <v>32409</v>
      </c>
      <c r="AQ427" s="488">
        <v>33337</v>
      </c>
      <c r="AR427" s="487">
        <v>11918</v>
      </c>
      <c r="AS427" s="488">
        <v>11793</v>
      </c>
      <c r="AT427" s="487">
        <v>34909</v>
      </c>
      <c r="AU427" s="488">
        <v>37340</v>
      </c>
      <c r="AV427" s="479">
        <f t="shared" si="223"/>
        <v>79236</v>
      </c>
      <c r="AW427" s="483">
        <f t="shared" si="224"/>
        <v>3301.5</v>
      </c>
      <c r="AX427" s="481">
        <f t="shared" si="225"/>
        <v>82470</v>
      </c>
      <c r="AY427" s="484">
        <f t="shared" si="226"/>
        <v>3436.25</v>
      </c>
      <c r="AZ427" s="485">
        <f t="shared" si="227"/>
        <v>19735.866666666665</v>
      </c>
      <c r="BA427" s="481">
        <f t="shared" si="228"/>
        <v>20433.150000000001</v>
      </c>
    </row>
    <row r="428" spans="1:53">
      <c r="A428" s="761" t="s">
        <v>287</v>
      </c>
      <c r="B428" s="701" t="s">
        <v>876</v>
      </c>
      <c r="C428" s="694"/>
      <c r="D428" s="762">
        <v>218663</v>
      </c>
      <c r="E428" s="763">
        <v>1</v>
      </c>
      <c r="F428" s="486" t="s">
        <v>41</v>
      </c>
      <c r="G428" s="529"/>
      <c r="H428" s="506"/>
      <c r="I428" s="488"/>
      <c r="J428" s="506">
        <v>313618</v>
      </c>
      <c r="K428" s="488">
        <v>318944</v>
      </c>
      <c r="L428" s="506">
        <v>32571</v>
      </c>
      <c r="M428" s="488">
        <v>31870</v>
      </c>
      <c r="N428" s="506">
        <v>343359</v>
      </c>
      <c r="O428" s="488">
        <v>356847</v>
      </c>
      <c r="P428" s="479">
        <f t="shared" si="211"/>
        <v>689548</v>
      </c>
      <c r="Q428" s="480">
        <f t="shared" si="212"/>
        <v>22984.933333333334</v>
      </c>
      <c r="R428" s="481">
        <f t="shared" si="213"/>
        <v>707661</v>
      </c>
      <c r="S428" s="482">
        <f t="shared" si="214"/>
        <v>23588.7</v>
      </c>
      <c r="T428" s="506">
        <v>135</v>
      </c>
      <c r="U428" s="770">
        <v>62</v>
      </c>
      <c r="V428" s="479">
        <f t="shared" si="215"/>
        <v>689548</v>
      </c>
      <c r="W428" s="478">
        <f t="shared" si="216"/>
        <v>707661</v>
      </c>
      <c r="X428" s="506"/>
      <c r="Y428" s="488"/>
      <c r="Z428" s="506"/>
      <c r="AA428" s="488"/>
      <c r="AB428" s="506"/>
      <c r="AC428" s="488"/>
      <c r="AD428" s="506"/>
      <c r="AE428" s="507"/>
      <c r="AF428" s="479">
        <f t="shared" si="217"/>
        <v>0</v>
      </c>
      <c r="AG428" s="480">
        <f t="shared" si="218"/>
        <v>0</v>
      </c>
      <c r="AH428" s="481">
        <f t="shared" si="219"/>
        <v>0</v>
      </c>
      <c r="AI428" s="481">
        <f t="shared" si="220"/>
        <v>0</v>
      </c>
      <c r="AJ428" s="487"/>
      <c r="AK428" s="507"/>
      <c r="AL428" s="479">
        <f t="shared" si="221"/>
        <v>0</v>
      </c>
      <c r="AM428" s="482">
        <f t="shared" si="222"/>
        <v>0</v>
      </c>
      <c r="AN428" s="487"/>
      <c r="AO428" s="488"/>
      <c r="AP428" s="487">
        <v>48022</v>
      </c>
      <c r="AQ428" s="488">
        <v>46165</v>
      </c>
      <c r="AR428" s="487">
        <v>17590</v>
      </c>
      <c r="AS428" s="488">
        <v>15389</v>
      </c>
      <c r="AT428" s="487">
        <v>47595</v>
      </c>
      <c r="AU428" s="488">
        <v>48253</v>
      </c>
      <c r="AV428" s="479">
        <f t="shared" si="223"/>
        <v>113207</v>
      </c>
      <c r="AW428" s="483">
        <f t="shared" si="224"/>
        <v>4716.958333333333</v>
      </c>
      <c r="AX428" s="481">
        <f t="shared" si="225"/>
        <v>109807</v>
      </c>
      <c r="AY428" s="484">
        <f t="shared" si="226"/>
        <v>4575.291666666667</v>
      </c>
      <c r="AZ428" s="485">
        <f t="shared" si="227"/>
        <v>27701.891666666666</v>
      </c>
      <c r="BA428" s="481">
        <f t="shared" si="228"/>
        <v>28163.991666666669</v>
      </c>
    </row>
    <row r="429" spans="1:53">
      <c r="A429" s="761" t="s">
        <v>287</v>
      </c>
      <c r="B429" s="701" t="s">
        <v>877</v>
      </c>
      <c r="C429" s="694"/>
      <c r="D429" s="762">
        <v>217819</v>
      </c>
      <c r="E429" s="763">
        <v>3</v>
      </c>
      <c r="F429" s="486" t="s">
        <v>41</v>
      </c>
      <c r="G429" s="529"/>
      <c r="H429" s="506"/>
      <c r="I429" s="488"/>
      <c r="J429" s="506">
        <v>141679</v>
      </c>
      <c r="K429" s="488">
        <v>141726</v>
      </c>
      <c r="L429" s="506">
        <v>14705</v>
      </c>
      <c r="M429" s="488">
        <v>15596</v>
      </c>
      <c r="N429" s="506">
        <v>150561</v>
      </c>
      <c r="O429" s="488">
        <v>150654</v>
      </c>
      <c r="P429" s="479">
        <f t="shared" si="211"/>
        <v>306945</v>
      </c>
      <c r="Q429" s="480">
        <f t="shared" si="212"/>
        <v>10231.5</v>
      </c>
      <c r="R429" s="481">
        <f t="shared" si="213"/>
        <v>307976</v>
      </c>
      <c r="S429" s="482">
        <f t="shared" si="214"/>
        <v>10265.866666666667</v>
      </c>
      <c r="T429" s="506">
        <v>293</v>
      </c>
      <c r="U429" s="770">
        <v>693</v>
      </c>
      <c r="V429" s="479">
        <f t="shared" si="215"/>
        <v>306945</v>
      </c>
      <c r="W429" s="478">
        <f t="shared" si="216"/>
        <v>307976</v>
      </c>
      <c r="X429" s="506"/>
      <c r="Y429" s="488"/>
      <c r="Z429" s="506"/>
      <c r="AA429" s="488"/>
      <c r="AB429" s="506"/>
      <c r="AC429" s="488"/>
      <c r="AD429" s="506"/>
      <c r="AE429" s="507"/>
      <c r="AF429" s="479">
        <f t="shared" si="217"/>
        <v>0</v>
      </c>
      <c r="AG429" s="480">
        <f t="shared" si="218"/>
        <v>0</v>
      </c>
      <c r="AH429" s="481">
        <f t="shared" si="219"/>
        <v>0</v>
      </c>
      <c r="AI429" s="481">
        <f t="shared" si="220"/>
        <v>0</v>
      </c>
      <c r="AJ429" s="487"/>
      <c r="AK429" s="507"/>
      <c r="AL429" s="479">
        <f t="shared" si="221"/>
        <v>0</v>
      </c>
      <c r="AM429" s="482">
        <f t="shared" si="222"/>
        <v>0</v>
      </c>
      <c r="AN429" s="487"/>
      <c r="AO429" s="488"/>
      <c r="AP429" s="487">
        <v>7146</v>
      </c>
      <c r="AQ429" s="488">
        <v>6651</v>
      </c>
      <c r="AR429" s="487">
        <v>4882</v>
      </c>
      <c r="AS429" s="488">
        <v>4560</v>
      </c>
      <c r="AT429" s="487">
        <v>6252</v>
      </c>
      <c r="AU429" s="488">
        <v>5929</v>
      </c>
      <c r="AV429" s="479">
        <f t="shared" si="223"/>
        <v>18280</v>
      </c>
      <c r="AW429" s="483">
        <f t="shared" si="224"/>
        <v>761.66666666666663</v>
      </c>
      <c r="AX429" s="481">
        <f t="shared" si="225"/>
        <v>17140</v>
      </c>
      <c r="AY429" s="484">
        <f t="shared" si="226"/>
        <v>714.16666666666663</v>
      </c>
      <c r="AZ429" s="485">
        <f t="shared" si="227"/>
        <v>10993.166666666666</v>
      </c>
      <c r="BA429" s="481">
        <f t="shared" si="228"/>
        <v>10980.033333333333</v>
      </c>
    </row>
    <row r="430" spans="1:53">
      <c r="A430" s="761" t="s">
        <v>287</v>
      </c>
      <c r="B430" s="701" t="s">
        <v>878</v>
      </c>
      <c r="C430" s="694"/>
      <c r="D430" s="762">
        <v>218964</v>
      </c>
      <c r="E430" s="763">
        <v>3</v>
      </c>
      <c r="F430" s="486" t="s">
        <v>41</v>
      </c>
      <c r="G430" s="529"/>
      <c r="H430" s="506"/>
      <c r="I430" s="488"/>
      <c r="J430" s="506">
        <v>65305.5</v>
      </c>
      <c r="K430" s="488">
        <v>65636.5</v>
      </c>
      <c r="L430" s="506">
        <v>7630</v>
      </c>
      <c r="M430" s="488">
        <v>6947</v>
      </c>
      <c r="N430" s="506">
        <v>70915</v>
      </c>
      <c r="O430" s="488">
        <v>70540.5</v>
      </c>
      <c r="P430" s="479">
        <f t="shared" si="211"/>
        <v>143850.5</v>
      </c>
      <c r="Q430" s="480">
        <f t="shared" si="212"/>
        <v>4795.0166666666664</v>
      </c>
      <c r="R430" s="481">
        <f t="shared" si="213"/>
        <v>143124</v>
      </c>
      <c r="S430" s="482">
        <f t="shared" si="214"/>
        <v>4770.8</v>
      </c>
      <c r="T430" s="506">
        <v>1002</v>
      </c>
      <c r="U430" s="770">
        <v>2232</v>
      </c>
      <c r="V430" s="479">
        <f t="shared" si="215"/>
        <v>143850.5</v>
      </c>
      <c r="W430" s="478">
        <f t="shared" si="216"/>
        <v>143124</v>
      </c>
      <c r="X430" s="506"/>
      <c r="Y430" s="488"/>
      <c r="Z430" s="506"/>
      <c r="AA430" s="488"/>
      <c r="AB430" s="506"/>
      <c r="AC430" s="488"/>
      <c r="AD430" s="506"/>
      <c r="AE430" s="507"/>
      <c r="AF430" s="479">
        <f t="shared" si="217"/>
        <v>0</v>
      </c>
      <c r="AG430" s="480">
        <f t="shared" si="218"/>
        <v>0</v>
      </c>
      <c r="AH430" s="481">
        <f t="shared" si="219"/>
        <v>0</v>
      </c>
      <c r="AI430" s="481">
        <f t="shared" si="220"/>
        <v>0</v>
      </c>
      <c r="AJ430" s="487"/>
      <c r="AK430" s="507"/>
      <c r="AL430" s="479">
        <f t="shared" si="221"/>
        <v>0</v>
      </c>
      <c r="AM430" s="482">
        <f t="shared" si="222"/>
        <v>0</v>
      </c>
      <c r="AN430" s="487"/>
      <c r="AO430" s="488"/>
      <c r="AP430" s="487">
        <v>7134</v>
      </c>
      <c r="AQ430" s="488">
        <v>7143.5</v>
      </c>
      <c r="AR430" s="487">
        <v>3638</v>
      </c>
      <c r="AS430" s="488">
        <v>3436</v>
      </c>
      <c r="AT430" s="487">
        <v>7672.5</v>
      </c>
      <c r="AU430" s="488">
        <v>7325.5</v>
      </c>
      <c r="AV430" s="479">
        <f t="shared" si="223"/>
        <v>18444.5</v>
      </c>
      <c r="AW430" s="483">
        <f t="shared" si="224"/>
        <v>768.52083333333337</v>
      </c>
      <c r="AX430" s="481">
        <f t="shared" si="225"/>
        <v>17905</v>
      </c>
      <c r="AY430" s="484">
        <f t="shared" si="226"/>
        <v>746.04166666666663</v>
      </c>
      <c r="AZ430" s="485">
        <f t="shared" si="227"/>
        <v>5563.5374999999995</v>
      </c>
      <c r="BA430" s="481">
        <f t="shared" si="228"/>
        <v>5516.8416666666672</v>
      </c>
    </row>
    <row r="431" spans="1:53">
      <c r="A431" s="761" t="s">
        <v>287</v>
      </c>
      <c r="B431" s="701" t="s">
        <v>879</v>
      </c>
      <c r="C431" s="702" t="s">
        <v>612</v>
      </c>
      <c r="D431" s="762">
        <v>217864</v>
      </c>
      <c r="E431" s="767">
        <v>3</v>
      </c>
      <c r="F431" s="486" t="s">
        <v>41</v>
      </c>
      <c r="G431" s="529"/>
      <c r="H431" s="506"/>
      <c r="I431" s="488"/>
      <c r="J431" s="506">
        <v>39901</v>
      </c>
      <c r="K431" s="488">
        <v>42324</v>
      </c>
      <c r="L431" s="506">
        <v>6026</v>
      </c>
      <c r="M431" s="488">
        <v>5740</v>
      </c>
      <c r="N431" s="506">
        <v>44793</v>
      </c>
      <c r="O431" s="488">
        <v>46491</v>
      </c>
      <c r="P431" s="479">
        <f t="shared" si="211"/>
        <v>90720</v>
      </c>
      <c r="Q431" s="480">
        <f t="shared" si="212"/>
        <v>3024</v>
      </c>
      <c r="R431" s="481">
        <f t="shared" si="213"/>
        <v>94555</v>
      </c>
      <c r="S431" s="482">
        <f t="shared" si="214"/>
        <v>3151.8333333333335</v>
      </c>
      <c r="T431" s="506">
        <v>213</v>
      </c>
      <c r="U431" s="770">
        <v>342</v>
      </c>
      <c r="V431" s="479">
        <f t="shared" si="215"/>
        <v>90720</v>
      </c>
      <c r="W431" s="478">
        <f t="shared" si="216"/>
        <v>94555</v>
      </c>
      <c r="X431" s="506"/>
      <c r="Y431" s="488"/>
      <c r="Z431" s="506"/>
      <c r="AA431" s="488"/>
      <c r="AB431" s="506"/>
      <c r="AC431" s="488"/>
      <c r="AD431" s="506"/>
      <c r="AE431" s="507"/>
      <c r="AF431" s="479">
        <f t="shared" si="217"/>
        <v>0</v>
      </c>
      <c r="AG431" s="480">
        <f t="shared" si="218"/>
        <v>0</v>
      </c>
      <c r="AH431" s="481">
        <f t="shared" si="219"/>
        <v>0</v>
      </c>
      <c r="AI431" s="481">
        <f t="shared" si="220"/>
        <v>0</v>
      </c>
      <c r="AJ431" s="487"/>
      <c r="AK431" s="507"/>
      <c r="AL431" s="479">
        <f t="shared" si="221"/>
        <v>0</v>
      </c>
      <c r="AM431" s="482">
        <f t="shared" si="222"/>
        <v>0</v>
      </c>
      <c r="AN431" s="487"/>
      <c r="AO431" s="488"/>
      <c r="AP431" s="487">
        <v>4964</v>
      </c>
      <c r="AQ431" s="488">
        <v>4883</v>
      </c>
      <c r="AR431" s="487">
        <v>3931</v>
      </c>
      <c r="AS431" s="488">
        <v>3792</v>
      </c>
      <c r="AT431" s="487">
        <v>5048</v>
      </c>
      <c r="AU431" s="488">
        <v>5214</v>
      </c>
      <c r="AV431" s="479">
        <f t="shared" si="223"/>
        <v>13943</v>
      </c>
      <c r="AW431" s="483">
        <f t="shared" si="224"/>
        <v>580.95833333333337</v>
      </c>
      <c r="AX431" s="481">
        <f t="shared" si="225"/>
        <v>13889</v>
      </c>
      <c r="AY431" s="484">
        <f t="shared" si="226"/>
        <v>578.70833333333337</v>
      </c>
      <c r="AZ431" s="485">
        <f t="shared" si="227"/>
        <v>3604.9583333333335</v>
      </c>
      <c r="BA431" s="481">
        <f t="shared" si="228"/>
        <v>3730.541666666667</v>
      </c>
    </row>
    <row r="432" spans="1:53">
      <c r="A432" s="761" t="s">
        <v>287</v>
      </c>
      <c r="B432" s="701" t="s">
        <v>880</v>
      </c>
      <c r="C432" s="694" t="s">
        <v>613</v>
      </c>
      <c r="D432" s="762">
        <v>218724</v>
      </c>
      <c r="E432" s="763">
        <v>5</v>
      </c>
      <c r="F432" s="486" t="s">
        <v>41</v>
      </c>
      <c r="G432" s="529"/>
      <c r="H432" s="506"/>
      <c r="I432" s="488"/>
      <c r="J432" s="506">
        <v>114906</v>
      </c>
      <c r="K432" s="488">
        <v>113926</v>
      </c>
      <c r="L432" s="506">
        <v>10682</v>
      </c>
      <c r="M432" s="488">
        <v>10606</v>
      </c>
      <c r="N432" s="506">
        <v>128522</v>
      </c>
      <c r="O432" s="488">
        <v>128459</v>
      </c>
      <c r="P432" s="479">
        <f t="shared" si="211"/>
        <v>254110</v>
      </c>
      <c r="Q432" s="480">
        <f t="shared" si="212"/>
        <v>8470.3333333333339</v>
      </c>
      <c r="R432" s="481">
        <f t="shared" si="213"/>
        <v>252991</v>
      </c>
      <c r="S432" s="482">
        <f t="shared" si="214"/>
        <v>8433.0333333333328</v>
      </c>
      <c r="T432" s="506"/>
      <c r="U432" s="770"/>
      <c r="V432" s="479">
        <f t="shared" si="215"/>
        <v>0</v>
      </c>
      <c r="W432" s="478">
        <f t="shared" si="216"/>
        <v>0</v>
      </c>
      <c r="X432" s="506"/>
      <c r="Y432" s="488"/>
      <c r="Z432" s="506"/>
      <c r="AA432" s="488"/>
      <c r="AB432" s="506"/>
      <c r="AC432" s="488"/>
      <c r="AD432" s="506"/>
      <c r="AE432" s="507"/>
      <c r="AF432" s="479">
        <f t="shared" si="217"/>
        <v>0</v>
      </c>
      <c r="AG432" s="480">
        <f t="shared" si="218"/>
        <v>0</v>
      </c>
      <c r="AH432" s="481">
        <f t="shared" si="219"/>
        <v>0</v>
      </c>
      <c r="AI432" s="481">
        <f t="shared" si="220"/>
        <v>0</v>
      </c>
      <c r="AJ432" s="487"/>
      <c r="AK432" s="507"/>
      <c r="AL432" s="479">
        <f t="shared" si="221"/>
        <v>0</v>
      </c>
      <c r="AM432" s="482">
        <f t="shared" si="222"/>
        <v>0</v>
      </c>
      <c r="AN432" s="487"/>
      <c r="AO432" s="488"/>
      <c r="AP432" s="487">
        <v>2857</v>
      </c>
      <c r="AQ432" s="488">
        <v>3180</v>
      </c>
      <c r="AR432" s="487">
        <v>3235</v>
      </c>
      <c r="AS432" s="488">
        <v>4297</v>
      </c>
      <c r="AT432" s="487">
        <v>3492</v>
      </c>
      <c r="AU432" s="488">
        <v>3677</v>
      </c>
      <c r="AV432" s="479">
        <f t="shared" si="223"/>
        <v>9584</v>
      </c>
      <c r="AW432" s="483">
        <f t="shared" si="224"/>
        <v>399.33333333333331</v>
      </c>
      <c r="AX432" s="481">
        <f t="shared" si="225"/>
        <v>11154</v>
      </c>
      <c r="AY432" s="484">
        <f t="shared" si="226"/>
        <v>464.75</v>
      </c>
      <c r="AZ432" s="485">
        <f t="shared" si="227"/>
        <v>8869.6666666666679</v>
      </c>
      <c r="BA432" s="481">
        <f t="shared" si="228"/>
        <v>8897.7833333333328</v>
      </c>
    </row>
    <row r="433" spans="1:53">
      <c r="A433" s="761" t="s">
        <v>287</v>
      </c>
      <c r="B433" s="701" t="s">
        <v>881</v>
      </c>
      <c r="C433" s="694"/>
      <c r="D433" s="762">
        <v>218061</v>
      </c>
      <c r="E433" s="763">
        <v>5</v>
      </c>
      <c r="F433" s="486" t="s">
        <v>41</v>
      </c>
      <c r="G433" s="529"/>
      <c r="H433" s="506"/>
      <c r="I433" s="488"/>
      <c r="J433" s="506">
        <v>46930</v>
      </c>
      <c r="K433" s="488">
        <v>47202</v>
      </c>
      <c r="L433" s="506">
        <v>3724</v>
      </c>
      <c r="M433" s="488">
        <v>3112</v>
      </c>
      <c r="N433" s="506">
        <v>51424</v>
      </c>
      <c r="O433" s="488">
        <v>50494</v>
      </c>
      <c r="P433" s="479">
        <f t="shared" si="211"/>
        <v>102078</v>
      </c>
      <c r="Q433" s="480">
        <f t="shared" si="212"/>
        <v>3402.6</v>
      </c>
      <c r="R433" s="481">
        <f t="shared" si="213"/>
        <v>100808</v>
      </c>
      <c r="S433" s="482">
        <f t="shared" si="214"/>
        <v>3360.2666666666669</v>
      </c>
      <c r="T433" s="506">
        <v>695</v>
      </c>
      <c r="U433" s="770">
        <v>1414</v>
      </c>
      <c r="V433" s="479">
        <f t="shared" si="215"/>
        <v>102078</v>
      </c>
      <c r="W433" s="478">
        <f t="shared" si="216"/>
        <v>100808</v>
      </c>
      <c r="X433" s="506"/>
      <c r="Y433" s="488"/>
      <c r="Z433" s="506"/>
      <c r="AA433" s="488"/>
      <c r="AB433" s="506"/>
      <c r="AC433" s="488"/>
      <c r="AD433" s="506"/>
      <c r="AE433" s="507"/>
      <c r="AF433" s="479">
        <f t="shared" si="217"/>
        <v>0</v>
      </c>
      <c r="AG433" s="480">
        <f t="shared" si="218"/>
        <v>0</v>
      </c>
      <c r="AH433" s="481">
        <f t="shared" si="219"/>
        <v>0</v>
      </c>
      <c r="AI433" s="481">
        <f t="shared" si="220"/>
        <v>0</v>
      </c>
      <c r="AJ433" s="487"/>
      <c r="AK433" s="507"/>
      <c r="AL433" s="479">
        <f t="shared" si="221"/>
        <v>0</v>
      </c>
      <c r="AM433" s="482">
        <f t="shared" si="222"/>
        <v>0</v>
      </c>
      <c r="AN433" s="487"/>
      <c r="AO433" s="488"/>
      <c r="AP433" s="487">
        <v>1514</v>
      </c>
      <c r="AQ433" s="488">
        <v>2096</v>
      </c>
      <c r="AR433" s="487">
        <v>1821</v>
      </c>
      <c r="AS433" s="488">
        <v>2026</v>
      </c>
      <c r="AT433" s="487">
        <v>1454</v>
      </c>
      <c r="AU433" s="488">
        <v>1790</v>
      </c>
      <c r="AV433" s="479">
        <f t="shared" si="223"/>
        <v>4789</v>
      </c>
      <c r="AW433" s="483">
        <f t="shared" si="224"/>
        <v>199.54166666666666</v>
      </c>
      <c r="AX433" s="481">
        <f t="shared" si="225"/>
        <v>5912</v>
      </c>
      <c r="AY433" s="484">
        <f t="shared" si="226"/>
        <v>246.33333333333334</v>
      </c>
      <c r="AZ433" s="485">
        <f t="shared" si="227"/>
        <v>3602.1416666666664</v>
      </c>
      <c r="BA433" s="481">
        <f t="shared" si="228"/>
        <v>3606.6000000000004</v>
      </c>
    </row>
    <row r="434" spans="1:53">
      <c r="A434" s="761" t="s">
        <v>287</v>
      </c>
      <c r="B434" s="701" t="s">
        <v>882</v>
      </c>
      <c r="C434" s="694"/>
      <c r="D434" s="762">
        <v>218733</v>
      </c>
      <c r="E434" s="763">
        <v>5</v>
      </c>
      <c r="F434" s="486" t="s">
        <v>41</v>
      </c>
      <c r="G434" s="529"/>
      <c r="H434" s="506"/>
      <c r="I434" s="488"/>
      <c r="J434" s="506">
        <v>48329</v>
      </c>
      <c r="K434" s="488">
        <v>41923</v>
      </c>
      <c r="L434" s="506">
        <v>6259</v>
      </c>
      <c r="M434" s="488">
        <v>3630</v>
      </c>
      <c r="N434" s="506">
        <v>46979</v>
      </c>
      <c r="O434" s="488">
        <v>42577</v>
      </c>
      <c r="P434" s="479">
        <f t="shared" si="211"/>
        <v>101567</v>
      </c>
      <c r="Q434" s="480">
        <f t="shared" si="212"/>
        <v>3385.5666666666666</v>
      </c>
      <c r="R434" s="481">
        <f t="shared" si="213"/>
        <v>88130</v>
      </c>
      <c r="S434" s="482">
        <f t="shared" si="214"/>
        <v>2937.6666666666665</v>
      </c>
      <c r="T434" s="506"/>
      <c r="U434" s="770"/>
      <c r="V434" s="479">
        <f t="shared" si="215"/>
        <v>0</v>
      </c>
      <c r="W434" s="478">
        <f t="shared" si="216"/>
        <v>0</v>
      </c>
      <c r="X434" s="506"/>
      <c r="Y434" s="488"/>
      <c r="Z434" s="506"/>
      <c r="AA434" s="488"/>
      <c r="AB434" s="506"/>
      <c r="AC434" s="488"/>
      <c r="AD434" s="506"/>
      <c r="AE434" s="507"/>
      <c r="AF434" s="479">
        <f t="shared" si="217"/>
        <v>0</v>
      </c>
      <c r="AG434" s="480">
        <f t="shared" si="218"/>
        <v>0</v>
      </c>
      <c r="AH434" s="481">
        <f t="shared" si="219"/>
        <v>0</v>
      </c>
      <c r="AI434" s="481">
        <f t="shared" si="220"/>
        <v>0</v>
      </c>
      <c r="AJ434" s="487"/>
      <c r="AK434" s="507"/>
      <c r="AL434" s="479">
        <f t="shared" si="221"/>
        <v>0</v>
      </c>
      <c r="AM434" s="482">
        <f t="shared" si="222"/>
        <v>0</v>
      </c>
      <c r="AN434" s="487"/>
      <c r="AO434" s="488"/>
      <c r="AP434" s="487">
        <v>4227</v>
      </c>
      <c r="AQ434" s="488">
        <v>3727</v>
      </c>
      <c r="AR434" s="487">
        <v>1932</v>
      </c>
      <c r="AS434" s="488">
        <v>1925</v>
      </c>
      <c r="AT434" s="487">
        <v>3872</v>
      </c>
      <c r="AU434" s="488">
        <v>3735</v>
      </c>
      <c r="AV434" s="479">
        <f t="shared" si="223"/>
        <v>10031</v>
      </c>
      <c r="AW434" s="483">
        <f t="shared" si="224"/>
        <v>417.95833333333331</v>
      </c>
      <c r="AX434" s="481">
        <f t="shared" si="225"/>
        <v>9387</v>
      </c>
      <c r="AY434" s="484">
        <f t="shared" si="226"/>
        <v>391.125</v>
      </c>
      <c r="AZ434" s="485">
        <f t="shared" si="227"/>
        <v>3803.5250000000001</v>
      </c>
      <c r="BA434" s="481">
        <f t="shared" si="228"/>
        <v>3328.7916666666665</v>
      </c>
    </row>
    <row r="435" spans="1:53">
      <c r="A435" s="761" t="s">
        <v>287</v>
      </c>
      <c r="B435" s="701" t="s">
        <v>883</v>
      </c>
      <c r="C435" s="694"/>
      <c r="D435" s="762">
        <v>218229</v>
      </c>
      <c r="E435" s="763">
        <v>6</v>
      </c>
      <c r="F435" s="486" t="s">
        <v>41</v>
      </c>
      <c r="G435" s="529"/>
      <c r="H435" s="506"/>
      <c r="I435" s="488"/>
      <c r="J435" s="506">
        <v>39529.01</v>
      </c>
      <c r="K435" s="488">
        <v>38313.5</v>
      </c>
      <c r="L435" s="506">
        <v>4321</v>
      </c>
      <c r="M435" s="488">
        <v>3840</v>
      </c>
      <c r="N435" s="506">
        <v>41793</v>
      </c>
      <c r="O435" s="488">
        <v>39744.5</v>
      </c>
      <c r="P435" s="479">
        <f t="shared" si="211"/>
        <v>85643.010000000009</v>
      </c>
      <c r="Q435" s="480">
        <f t="shared" si="212"/>
        <v>2854.7670000000003</v>
      </c>
      <c r="R435" s="481">
        <f t="shared" si="213"/>
        <v>81898</v>
      </c>
      <c r="S435" s="482">
        <f t="shared" si="214"/>
        <v>2729.9333333333334</v>
      </c>
      <c r="T435" s="506">
        <v>163</v>
      </c>
      <c r="U435" s="770">
        <v>174</v>
      </c>
      <c r="V435" s="479">
        <f t="shared" si="215"/>
        <v>85643.010000000009</v>
      </c>
      <c r="W435" s="478">
        <f t="shared" si="216"/>
        <v>81898</v>
      </c>
      <c r="X435" s="506"/>
      <c r="Y435" s="488"/>
      <c r="Z435" s="506"/>
      <c r="AA435" s="488"/>
      <c r="AB435" s="506"/>
      <c r="AC435" s="488"/>
      <c r="AD435" s="506"/>
      <c r="AE435" s="507"/>
      <c r="AF435" s="479">
        <f t="shared" si="217"/>
        <v>0</v>
      </c>
      <c r="AG435" s="480">
        <f t="shared" si="218"/>
        <v>0</v>
      </c>
      <c r="AH435" s="481">
        <f t="shared" si="219"/>
        <v>0</v>
      </c>
      <c r="AI435" s="481">
        <f t="shared" si="220"/>
        <v>0</v>
      </c>
      <c r="AJ435" s="487"/>
      <c r="AK435" s="507"/>
      <c r="AL435" s="479">
        <f t="shared" si="221"/>
        <v>0</v>
      </c>
      <c r="AM435" s="482">
        <f t="shared" si="222"/>
        <v>0</v>
      </c>
      <c r="AN435" s="487"/>
      <c r="AO435" s="488"/>
      <c r="AP435" s="487">
        <v>357</v>
      </c>
      <c r="AQ435" s="488">
        <v>447</v>
      </c>
      <c r="AR435" s="487">
        <v>1146</v>
      </c>
      <c r="AS435" s="488">
        <v>975</v>
      </c>
      <c r="AT435" s="487">
        <v>366</v>
      </c>
      <c r="AU435" s="488">
        <v>369</v>
      </c>
      <c r="AV435" s="479">
        <f t="shared" si="223"/>
        <v>1869</v>
      </c>
      <c r="AW435" s="483">
        <f t="shared" si="224"/>
        <v>77.875</v>
      </c>
      <c r="AX435" s="481">
        <f t="shared" si="225"/>
        <v>1791</v>
      </c>
      <c r="AY435" s="484">
        <f t="shared" si="226"/>
        <v>74.625</v>
      </c>
      <c r="AZ435" s="485">
        <f t="shared" si="227"/>
        <v>2932.6420000000003</v>
      </c>
      <c r="BA435" s="481">
        <f t="shared" si="228"/>
        <v>2804.5583333333334</v>
      </c>
    </row>
    <row r="436" spans="1:53">
      <c r="A436" s="761" t="s">
        <v>287</v>
      </c>
      <c r="B436" s="701" t="s">
        <v>884</v>
      </c>
      <c r="C436" s="694"/>
      <c r="D436" s="762">
        <v>218645</v>
      </c>
      <c r="E436" s="763">
        <v>6</v>
      </c>
      <c r="F436" s="486" t="s">
        <v>41</v>
      </c>
      <c r="G436" s="529"/>
      <c r="H436" s="506"/>
      <c r="I436" s="488"/>
      <c r="J436" s="506">
        <v>37614</v>
      </c>
      <c r="K436" s="488">
        <v>37154</v>
      </c>
      <c r="L436" s="506">
        <v>4938</v>
      </c>
      <c r="M436" s="488">
        <v>4420</v>
      </c>
      <c r="N436" s="506">
        <v>40607</v>
      </c>
      <c r="O436" s="488">
        <v>41412</v>
      </c>
      <c r="P436" s="479">
        <f t="shared" si="211"/>
        <v>83159</v>
      </c>
      <c r="Q436" s="480">
        <f t="shared" si="212"/>
        <v>2771.9666666666667</v>
      </c>
      <c r="R436" s="481">
        <f t="shared" si="213"/>
        <v>82986</v>
      </c>
      <c r="S436" s="482">
        <f t="shared" si="214"/>
        <v>2766.2</v>
      </c>
      <c r="T436" s="506">
        <v>742</v>
      </c>
      <c r="U436" s="770">
        <v>207</v>
      </c>
      <c r="V436" s="479">
        <f t="shared" si="215"/>
        <v>83159</v>
      </c>
      <c r="W436" s="478">
        <f t="shared" si="216"/>
        <v>82986</v>
      </c>
      <c r="X436" s="506"/>
      <c r="Y436" s="488"/>
      <c r="Z436" s="506"/>
      <c r="AA436" s="488"/>
      <c r="AB436" s="506"/>
      <c r="AC436" s="488"/>
      <c r="AD436" s="506"/>
      <c r="AE436" s="507"/>
      <c r="AF436" s="479">
        <f t="shared" si="217"/>
        <v>0</v>
      </c>
      <c r="AG436" s="480">
        <f t="shared" si="218"/>
        <v>0</v>
      </c>
      <c r="AH436" s="481">
        <f t="shared" si="219"/>
        <v>0</v>
      </c>
      <c r="AI436" s="481">
        <f t="shared" si="220"/>
        <v>0</v>
      </c>
      <c r="AJ436" s="487"/>
      <c r="AK436" s="507"/>
      <c r="AL436" s="479">
        <f t="shared" si="221"/>
        <v>0</v>
      </c>
      <c r="AM436" s="482">
        <f t="shared" si="222"/>
        <v>0</v>
      </c>
      <c r="AN436" s="487"/>
      <c r="AO436" s="488"/>
      <c r="AP436" s="487">
        <v>466</v>
      </c>
      <c r="AQ436" s="488">
        <v>445</v>
      </c>
      <c r="AR436" s="487">
        <v>357</v>
      </c>
      <c r="AS436" s="488">
        <v>739</v>
      </c>
      <c r="AT436" s="487">
        <v>503</v>
      </c>
      <c r="AU436" s="488">
        <v>583</v>
      </c>
      <c r="AV436" s="479">
        <f t="shared" si="223"/>
        <v>1326</v>
      </c>
      <c r="AW436" s="483">
        <f t="shared" si="224"/>
        <v>55.25</v>
      </c>
      <c r="AX436" s="481">
        <f t="shared" si="225"/>
        <v>1767</v>
      </c>
      <c r="AY436" s="484">
        <f t="shared" si="226"/>
        <v>73.625</v>
      </c>
      <c r="AZ436" s="485">
        <f t="shared" si="227"/>
        <v>2827.2166666666667</v>
      </c>
      <c r="BA436" s="481">
        <f t="shared" si="228"/>
        <v>2839.8249999999998</v>
      </c>
    </row>
    <row r="437" spans="1:53">
      <c r="A437" s="761" t="s">
        <v>287</v>
      </c>
      <c r="B437" s="704" t="s">
        <v>885</v>
      </c>
      <c r="C437" s="705"/>
      <c r="D437" s="762">
        <v>218654</v>
      </c>
      <c r="E437" s="763">
        <v>6</v>
      </c>
      <c r="F437" s="486" t="s">
        <v>41</v>
      </c>
      <c r="G437" s="529"/>
      <c r="H437" s="506"/>
      <c r="I437" s="488"/>
      <c r="J437" s="506">
        <v>21874</v>
      </c>
      <c r="K437" s="488">
        <v>21926</v>
      </c>
      <c r="L437" s="506">
        <v>2224</v>
      </c>
      <c r="M437" s="488">
        <v>1983</v>
      </c>
      <c r="N437" s="506">
        <v>23210</v>
      </c>
      <c r="O437" s="488">
        <v>22645</v>
      </c>
      <c r="P437" s="479">
        <f t="shared" si="211"/>
        <v>47308</v>
      </c>
      <c r="Q437" s="480">
        <f t="shared" si="212"/>
        <v>1576.9333333333334</v>
      </c>
      <c r="R437" s="481">
        <f t="shared" si="213"/>
        <v>46554</v>
      </c>
      <c r="S437" s="482">
        <f t="shared" si="214"/>
        <v>1551.8</v>
      </c>
      <c r="T437" s="506">
        <v>87</v>
      </c>
      <c r="U437" s="770">
        <v>43</v>
      </c>
      <c r="V437" s="479">
        <f t="shared" si="215"/>
        <v>47308</v>
      </c>
      <c r="W437" s="478">
        <f t="shared" si="216"/>
        <v>46554</v>
      </c>
      <c r="X437" s="506"/>
      <c r="Y437" s="488"/>
      <c r="Z437" s="506"/>
      <c r="AA437" s="488"/>
      <c r="AB437" s="506"/>
      <c r="AC437" s="488"/>
      <c r="AD437" s="506"/>
      <c r="AE437" s="507"/>
      <c r="AF437" s="479">
        <f t="shared" si="217"/>
        <v>0</v>
      </c>
      <c r="AG437" s="480">
        <f t="shared" si="218"/>
        <v>0</v>
      </c>
      <c r="AH437" s="481">
        <f t="shared" si="219"/>
        <v>0</v>
      </c>
      <c r="AI437" s="481">
        <f t="shared" si="220"/>
        <v>0</v>
      </c>
      <c r="AJ437" s="487"/>
      <c r="AK437" s="507"/>
      <c r="AL437" s="479">
        <f t="shared" si="221"/>
        <v>0</v>
      </c>
      <c r="AM437" s="482">
        <f t="shared" si="222"/>
        <v>0</v>
      </c>
      <c r="AN437" s="487"/>
      <c r="AO437" s="488"/>
      <c r="AP437" s="487">
        <v>0</v>
      </c>
      <c r="AQ437" s="488">
        <v>0</v>
      </c>
      <c r="AR437" s="487">
        <v>0</v>
      </c>
      <c r="AS437" s="488">
        <v>0</v>
      </c>
      <c r="AT437" s="487">
        <v>0</v>
      </c>
      <c r="AU437" s="488">
        <v>0</v>
      </c>
      <c r="AV437" s="479">
        <f t="shared" si="223"/>
        <v>0</v>
      </c>
      <c r="AW437" s="483">
        <f t="shared" si="224"/>
        <v>0</v>
      </c>
      <c r="AX437" s="481">
        <f t="shared" si="225"/>
        <v>0</v>
      </c>
      <c r="AY437" s="484">
        <f t="shared" si="226"/>
        <v>0</v>
      </c>
      <c r="AZ437" s="485">
        <f t="shared" si="227"/>
        <v>1576.9333333333334</v>
      </c>
      <c r="BA437" s="481">
        <f t="shared" si="228"/>
        <v>1551.8</v>
      </c>
    </row>
    <row r="438" spans="1:53">
      <c r="A438" s="761" t="s">
        <v>287</v>
      </c>
      <c r="B438" s="701" t="s">
        <v>886</v>
      </c>
      <c r="C438" s="694"/>
      <c r="D438" s="762">
        <v>218742</v>
      </c>
      <c r="E438" s="763">
        <v>6</v>
      </c>
      <c r="F438" s="486" t="s">
        <v>41</v>
      </c>
      <c r="G438" s="529"/>
      <c r="H438" s="506"/>
      <c r="I438" s="488"/>
      <c r="J438" s="506">
        <v>67295</v>
      </c>
      <c r="K438" s="488">
        <v>67093</v>
      </c>
      <c r="L438" s="506">
        <v>7526</v>
      </c>
      <c r="M438" s="488">
        <v>8562</v>
      </c>
      <c r="N438" s="506">
        <v>72603</v>
      </c>
      <c r="O438" s="488">
        <v>73422</v>
      </c>
      <c r="P438" s="479">
        <f t="shared" si="211"/>
        <v>147424</v>
      </c>
      <c r="Q438" s="480">
        <f t="shared" si="212"/>
        <v>4914.1333333333332</v>
      </c>
      <c r="R438" s="481">
        <f t="shared" si="213"/>
        <v>149077</v>
      </c>
      <c r="S438" s="482">
        <f t="shared" si="214"/>
        <v>4969.2333333333336</v>
      </c>
      <c r="T438" s="506">
        <v>2008</v>
      </c>
      <c r="U438" s="770">
        <v>1140</v>
      </c>
      <c r="V438" s="479">
        <f t="shared" si="215"/>
        <v>147424</v>
      </c>
      <c r="W438" s="478">
        <f t="shared" si="216"/>
        <v>149077</v>
      </c>
      <c r="X438" s="506"/>
      <c r="Y438" s="488"/>
      <c r="Z438" s="506"/>
      <c r="AA438" s="488"/>
      <c r="AB438" s="506"/>
      <c r="AC438" s="488"/>
      <c r="AD438" s="506"/>
      <c r="AE438" s="507"/>
      <c r="AF438" s="479">
        <f t="shared" si="217"/>
        <v>0</v>
      </c>
      <c r="AG438" s="480">
        <f t="shared" si="218"/>
        <v>0</v>
      </c>
      <c r="AH438" s="481">
        <f t="shared" si="219"/>
        <v>0</v>
      </c>
      <c r="AI438" s="481">
        <f t="shared" si="220"/>
        <v>0</v>
      </c>
      <c r="AJ438" s="487"/>
      <c r="AK438" s="507"/>
      <c r="AL438" s="479">
        <f t="shared" si="221"/>
        <v>0</v>
      </c>
      <c r="AM438" s="482">
        <f t="shared" si="222"/>
        <v>0</v>
      </c>
      <c r="AN438" s="487"/>
      <c r="AO438" s="488"/>
      <c r="AP438" s="487">
        <v>574</v>
      </c>
      <c r="AQ438" s="488">
        <v>415</v>
      </c>
      <c r="AR438" s="487">
        <v>600</v>
      </c>
      <c r="AS438" s="488">
        <v>810</v>
      </c>
      <c r="AT438" s="487">
        <v>504</v>
      </c>
      <c r="AU438" s="488">
        <v>413</v>
      </c>
      <c r="AV438" s="479">
        <f t="shared" si="223"/>
        <v>1678</v>
      </c>
      <c r="AW438" s="483">
        <f t="shared" si="224"/>
        <v>69.916666666666671</v>
      </c>
      <c r="AX438" s="481">
        <f t="shared" si="225"/>
        <v>1638</v>
      </c>
      <c r="AY438" s="484">
        <f t="shared" si="226"/>
        <v>68.25</v>
      </c>
      <c r="AZ438" s="485">
        <f t="shared" si="227"/>
        <v>4984.05</v>
      </c>
      <c r="BA438" s="481">
        <f t="shared" si="228"/>
        <v>5037.4833333333336</v>
      </c>
    </row>
    <row r="439" spans="1:53">
      <c r="A439" s="768" t="s">
        <v>287</v>
      </c>
      <c r="B439" s="712" t="s">
        <v>887</v>
      </c>
      <c r="C439" s="713" t="s">
        <v>608</v>
      </c>
      <c r="D439" s="762">
        <v>218025</v>
      </c>
      <c r="E439" s="766">
        <v>8</v>
      </c>
      <c r="F439" s="486" t="s">
        <v>41</v>
      </c>
      <c r="G439" s="529"/>
      <c r="H439" s="506"/>
      <c r="I439" s="488"/>
      <c r="J439" s="506">
        <v>62876.43</v>
      </c>
      <c r="K439" s="488">
        <v>58005</v>
      </c>
      <c r="L439" s="506">
        <v>23888.17</v>
      </c>
      <c r="M439" s="488">
        <v>21326</v>
      </c>
      <c r="N439" s="506">
        <v>64363.42</v>
      </c>
      <c r="O439" s="488">
        <v>63979</v>
      </c>
      <c r="P439" s="479">
        <f t="shared" si="211"/>
        <v>151128.02000000002</v>
      </c>
      <c r="Q439" s="480">
        <f t="shared" si="212"/>
        <v>5037.6006666666672</v>
      </c>
      <c r="R439" s="481">
        <f t="shared" si="213"/>
        <v>143310</v>
      </c>
      <c r="S439" s="482">
        <f t="shared" si="214"/>
        <v>4777</v>
      </c>
      <c r="T439" s="506">
        <v>363</v>
      </c>
      <c r="U439" s="770"/>
      <c r="V439" s="479">
        <f t="shared" si="215"/>
        <v>151128.02000000002</v>
      </c>
      <c r="W439" s="478">
        <f t="shared" si="216"/>
        <v>0</v>
      </c>
      <c r="X439" s="506"/>
      <c r="Y439" s="488"/>
      <c r="Z439" s="506"/>
      <c r="AA439" s="488"/>
      <c r="AB439" s="506"/>
      <c r="AC439" s="488"/>
      <c r="AD439" s="506"/>
      <c r="AE439" s="507"/>
      <c r="AF439" s="479">
        <f t="shared" si="217"/>
        <v>0</v>
      </c>
      <c r="AG439" s="480">
        <f t="shared" si="218"/>
        <v>0</v>
      </c>
      <c r="AH439" s="481">
        <f t="shared" si="219"/>
        <v>0</v>
      </c>
      <c r="AI439" s="481">
        <f t="shared" si="220"/>
        <v>0</v>
      </c>
      <c r="AJ439" s="487"/>
      <c r="AK439" s="507"/>
      <c r="AL439" s="479">
        <f t="shared" si="221"/>
        <v>0</v>
      </c>
      <c r="AM439" s="482">
        <f t="shared" si="222"/>
        <v>0</v>
      </c>
      <c r="AN439" s="487"/>
      <c r="AO439" s="488"/>
      <c r="AP439" s="487">
        <v>0</v>
      </c>
      <c r="AQ439" s="488">
        <v>0</v>
      </c>
      <c r="AR439" s="487">
        <v>0</v>
      </c>
      <c r="AS439" s="488">
        <v>0</v>
      </c>
      <c r="AT439" s="487">
        <v>0</v>
      </c>
      <c r="AU439" s="488">
        <v>0</v>
      </c>
      <c r="AV439" s="479">
        <f t="shared" si="223"/>
        <v>0</v>
      </c>
      <c r="AW439" s="483">
        <f t="shared" si="224"/>
        <v>0</v>
      </c>
      <c r="AX439" s="481">
        <f t="shared" si="225"/>
        <v>0</v>
      </c>
      <c r="AY439" s="484">
        <f t="shared" si="226"/>
        <v>0</v>
      </c>
      <c r="AZ439" s="485">
        <f t="shared" si="227"/>
        <v>5037.6006666666672</v>
      </c>
      <c r="BA439" s="481">
        <f t="shared" si="228"/>
        <v>4777</v>
      </c>
    </row>
    <row r="440" spans="1:53">
      <c r="A440" s="768" t="s">
        <v>287</v>
      </c>
      <c r="B440" s="769" t="s">
        <v>888</v>
      </c>
      <c r="C440" s="765"/>
      <c r="D440" s="762">
        <v>218113</v>
      </c>
      <c r="E440" s="763">
        <v>8</v>
      </c>
      <c r="F440" s="486" t="s">
        <v>41</v>
      </c>
      <c r="G440" s="529"/>
      <c r="H440" s="506"/>
      <c r="I440" s="488"/>
      <c r="J440" s="506">
        <v>144236.34999999998</v>
      </c>
      <c r="K440" s="488">
        <v>129145</v>
      </c>
      <c r="L440" s="506">
        <v>52851.560000000005</v>
      </c>
      <c r="M440" s="488">
        <v>47832</v>
      </c>
      <c r="N440" s="506">
        <v>146968.21</v>
      </c>
      <c r="O440" s="488">
        <v>135518</v>
      </c>
      <c r="P440" s="479">
        <f t="shared" si="211"/>
        <v>344056.12</v>
      </c>
      <c r="Q440" s="480">
        <f t="shared" si="212"/>
        <v>11468.537333333334</v>
      </c>
      <c r="R440" s="481">
        <f t="shared" si="213"/>
        <v>312495</v>
      </c>
      <c r="S440" s="482">
        <f t="shared" si="214"/>
        <v>10416.5</v>
      </c>
      <c r="T440" s="506">
        <v>10298</v>
      </c>
      <c r="U440" s="770">
        <v>15968</v>
      </c>
      <c r="V440" s="479">
        <f t="shared" si="215"/>
        <v>344056.12</v>
      </c>
      <c r="W440" s="478">
        <f t="shared" si="216"/>
        <v>312495</v>
      </c>
      <c r="X440" s="506"/>
      <c r="Y440" s="488"/>
      <c r="Z440" s="506"/>
      <c r="AA440" s="488"/>
      <c r="AB440" s="506"/>
      <c r="AC440" s="488"/>
      <c r="AD440" s="506"/>
      <c r="AE440" s="507"/>
      <c r="AF440" s="479">
        <f t="shared" si="217"/>
        <v>0</v>
      </c>
      <c r="AG440" s="480">
        <f t="shared" si="218"/>
        <v>0</v>
      </c>
      <c r="AH440" s="481">
        <f t="shared" si="219"/>
        <v>0</v>
      </c>
      <c r="AI440" s="481">
        <f t="shared" si="220"/>
        <v>0</v>
      </c>
      <c r="AJ440" s="487"/>
      <c r="AK440" s="507"/>
      <c r="AL440" s="479">
        <f t="shared" si="221"/>
        <v>0</v>
      </c>
      <c r="AM440" s="482">
        <f t="shared" si="222"/>
        <v>0</v>
      </c>
      <c r="AN440" s="487"/>
      <c r="AO440" s="488"/>
      <c r="AP440" s="487">
        <v>0</v>
      </c>
      <c r="AQ440" s="488">
        <v>0</v>
      </c>
      <c r="AR440" s="487">
        <v>0</v>
      </c>
      <c r="AS440" s="488">
        <v>0</v>
      </c>
      <c r="AT440" s="487">
        <v>0</v>
      </c>
      <c r="AU440" s="488">
        <v>0</v>
      </c>
      <c r="AV440" s="479">
        <f t="shared" si="223"/>
        <v>0</v>
      </c>
      <c r="AW440" s="483">
        <f t="shared" si="224"/>
        <v>0</v>
      </c>
      <c r="AX440" s="481">
        <f t="shared" si="225"/>
        <v>0</v>
      </c>
      <c r="AY440" s="484">
        <f t="shared" si="226"/>
        <v>0</v>
      </c>
      <c r="AZ440" s="485">
        <f t="shared" si="227"/>
        <v>11468.537333333334</v>
      </c>
      <c r="BA440" s="481">
        <f t="shared" si="228"/>
        <v>10416.5</v>
      </c>
    </row>
    <row r="441" spans="1:53">
      <c r="A441" s="768" t="s">
        <v>287</v>
      </c>
      <c r="B441" s="712" t="s">
        <v>889</v>
      </c>
      <c r="C441" s="764"/>
      <c r="D441" s="762">
        <v>218140</v>
      </c>
      <c r="E441" s="763">
        <v>8</v>
      </c>
      <c r="F441" s="486" t="s">
        <v>41</v>
      </c>
      <c r="G441" s="529"/>
      <c r="H441" s="506"/>
      <c r="I441" s="488"/>
      <c r="J441" s="506">
        <v>75945.030000000013</v>
      </c>
      <c r="K441" s="488">
        <v>75123</v>
      </c>
      <c r="L441" s="506">
        <v>27424.530000000002</v>
      </c>
      <c r="M441" s="488">
        <v>26987</v>
      </c>
      <c r="N441" s="506">
        <v>75778.459999999992</v>
      </c>
      <c r="O441" s="488">
        <v>73933</v>
      </c>
      <c r="P441" s="479">
        <f t="shared" si="211"/>
        <v>179148.02000000002</v>
      </c>
      <c r="Q441" s="480">
        <f t="shared" si="212"/>
        <v>5971.6006666666672</v>
      </c>
      <c r="R441" s="481">
        <f t="shared" si="213"/>
        <v>176043</v>
      </c>
      <c r="S441" s="482">
        <f t="shared" si="214"/>
        <v>5868.1</v>
      </c>
      <c r="T441" s="506">
        <v>2444</v>
      </c>
      <c r="U441" s="770">
        <v>8512</v>
      </c>
      <c r="V441" s="479">
        <f t="shared" si="215"/>
        <v>179148.02000000002</v>
      </c>
      <c r="W441" s="478">
        <f t="shared" si="216"/>
        <v>176043</v>
      </c>
      <c r="X441" s="506"/>
      <c r="Y441" s="488"/>
      <c r="Z441" s="506"/>
      <c r="AA441" s="488"/>
      <c r="AB441" s="506"/>
      <c r="AC441" s="488"/>
      <c r="AD441" s="506"/>
      <c r="AE441" s="507"/>
      <c r="AF441" s="479">
        <f t="shared" si="217"/>
        <v>0</v>
      </c>
      <c r="AG441" s="480">
        <f t="shared" si="218"/>
        <v>0</v>
      </c>
      <c r="AH441" s="481">
        <f t="shared" si="219"/>
        <v>0</v>
      </c>
      <c r="AI441" s="481">
        <f t="shared" si="220"/>
        <v>0</v>
      </c>
      <c r="AJ441" s="487"/>
      <c r="AK441" s="507"/>
      <c r="AL441" s="479">
        <f t="shared" si="221"/>
        <v>0</v>
      </c>
      <c r="AM441" s="482">
        <f t="shared" si="222"/>
        <v>0</v>
      </c>
      <c r="AN441" s="487"/>
      <c r="AO441" s="488"/>
      <c r="AP441" s="487">
        <v>0</v>
      </c>
      <c r="AQ441" s="488">
        <v>0</v>
      </c>
      <c r="AR441" s="487">
        <v>0</v>
      </c>
      <c r="AS441" s="488">
        <v>0</v>
      </c>
      <c r="AT441" s="487">
        <v>0</v>
      </c>
      <c r="AU441" s="488">
        <v>0</v>
      </c>
      <c r="AV441" s="479">
        <f t="shared" si="223"/>
        <v>0</v>
      </c>
      <c r="AW441" s="483">
        <f t="shared" si="224"/>
        <v>0</v>
      </c>
      <c r="AX441" s="481">
        <f t="shared" si="225"/>
        <v>0</v>
      </c>
      <c r="AY441" s="484">
        <f t="shared" si="226"/>
        <v>0</v>
      </c>
      <c r="AZ441" s="485">
        <f t="shared" si="227"/>
        <v>5971.6006666666672</v>
      </c>
      <c r="BA441" s="481">
        <f t="shared" si="228"/>
        <v>5868.1</v>
      </c>
    </row>
    <row r="442" spans="1:53">
      <c r="A442" s="768" t="s">
        <v>287</v>
      </c>
      <c r="B442" s="769" t="s">
        <v>890</v>
      </c>
      <c r="C442" s="765"/>
      <c r="D442" s="762">
        <v>218353</v>
      </c>
      <c r="E442" s="763">
        <v>8</v>
      </c>
      <c r="F442" s="486" t="s">
        <v>41</v>
      </c>
      <c r="G442" s="529"/>
      <c r="H442" s="506"/>
      <c r="I442" s="488"/>
      <c r="J442" s="506">
        <v>120662.01</v>
      </c>
      <c r="K442" s="488">
        <v>112617</v>
      </c>
      <c r="L442" s="506">
        <v>50709.53</v>
      </c>
      <c r="M442" s="488">
        <v>49959</v>
      </c>
      <c r="N442" s="506">
        <v>129034.36</v>
      </c>
      <c r="O442" s="488">
        <v>124749</v>
      </c>
      <c r="P442" s="479">
        <f t="shared" si="211"/>
        <v>300405.89999999997</v>
      </c>
      <c r="Q442" s="480">
        <f t="shared" si="212"/>
        <v>10013.529999999999</v>
      </c>
      <c r="R442" s="481">
        <f t="shared" si="213"/>
        <v>287325</v>
      </c>
      <c r="S442" s="482">
        <f t="shared" si="214"/>
        <v>9577.5</v>
      </c>
      <c r="T442" s="506">
        <v>1573</v>
      </c>
      <c r="U442" s="770">
        <v>2188</v>
      </c>
      <c r="V442" s="479">
        <f t="shared" si="215"/>
        <v>300405.89999999997</v>
      </c>
      <c r="W442" s="478">
        <f t="shared" si="216"/>
        <v>287325</v>
      </c>
      <c r="X442" s="506"/>
      <c r="Y442" s="488"/>
      <c r="Z442" s="506"/>
      <c r="AA442" s="488"/>
      <c r="AB442" s="506"/>
      <c r="AC442" s="488"/>
      <c r="AD442" s="506"/>
      <c r="AE442" s="507"/>
      <c r="AF442" s="479">
        <f t="shared" si="217"/>
        <v>0</v>
      </c>
      <c r="AG442" s="480">
        <f t="shared" si="218"/>
        <v>0</v>
      </c>
      <c r="AH442" s="481">
        <f t="shared" si="219"/>
        <v>0</v>
      </c>
      <c r="AI442" s="481">
        <f t="shared" si="220"/>
        <v>0</v>
      </c>
      <c r="AJ442" s="487"/>
      <c r="AK442" s="507"/>
      <c r="AL442" s="479">
        <f t="shared" si="221"/>
        <v>0</v>
      </c>
      <c r="AM442" s="482">
        <f t="shared" si="222"/>
        <v>0</v>
      </c>
      <c r="AN442" s="487"/>
      <c r="AO442" s="488"/>
      <c r="AP442" s="487">
        <v>0</v>
      </c>
      <c r="AQ442" s="488">
        <v>0</v>
      </c>
      <c r="AR442" s="487">
        <v>0</v>
      </c>
      <c r="AS442" s="488">
        <v>0</v>
      </c>
      <c r="AT442" s="487">
        <v>0</v>
      </c>
      <c r="AU442" s="488">
        <v>0</v>
      </c>
      <c r="AV442" s="479">
        <f t="shared" si="223"/>
        <v>0</v>
      </c>
      <c r="AW442" s="483">
        <f t="shared" si="224"/>
        <v>0</v>
      </c>
      <c r="AX442" s="481">
        <f t="shared" si="225"/>
        <v>0</v>
      </c>
      <c r="AY442" s="484">
        <f t="shared" si="226"/>
        <v>0</v>
      </c>
      <c r="AZ442" s="485">
        <f t="shared" si="227"/>
        <v>10013.529999999999</v>
      </c>
      <c r="BA442" s="481">
        <f t="shared" si="228"/>
        <v>9577.5</v>
      </c>
    </row>
    <row r="443" spans="1:53">
      <c r="A443" s="768" t="s">
        <v>287</v>
      </c>
      <c r="B443" s="712" t="s">
        <v>891</v>
      </c>
      <c r="C443" s="764"/>
      <c r="D443" s="762">
        <v>218520</v>
      </c>
      <c r="E443" s="766">
        <v>8</v>
      </c>
      <c r="F443" s="486" t="s">
        <v>41</v>
      </c>
      <c r="G443" s="529"/>
      <c r="H443" s="506"/>
      <c r="I443" s="488"/>
      <c r="J443" s="506">
        <v>58859.969999999994</v>
      </c>
      <c r="K443" s="488">
        <v>61726</v>
      </c>
      <c r="L443" s="506">
        <v>26989.039999999997</v>
      </c>
      <c r="M443" s="488">
        <v>27134</v>
      </c>
      <c r="N443" s="506">
        <v>68727.859999999986</v>
      </c>
      <c r="O443" s="488">
        <v>64764</v>
      </c>
      <c r="P443" s="479">
        <f t="shared" si="211"/>
        <v>154576.87</v>
      </c>
      <c r="Q443" s="480">
        <f t="shared" si="212"/>
        <v>5152.5623333333333</v>
      </c>
      <c r="R443" s="481">
        <f t="shared" si="213"/>
        <v>153624</v>
      </c>
      <c r="S443" s="482">
        <f t="shared" si="214"/>
        <v>5120.8</v>
      </c>
      <c r="T443" s="506">
        <v>11680</v>
      </c>
      <c r="U443" s="770">
        <v>15684</v>
      </c>
      <c r="V443" s="479">
        <f t="shared" si="215"/>
        <v>154576.87</v>
      </c>
      <c r="W443" s="478">
        <f t="shared" si="216"/>
        <v>153624</v>
      </c>
      <c r="X443" s="506"/>
      <c r="Y443" s="488"/>
      <c r="Z443" s="506"/>
      <c r="AA443" s="488"/>
      <c r="AB443" s="506"/>
      <c r="AC443" s="488"/>
      <c r="AD443" s="506"/>
      <c r="AE443" s="507"/>
      <c r="AF443" s="479">
        <f t="shared" si="217"/>
        <v>0</v>
      </c>
      <c r="AG443" s="480">
        <f t="shared" si="218"/>
        <v>0</v>
      </c>
      <c r="AH443" s="481">
        <f t="shared" si="219"/>
        <v>0</v>
      </c>
      <c r="AI443" s="481">
        <f t="shared" si="220"/>
        <v>0</v>
      </c>
      <c r="AJ443" s="487"/>
      <c r="AK443" s="507"/>
      <c r="AL443" s="479">
        <f t="shared" si="221"/>
        <v>0</v>
      </c>
      <c r="AM443" s="482">
        <f t="shared" si="222"/>
        <v>0</v>
      </c>
      <c r="AN443" s="487"/>
      <c r="AO443" s="488"/>
      <c r="AP443" s="487">
        <v>0</v>
      </c>
      <c r="AQ443" s="488">
        <v>0</v>
      </c>
      <c r="AR443" s="487">
        <v>0</v>
      </c>
      <c r="AS443" s="488">
        <v>0</v>
      </c>
      <c r="AT443" s="487">
        <v>0</v>
      </c>
      <c r="AU443" s="488">
        <v>0</v>
      </c>
      <c r="AV443" s="479">
        <f t="shared" si="223"/>
        <v>0</v>
      </c>
      <c r="AW443" s="483">
        <f t="shared" si="224"/>
        <v>0</v>
      </c>
      <c r="AX443" s="481">
        <f t="shared" si="225"/>
        <v>0</v>
      </c>
      <c r="AY443" s="484">
        <f t="shared" si="226"/>
        <v>0</v>
      </c>
      <c r="AZ443" s="485">
        <f t="shared" si="227"/>
        <v>5152.5623333333333</v>
      </c>
      <c r="BA443" s="481">
        <f t="shared" si="228"/>
        <v>5120.8</v>
      </c>
    </row>
    <row r="444" spans="1:53">
      <c r="A444" s="768" t="s">
        <v>287</v>
      </c>
      <c r="B444" s="701" t="s">
        <v>892</v>
      </c>
      <c r="C444" s="764"/>
      <c r="D444" s="762">
        <v>218885</v>
      </c>
      <c r="E444" s="763">
        <v>8</v>
      </c>
      <c r="F444" s="486" t="s">
        <v>41</v>
      </c>
      <c r="G444" s="529"/>
      <c r="H444" s="506"/>
      <c r="I444" s="488"/>
      <c r="J444" s="506">
        <v>69376.17</v>
      </c>
      <c r="K444" s="488">
        <v>66403</v>
      </c>
      <c r="L444" s="506">
        <v>25132.77</v>
      </c>
      <c r="M444" s="488">
        <v>22264</v>
      </c>
      <c r="N444" s="506">
        <v>77607.34</v>
      </c>
      <c r="O444" s="488">
        <v>74819</v>
      </c>
      <c r="P444" s="479">
        <f t="shared" si="211"/>
        <v>172116.28</v>
      </c>
      <c r="Q444" s="480">
        <f t="shared" si="212"/>
        <v>5737.2093333333332</v>
      </c>
      <c r="R444" s="481">
        <f t="shared" si="213"/>
        <v>163486</v>
      </c>
      <c r="S444" s="482">
        <f t="shared" si="214"/>
        <v>5449.5333333333338</v>
      </c>
      <c r="T444" s="506">
        <v>6144</v>
      </c>
      <c r="U444" s="770">
        <v>9661</v>
      </c>
      <c r="V444" s="479">
        <f t="shared" si="215"/>
        <v>172116.28</v>
      </c>
      <c r="W444" s="478">
        <f t="shared" si="216"/>
        <v>163486</v>
      </c>
      <c r="X444" s="506"/>
      <c r="Y444" s="488"/>
      <c r="Z444" s="506"/>
      <c r="AA444" s="488"/>
      <c r="AB444" s="506"/>
      <c r="AC444" s="488"/>
      <c r="AD444" s="506"/>
      <c r="AE444" s="507"/>
      <c r="AF444" s="479">
        <f t="shared" si="217"/>
        <v>0</v>
      </c>
      <c r="AG444" s="480">
        <f t="shared" si="218"/>
        <v>0</v>
      </c>
      <c r="AH444" s="481">
        <f t="shared" si="219"/>
        <v>0</v>
      </c>
      <c r="AI444" s="481">
        <f t="shared" si="220"/>
        <v>0</v>
      </c>
      <c r="AJ444" s="487"/>
      <c r="AK444" s="507"/>
      <c r="AL444" s="479">
        <f t="shared" si="221"/>
        <v>0</v>
      </c>
      <c r="AM444" s="482">
        <f t="shared" si="222"/>
        <v>0</v>
      </c>
      <c r="AN444" s="487"/>
      <c r="AO444" s="488"/>
      <c r="AP444" s="487">
        <v>0</v>
      </c>
      <c r="AQ444" s="488">
        <v>0</v>
      </c>
      <c r="AR444" s="487">
        <v>0</v>
      </c>
      <c r="AS444" s="488">
        <v>0</v>
      </c>
      <c r="AT444" s="487">
        <v>0</v>
      </c>
      <c r="AU444" s="488">
        <v>0</v>
      </c>
      <c r="AV444" s="479">
        <f t="shared" si="223"/>
        <v>0</v>
      </c>
      <c r="AW444" s="483">
        <f t="shared" si="224"/>
        <v>0</v>
      </c>
      <c r="AX444" s="481">
        <f t="shared" si="225"/>
        <v>0</v>
      </c>
      <c r="AY444" s="484">
        <f t="shared" si="226"/>
        <v>0</v>
      </c>
      <c r="AZ444" s="485">
        <f t="shared" si="227"/>
        <v>5737.2093333333332</v>
      </c>
      <c r="BA444" s="481">
        <f t="shared" si="228"/>
        <v>5449.5333333333338</v>
      </c>
    </row>
    <row r="445" spans="1:53">
      <c r="A445" s="768" t="s">
        <v>287</v>
      </c>
      <c r="B445" s="769" t="s">
        <v>893</v>
      </c>
      <c r="C445" s="765"/>
      <c r="D445" s="762">
        <v>218894</v>
      </c>
      <c r="E445" s="763">
        <v>8</v>
      </c>
      <c r="F445" s="486" t="s">
        <v>41</v>
      </c>
      <c r="G445" s="529"/>
      <c r="H445" s="506"/>
      <c r="I445" s="488"/>
      <c r="J445" s="506">
        <v>161776.26999999999</v>
      </c>
      <c r="K445" s="488">
        <v>160191</v>
      </c>
      <c r="L445" s="506">
        <v>77027.94</v>
      </c>
      <c r="M445" s="488">
        <v>77146</v>
      </c>
      <c r="N445" s="506">
        <v>169822.25999999998</v>
      </c>
      <c r="O445" s="488">
        <v>171708</v>
      </c>
      <c r="P445" s="479">
        <f t="shared" si="211"/>
        <v>408626.47</v>
      </c>
      <c r="Q445" s="480">
        <f t="shared" si="212"/>
        <v>13620.882333333333</v>
      </c>
      <c r="R445" s="481">
        <f t="shared" si="213"/>
        <v>409045</v>
      </c>
      <c r="S445" s="482">
        <f t="shared" si="214"/>
        <v>13634.833333333334</v>
      </c>
      <c r="T445" s="506">
        <v>8798</v>
      </c>
      <c r="U445" s="770">
        <v>18179</v>
      </c>
      <c r="V445" s="479">
        <f t="shared" si="215"/>
        <v>408626.47</v>
      </c>
      <c r="W445" s="478">
        <f t="shared" si="216"/>
        <v>409045</v>
      </c>
      <c r="X445" s="506"/>
      <c r="Y445" s="488"/>
      <c r="Z445" s="506"/>
      <c r="AA445" s="488"/>
      <c r="AB445" s="506"/>
      <c r="AC445" s="488"/>
      <c r="AD445" s="506"/>
      <c r="AE445" s="507"/>
      <c r="AF445" s="479">
        <f t="shared" si="217"/>
        <v>0</v>
      </c>
      <c r="AG445" s="480">
        <f t="shared" si="218"/>
        <v>0</v>
      </c>
      <c r="AH445" s="481">
        <f t="shared" si="219"/>
        <v>0</v>
      </c>
      <c r="AI445" s="481">
        <f t="shared" si="220"/>
        <v>0</v>
      </c>
      <c r="AJ445" s="487"/>
      <c r="AK445" s="507"/>
      <c r="AL445" s="479">
        <f t="shared" si="221"/>
        <v>0</v>
      </c>
      <c r="AM445" s="482">
        <f t="shared" si="222"/>
        <v>0</v>
      </c>
      <c r="AN445" s="487"/>
      <c r="AO445" s="488"/>
      <c r="AP445" s="487">
        <v>0</v>
      </c>
      <c r="AQ445" s="488">
        <v>0</v>
      </c>
      <c r="AR445" s="487">
        <v>0</v>
      </c>
      <c r="AS445" s="488">
        <v>0</v>
      </c>
      <c r="AT445" s="487">
        <v>0</v>
      </c>
      <c r="AU445" s="488">
        <v>0</v>
      </c>
      <c r="AV445" s="479">
        <f t="shared" si="223"/>
        <v>0</v>
      </c>
      <c r="AW445" s="483">
        <f t="shared" si="224"/>
        <v>0</v>
      </c>
      <c r="AX445" s="481">
        <f t="shared" si="225"/>
        <v>0</v>
      </c>
      <c r="AY445" s="484">
        <f t="shared" si="226"/>
        <v>0</v>
      </c>
      <c r="AZ445" s="485">
        <f t="shared" si="227"/>
        <v>13620.882333333333</v>
      </c>
      <c r="BA445" s="481">
        <f t="shared" si="228"/>
        <v>13634.833333333334</v>
      </c>
    </row>
    <row r="446" spans="1:53">
      <c r="A446" s="768" t="s">
        <v>287</v>
      </c>
      <c r="B446" s="710" t="s">
        <v>894</v>
      </c>
      <c r="C446" s="708"/>
      <c r="D446" s="762">
        <v>217615</v>
      </c>
      <c r="E446" s="763">
        <v>9</v>
      </c>
      <c r="F446" s="486" t="s">
        <v>41</v>
      </c>
      <c r="G446" s="529"/>
      <c r="H446" s="506"/>
      <c r="I446" s="488"/>
      <c r="J446" s="506">
        <v>31132.39</v>
      </c>
      <c r="K446" s="488">
        <v>27494</v>
      </c>
      <c r="L446" s="506">
        <v>12097.03</v>
      </c>
      <c r="M446" s="488">
        <v>11637</v>
      </c>
      <c r="N446" s="506">
        <v>32738.67</v>
      </c>
      <c r="O446" s="488">
        <v>30029</v>
      </c>
      <c r="P446" s="479">
        <f t="shared" si="211"/>
        <v>75968.09</v>
      </c>
      <c r="Q446" s="480">
        <f t="shared" si="212"/>
        <v>2532.2696666666666</v>
      </c>
      <c r="R446" s="481">
        <f t="shared" si="213"/>
        <v>69160</v>
      </c>
      <c r="S446" s="482">
        <f t="shared" si="214"/>
        <v>2305.3333333333335</v>
      </c>
      <c r="T446" s="506">
        <v>676</v>
      </c>
      <c r="U446" s="770">
        <v>953</v>
      </c>
      <c r="V446" s="479">
        <f t="shared" si="215"/>
        <v>75968.09</v>
      </c>
      <c r="W446" s="478">
        <f t="shared" si="216"/>
        <v>69160</v>
      </c>
      <c r="X446" s="506"/>
      <c r="Y446" s="488"/>
      <c r="Z446" s="506"/>
      <c r="AA446" s="488"/>
      <c r="AB446" s="506"/>
      <c r="AC446" s="488"/>
      <c r="AD446" s="506"/>
      <c r="AE446" s="507"/>
      <c r="AF446" s="479">
        <f t="shared" si="217"/>
        <v>0</v>
      </c>
      <c r="AG446" s="480">
        <f t="shared" si="218"/>
        <v>0</v>
      </c>
      <c r="AH446" s="481">
        <f t="shared" si="219"/>
        <v>0</v>
      </c>
      <c r="AI446" s="481">
        <f t="shared" si="220"/>
        <v>0</v>
      </c>
      <c r="AJ446" s="487"/>
      <c r="AK446" s="507"/>
      <c r="AL446" s="479">
        <f t="shared" si="221"/>
        <v>0</v>
      </c>
      <c r="AM446" s="482">
        <f t="shared" si="222"/>
        <v>0</v>
      </c>
      <c r="AN446" s="487"/>
      <c r="AO446" s="488"/>
      <c r="AP446" s="487">
        <v>0</v>
      </c>
      <c r="AQ446" s="488">
        <v>0</v>
      </c>
      <c r="AR446" s="487">
        <v>0</v>
      </c>
      <c r="AS446" s="488">
        <v>0</v>
      </c>
      <c r="AT446" s="487">
        <v>0</v>
      </c>
      <c r="AU446" s="488">
        <v>0</v>
      </c>
      <c r="AV446" s="479">
        <f t="shared" si="223"/>
        <v>0</v>
      </c>
      <c r="AW446" s="483">
        <f t="shared" si="224"/>
        <v>0</v>
      </c>
      <c r="AX446" s="481">
        <f t="shared" si="225"/>
        <v>0</v>
      </c>
      <c r="AY446" s="484">
        <f t="shared" si="226"/>
        <v>0</v>
      </c>
      <c r="AZ446" s="485">
        <f t="shared" si="227"/>
        <v>2532.2696666666666</v>
      </c>
      <c r="BA446" s="481">
        <f t="shared" si="228"/>
        <v>2305.3333333333335</v>
      </c>
    </row>
    <row r="447" spans="1:53">
      <c r="A447" s="768" t="s">
        <v>287</v>
      </c>
      <c r="B447" s="769" t="s">
        <v>895</v>
      </c>
      <c r="C447" s="765"/>
      <c r="D447" s="762">
        <v>218858</v>
      </c>
      <c r="E447" s="763">
        <v>9</v>
      </c>
      <c r="F447" s="486" t="s">
        <v>41</v>
      </c>
      <c r="G447" s="529"/>
      <c r="H447" s="506"/>
      <c r="I447" s="488"/>
      <c r="J447" s="506">
        <v>38308.81</v>
      </c>
      <c r="K447" s="488">
        <v>37532</v>
      </c>
      <c r="L447" s="506">
        <v>17067.2</v>
      </c>
      <c r="M447" s="488">
        <v>16859</v>
      </c>
      <c r="N447" s="506">
        <v>41472.21</v>
      </c>
      <c r="O447" s="488">
        <v>38699</v>
      </c>
      <c r="P447" s="479">
        <f t="shared" si="211"/>
        <v>96848.22</v>
      </c>
      <c r="Q447" s="480">
        <f t="shared" si="212"/>
        <v>3228.2739999999999</v>
      </c>
      <c r="R447" s="481">
        <f t="shared" si="213"/>
        <v>93090</v>
      </c>
      <c r="S447" s="482">
        <f t="shared" si="214"/>
        <v>3103</v>
      </c>
      <c r="T447" s="506">
        <v>3928</v>
      </c>
      <c r="U447" s="770">
        <v>6764</v>
      </c>
      <c r="V447" s="479">
        <f t="shared" si="215"/>
        <v>96848.22</v>
      </c>
      <c r="W447" s="478">
        <f t="shared" si="216"/>
        <v>93090</v>
      </c>
      <c r="X447" s="506"/>
      <c r="Y447" s="488"/>
      <c r="Z447" s="506"/>
      <c r="AA447" s="488"/>
      <c r="AB447" s="506"/>
      <c r="AC447" s="488"/>
      <c r="AD447" s="506"/>
      <c r="AE447" s="507"/>
      <c r="AF447" s="479">
        <f t="shared" si="217"/>
        <v>0</v>
      </c>
      <c r="AG447" s="480">
        <f t="shared" si="218"/>
        <v>0</v>
      </c>
      <c r="AH447" s="481">
        <f t="shared" si="219"/>
        <v>0</v>
      </c>
      <c r="AI447" s="481">
        <f t="shared" si="220"/>
        <v>0</v>
      </c>
      <c r="AJ447" s="487"/>
      <c r="AK447" s="507"/>
      <c r="AL447" s="479">
        <f t="shared" si="221"/>
        <v>0</v>
      </c>
      <c r="AM447" s="482">
        <f t="shared" si="222"/>
        <v>0</v>
      </c>
      <c r="AN447" s="487"/>
      <c r="AO447" s="488"/>
      <c r="AP447" s="487">
        <v>0</v>
      </c>
      <c r="AQ447" s="488">
        <v>0</v>
      </c>
      <c r="AR447" s="487">
        <v>0</v>
      </c>
      <c r="AS447" s="488">
        <v>0</v>
      </c>
      <c r="AT447" s="487">
        <v>0</v>
      </c>
      <c r="AU447" s="488">
        <v>0</v>
      </c>
      <c r="AV447" s="479">
        <f t="shared" si="223"/>
        <v>0</v>
      </c>
      <c r="AW447" s="483">
        <f t="shared" si="224"/>
        <v>0</v>
      </c>
      <c r="AX447" s="481">
        <f t="shared" si="225"/>
        <v>0</v>
      </c>
      <c r="AY447" s="484">
        <f t="shared" si="226"/>
        <v>0</v>
      </c>
      <c r="AZ447" s="485">
        <f t="shared" si="227"/>
        <v>3228.2739999999999</v>
      </c>
      <c r="BA447" s="481">
        <f t="shared" si="228"/>
        <v>3103</v>
      </c>
    </row>
    <row r="448" spans="1:53">
      <c r="A448" s="768" t="s">
        <v>287</v>
      </c>
      <c r="B448" s="769" t="s">
        <v>896</v>
      </c>
      <c r="C448" s="765"/>
      <c r="D448" s="762">
        <v>218487</v>
      </c>
      <c r="E448" s="763">
        <v>9</v>
      </c>
      <c r="F448" s="486" t="s">
        <v>41</v>
      </c>
      <c r="G448" s="529"/>
      <c r="H448" s="506"/>
      <c r="I448" s="488"/>
      <c r="J448" s="506">
        <v>26386.019999999997</v>
      </c>
      <c r="K448" s="488">
        <v>25456</v>
      </c>
      <c r="L448" s="506">
        <v>10104.019999999999</v>
      </c>
      <c r="M448" s="488">
        <v>10067</v>
      </c>
      <c r="N448" s="506">
        <v>29832.820000000003</v>
      </c>
      <c r="O448" s="488">
        <v>27639</v>
      </c>
      <c r="P448" s="479">
        <f t="shared" si="211"/>
        <v>66322.86</v>
      </c>
      <c r="Q448" s="480">
        <f t="shared" si="212"/>
        <v>2210.7620000000002</v>
      </c>
      <c r="R448" s="481">
        <f t="shared" si="213"/>
        <v>63162</v>
      </c>
      <c r="S448" s="482">
        <f t="shared" si="214"/>
        <v>2105.4</v>
      </c>
      <c r="T448" s="506">
        <v>5247</v>
      </c>
      <c r="U448" s="770">
        <v>6326</v>
      </c>
      <c r="V448" s="479">
        <f t="shared" si="215"/>
        <v>66322.86</v>
      </c>
      <c r="W448" s="478">
        <f t="shared" si="216"/>
        <v>63162</v>
      </c>
      <c r="X448" s="506"/>
      <c r="Y448" s="488"/>
      <c r="Z448" s="506"/>
      <c r="AA448" s="488"/>
      <c r="AB448" s="506"/>
      <c r="AC448" s="488"/>
      <c r="AD448" s="506"/>
      <c r="AE448" s="507"/>
      <c r="AF448" s="479">
        <f t="shared" si="217"/>
        <v>0</v>
      </c>
      <c r="AG448" s="480">
        <f t="shared" si="218"/>
        <v>0</v>
      </c>
      <c r="AH448" s="481">
        <f t="shared" si="219"/>
        <v>0</v>
      </c>
      <c r="AI448" s="481">
        <f t="shared" si="220"/>
        <v>0</v>
      </c>
      <c r="AJ448" s="487"/>
      <c r="AK448" s="507"/>
      <c r="AL448" s="479">
        <f t="shared" si="221"/>
        <v>0</v>
      </c>
      <c r="AM448" s="482">
        <f t="shared" si="222"/>
        <v>0</v>
      </c>
      <c r="AN448" s="487"/>
      <c r="AO448" s="488"/>
      <c r="AP448" s="487">
        <v>0</v>
      </c>
      <c r="AQ448" s="488">
        <v>0</v>
      </c>
      <c r="AR448" s="487">
        <v>0</v>
      </c>
      <c r="AS448" s="488">
        <v>0</v>
      </c>
      <c r="AT448" s="487">
        <v>0</v>
      </c>
      <c r="AU448" s="488">
        <v>0</v>
      </c>
      <c r="AV448" s="479">
        <f t="shared" si="223"/>
        <v>0</v>
      </c>
      <c r="AW448" s="483">
        <f t="shared" si="224"/>
        <v>0</v>
      </c>
      <c r="AX448" s="481">
        <f t="shared" si="225"/>
        <v>0</v>
      </c>
      <c r="AY448" s="484">
        <f t="shared" si="226"/>
        <v>0</v>
      </c>
      <c r="AZ448" s="485">
        <f t="shared" si="227"/>
        <v>2210.7620000000002</v>
      </c>
      <c r="BA448" s="481">
        <f t="shared" si="228"/>
        <v>2105.4</v>
      </c>
    </row>
    <row r="449" spans="1:53">
      <c r="A449" s="768" t="s">
        <v>287</v>
      </c>
      <c r="B449" s="712" t="s">
        <v>897</v>
      </c>
      <c r="C449" s="713"/>
      <c r="D449" s="762">
        <v>218830</v>
      </c>
      <c r="E449" s="763">
        <v>9</v>
      </c>
      <c r="F449" s="486" t="s">
        <v>41</v>
      </c>
      <c r="G449" s="529"/>
      <c r="H449" s="506"/>
      <c r="I449" s="488"/>
      <c r="J449" s="506">
        <v>57432.23</v>
      </c>
      <c r="K449" s="488">
        <v>54463</v>
      </c>
      <c r="L449" s="506">
        <v>22098.95</v>
      </c>
      <c r="M449" s="488">
        <v>19015</v>
      </c>
      <c r="N449" s="506">
        <v>60606.94</v>
      </c>
      <c r="O449" s="488">
        <v>58949</v>
      </c>
      <c r="P449" s="479">
        <f t="shared" si="211"/>
        <v>140138.12</v>
      </c>
      <c r="Q449" s="480">
        <f t="shared" si="212"/>
        <v>4671.2706666666663</v>
      </c>
      <c r="R449" s="481">
        <f t="shared" si="213"/>
        <v>132427</v>
      </c>
      <c r="S449" s="482">
        <f t="shared" si="214"/>
        <v>4414.2333333333336</v>
      </c>
      <c r="T449" s="506">
        <v>5705</v>
      </c>
      <c r="U449" s="770">
        <v>9557</v>
      </c>
      <c r="V449" s="479">
        <f t="shared" si="215"/>
        <v>140138.12</v>
      </c>
      <c r="W449" s="478">
        <f t="shared" si="216"/>
        <v>132427</v>
      </c>
      <c r="X449" s="506"/>
      <c r="Y449" s="488"/>
      <c r="Z449" s="506"/>
      <c r="AA449" s="488"/>
      <c r="AB449" s="506"/>
      <c r="AC449" s="488"/>
      <c r="AD449" s="506"/>
      <c r="AE449" s="507"/>
      <c r="AF449" s="479">
        <f t="shared" si="217"/>
        <v>0</v>
      </c>
      <c r="AG449" s="480">
        <f t="shared" si="218"/>
        <v>0</v>
      </c>
      <c r="AH449" s="481">
        <f t="shared" si="219"/>
        <v>0</v>
      </c>
      <c r="AI449" s="481">
        <f t="shared" si="220"/>
        <v>0</v>
      </c>
      <c r="AJ449" s="487"/>
      <c r="AK449" s="507"/>
      <c r="AL449" s="479">
        <f t="shared" si="221"/>
        <v>0</v>
      </c>
      <c r="AM449" s="482">
        <f t="shared" si="222"/>
        <v>0</v>
      </c>
      <c r="AN449" s="487"/>
      <c r="AO449" s="488"/>
      <c r="AP449" s="487">
        <v>0</v>
      </c>
      <c r="AQ449" s="488">
        <v>0</v>
      </c>
      <c r="AR449" s="487">
        <v>0</v>
      </c>
      <c r="AS449" s="488">
        <v>0</v>
      </c>
      <c r="AT449" s="487">
        <v>0</v>
      </c>
      <c r="AU449" s="488">
        <v>0</v>
      </c>
      <c r="AV449" s="479">
        <f t="shared" si="223"/>
        <v>0</v>
      </c>
      <c r="AW449" s="483">
        <f t="shared" si="224"/>
        <v>0</v>
      </c>
      <c r="AX449" s="481">
        <f t="shared" si="225"/>
        <v>0</v>
      </c>
      <c r="AY449" s="484">
        <f t="shared" si="226"/>
        <v>0</v>
      </c>
      <c r="AZ449" s="485">
        <f t="shared" si="227"/>
        <v>4671.2706666666663</v>
      </c>
      <c r="BA449" s="481">
        <f t="shared" si="228"/>
        <v>4414.2333333333336</v>
      </c>
    </row>
    <row r="450" spans="1:53">
      <c r="A450" s="768" t="s">
        <v>287</v>
      </c>
      <c r="B450" s="712" t="s">
        <v>898</v>
      </c>
      <c r="C450" s="713"/>
      <c r="D450" s="762">
        <v>218991</v>
      </c>
      <c r="E450" s="763">
        <v>9</v>
      </c>
      <c r="F450" s="486" t="s">
        <v>41</v>
      </c>
      <c r="G450" s="529"/>
      <c r="H450" s="506"/>
      <c r="I450" s="488"/>
      <c r="J450" s="506">
        <v>52722.35</v>
      </c>
      <c r="K450" s="488">
        <v>46495</v>
      </c>
      <c r="L450" s="506">
        <v>22400.54</v>
      </c>
      <c r="M450" s="488">
        <v>19397</v>
      </c>
      <c r="N450" s="506">
        <v>51165.85</v>
      </c>
      <c r="O450" s="488">
        <v>53564</v>
      </c>
      <c r="P450" s="479">
        <f t="shared" si="211"/>
        <v>126288.73999999999</v>
      </c>
      <c r="Q450" s="480">
        <f t="shared" si="212"/>
        <v>4209.6246666666666</v>
      </c>
      <c r="R450" s="481">
        <f t="shared" si="213"/>
        <v>119456</v>
      </c>
      <c r="S450" s="482">
        <f t="shared" si="214"/>
        <v>3981.8666666666668</v>
      </c>
      <c r="T450" s="506">
        <v>3136</v>
      </c>
      <c r="U450" s="770">
        <v>2163</v>
      </c>
      <c r="V450" s="479">
        <f t="shared" si="215"/>
        <v>126288.73999999999</v>
      </c>
      <c r="W450" s="478">
        <f t="shared" si="216"/>
        <v>119456</v>
      </c>
      <c r="X450" s="506"/>
      <c r="Y450" s="488"/>
      <c r="Z450" s="506"/>
      <c r="AA450" s="488"/>
      <c r="AB450" s="506"/>
      <c r="AC450" s="488"/>
      <c r="AD450" s="506"/>
      <c r="AE450" s="507"/>
      <c r="AF450" s="479">
        <f t="shared" si="217"/>
        <v>0</v>
      </c>
      <c r="AG450" s="480">
        <f t="shared" si="218"/>
        <v>0</v>
      </c>
      <c r="AH450" s="481">
        <f t="shared" si="219"/>
        <v>0</v>
      </c>
      <c r="AI450" s="481">
        <f t="shared" si="220"/>
        <v>0</v>
      </c>
      <c r="AJ450" s="487"/>
      <c r="AK450" s="507"/>
      <c r="AL450" s="479">
        <f t="shared" si="221"/>
        <v>0</v>
      </c>
      <c r="AM450" s="482">
        <f t="shared" si="222"/>
        <v>0</v>
      </c>
      <c r="AN450" s="487"/>
      <c r="AO450" s="488"/>
      <c r="AP450" s="487">
        <v>0</v>
      </c>
      <c r="AQ450" s="488">
        <v>0</v>
      </c>
      <c r="AR450" s="487">
        <v>0</v>
      </c>
      <c r="AS450" s="488">
        <v>0</v>
      </c>
      <c r="AT450" s="487">
        <v>0</v>
      </c>
      <c r="AU450" s="488">
        <v>0</v>
      </c>
      <c r="AV450" s="479">
        <f t="shared" si="223"/>
        <v>0</v>
      </c>
      <c r="AW450" s="483">
        <f t="shared" si="224"/>
        <v>0</v>
      </c>
      <c r="AX450" s="481">
        <f t="shared" si="225"/>
        <v>0</v>
      </c>
      <c r="AY450" s="484">
        <f t="shared" si="226"/>
        <v>0</v>
      </c>
      <c r="AZ450" s="485">
        <f t="shared" si="227"/>
        <v>4209.6246666666666</v>
      </c>
      <c r="BA450" s="481">
        <f t="shared" si="228"/>
        <v>3981.8666666666668</v>
      </c>
    </row>
    <row r="451" spans="1:53">
      <c r="A451" s="768" t="s">
        <v>287</v>
      </c>
      <c r="B451" s="769" t="s">
        <v>899</v>
      </c>
      <c r="C451" s="765"/>
      <c r="D451" s="762">
        <v>217989</v>
      </c>
      <c r="E451" s="763">
        <v>10</v>
      </c>
      <c r="F451" s="486" t="s">
        <v>41</v>
      </c>
      <c r="G451" s="529"/>
      <c r="H451" s="506"/>
      <c r="I451" s="488"/>
      <c r="J451" s="506">
        <v>24677</v>
      </c>
      <c r="K451" s="488">
        <v>24095</v>
      </c>
      <c r="L451" s="506">
        <v>11890.42</v>
      </c>
      <c r="M451" s="488">
        <v>10276</v>
      </c>
      <c r="N451" s="506">
        <v>28216.91</v>
      </c>
      <c r="O451" s="488">
        <v>22770</v>
      </c>
      <c r="P451" s="479">
        <f t="shared" si="211"/>
        <v>64784.33</v>
      </c>
      <c r="Q451" s="480">
        <f t="shared" si="212"/>
        <v>2159.4776666666667</v>
      </c>
      <c r="R451" s="481">
        <f t="shared" si="213"/>
        <v>57141</v>
      </c>
      <c r="S451" s="482">
        <f t="shared" si="214"/>
        <v>1904.7</v>
      </c>
      <c r="T451" s="506"/>
      <c r="U451" s="770"/>
      <c r="V451" s="479">
        <f t="shared" si="215"/>
        <v>0</v>
      </c>
      <c r="W451" s="478">
        <f t="shared" si="216"/>
        <v>0</v>
      </c>
      <c r="X451" s="506"/>
      <c r="Y451" s="488"/>
      <c r="Z451" s="506"/>
      <c r="AA451" s="488"/>
      <c r="AB451" s="506"/>
      <c r="AC451" s="488"/>
      <c r="AD451" s="506"/>
      <c r="AE451" s="507"/>
      <c r="AF451" s="479">
        <f t="shared" si="217"/>
        <v>0</v>
      </c>
      <c r="AG451" s="480">
        <f t="shared" si="218"/>
        <v>0</v>
      </c>
      <c r="AH451" s="481">
        <f t="shared" si="219"/>
        <v>0</v>
      </c>
      <c r="AI451" s="481">
        <f t="shared" si="220"/>
        <v>0</v>
      </c>
      <c r="AJ451" s="487"/>
      <c r="AK451" s="507"/>
      <c r="AL451" s="479">
        <f t="shared" si="221"/>
        <v>0</v>
      </c>
      <c r="AM451" s="482">
        <f t="shared" si="222"/>
        <v>0</v>
      </c>
      <c r="AN451" s="487"/>
      <c r="AO451" s="488"/>
      <c r="AP451" s="487">
        <v>0</v>
      </c>
      <c r="AQ451" s="488">
        <v>0</v>
      </c>
      <c r="AR451" s="487">
        <v>0</v>
      </c>
      <c r="AS451" s="488">
        <v>0</v>
      </c>
      <c r="AT451" s="487">
        <v>0</v>
      </c>
      <c r="AU451" s="488">
        <v>0</v>
      </c>
      <c r="AV451" s="479">
        <f t="shared" si="223"/>
        <v>0</v>
      </c>
      <c r="AW451" s="483">
        <f t="shared" si="224"/>
        <v>0</v>
      </c>
      <c r="AX451" s="481">
        <f t="shared" si="225"/>
        <v>0</v>
      </c>
      <c r="AY451" s="484">
        <f t="shared" si="226"/>
        <v>0</v>
      </c>
      <c r="AZ451" s="485">
        <f t="shared" si="227"/>
        <v>2159.4776666666667</v>
      </c>
      <c r="BA451" s="481">
        <f t="shared" si="228"/>
        <v>1904.7</v>
      </c>
    </row>
    <row r="452" spans="1:53">
      <c r="A452" s="768" t="s">
        <v>287</v>
      </c>
      <c r="B452" s="769" t="s">
        <v>900</v>
      </c>
      <c r="C452" s="765"/>
      <c r="D452" s="762">
        <v>217837</v>
      </c>
      <c r="E452" s="763">
        <v>10</v>
      </c>
      <c r="F452" s="486" t="s">
        <v>41</v>
      </c>
      <c r="G452" s="529"/>
      <c r="H452" s="506"/>
      <c r="I452" s="488"/>
      <c r="J452" s="506">
        <v>12521.18</v>
      </c>
      <c r="K452" s="488">
        <v>12903</v>
      </c>
      <c r="L452" s="506">
        <v>4788.71</v>
      </c>
      <c r="M452" s="488">
        <v>5121</v>
      </c>
      <c r="N452" s="506">
        <v>13964.9</v>
      </c>
      <c r="O452" s="488">
        <v>13295</v>
      </c>
      <c r="P452" s="479">
        <f t="shared" si="211"/>
        <v>31274.79</v>
      </c>
      <c r="Q452" s="480">
        <f t="shared" si="212"/>
        <v>1042.4929999999999</v>
      </c>
      <c r="R452" s="481">
        <f t="shared" si="213"/>
        <v>31319</v>
      </c>
      <c r="S452" s="482">
        <f t="shared" si="214"/>
        <v>1043.9666666666667</v>
      </c>
      <c r="T452" s="506">
        <v>1302</v>
      </c>
      <c r="U452" s="770">
        <v>2230</v>
      </c>
      <c r="V452" s="479">
        <f t="shared" si="215"/>
        <v>31274.79</v>
      </c>
      <c r="W452" s="478">
        <f t="shared" si="216"/>
        <v>31319</v>
      </c>
      <c r="X452" s="506"/>
      <c r="Y452" s="488"/>
      <c r="Z452" s="506"/>
      <c r="AA452" s="488"/>
      <c r="AB452" s="506"/>
      <c r="AC452" s="488"/>
      <c r="AD452" s="506"/>
      <c r="AE452" s="507"/>
      <c r="AF452" s="479">
        <f t="shared" si="217"/>
        <v>0</v>
      </c>
      <c r="AG452" s="480">
        <f t="shared" si="218"/>
        <v>0</v>
      </c>
      <c r="AH452" s="481">
        <f t="shared" si="219"/>
        <v>0</v>
      </c>
      <c r="AI452" s="481">
        <f t="shared" si="220"/>
        <v>0</v>
      </c>
      <c r="AJ452" s="487"/>
      <c r="AK452" s="507"/>
      <c r="AL452" s="479">
        <f t="shared" si="221"/>
        <v>0</v>
      </c>
      <c r="AM452" s="482">
        <f t="shared" si="222"/>
        <v>0</v>
      </c>
      <c r="AN452" s="487"/>
      <c r="AO452" s="488"/>
      <c r="AP452" s="487">
        <v>0</v>
      </c>
      <c r="AQ452" s="488">
        <v>0</v>
      </c>
      <c r="AR452" s="487">
        <v>0</v>
      </c>
      <c r="AS452" s="488">
        <v>0</v>
      </c>
      <c r="AT452" s="487">
        <v>0</v>
      </c>
      <c r="AU452" s="488">
        <v>0</v>
      </c>
      <c r="AV452" s="479">
        <f t="shared" si="223"/>
        <v>0</v>
      </c>
      <c r="AW452" s="483">
        <f t="shared" si="224"/>
        <v>0</v>
      </c>
      <c r="AX452" s="481">
        <f t="shared" si="225"/>
        <v>0</v>
      </c>
      <c r="AY452" s="484">
        <f t="shared" si="226"/>
        <v>0</v>
      </c>
      <c r="AZ452" s="485">
        <f t="shared" si="227"/>
        <v>1042.4929999999999</v>
      </c>
      <c r="BA452" s="481">
        <f t="shared" si="228"/>
        <v>1043.9666666666667</v>
      </c>
    </row>
    <row r="453" spans="1:53">
      <c r="A453" s="768" t="s">
        <v>287</v>
      </c>
      <c r="B453" s="769" t="s">
        <v>901</v>
      </c>
      <c r="C453" s="765"/>
      <c r="D453" s="762">
        <v>217712</v>
      </c>
      <c r="E453" s="763">
        <v>10</v>
      </c>
      <c r="F453" s="486" t="s">
        <v>41</v>
      </c>
      <c r="G453" s="529"/>
      <c r="H453" s="506"/>
      <c r="I453" s="488"/>
      <c r="J453" s="506">
        <v>25522.49</v>
      </c>
      <c r="K453" s="488">
        <v>21369</v>
      </c>
      <c r="L453" s="506">
        <v>9167.68</v>
      </c>
      <c r="M453" s="488">
        <v>9212</v>
      </c>
      <c r="N453" s="506">
        <v>22459.799999999996</v>
      </c>
      <c r="O453" s="488">
        <v>22598</v>
      </c>
      <c r="P453" s="479">
        <f t="shared" si="211"/>
        <v>57149.969999999994</v>
      </c>
      <c r="Q453" s="480">
        <f t="shared" si="212"/>
        <v>1904.9989999999998</v>
      </c>
      <c r="R453" s="481">
        <f t="shared" si="213"/>
        <v>53179</v>
      </c>
      <c r="S453" s="482">
        <f t="shared" si="214"/>
        <v>1772.6333333333334</v>
      </c>
      <c r="T453" s="506">
        <v>3119</v>
      </c>
      <c r="U453" s="770">
        <v>3512</v>
      </c>
      <c r="V453" s="479">
        <f t="shared" si="215"/>
        <v>57149.969999999994</v>
      </c>
      <c r="W453" s="478">
        <f t="shared" si="216"/>
        <v>53179</v>
      </c>
      <c r="X453" s="506"/>
      <c r="Y453" s="488"/>
      <c r="Z453" s="506"/>
      <c r="AA453" s="488"/>
      <c r="AB453" s="506"/>
      <c r="AC453" s="488"/>
      <c r="AD453" s="506"/>
      <c r="AE453" s="507"/>
      <c r="AF453" s="479">
        <f t="shared" si="217"/>
        <v>0</v>
      </c>
      <c r="AG453" s="480">
        <f t="shared" si="218"/>
        <v>0</v>
      </c>
      <c r="AH453" s="481">
        <f t="shared" si="219"/>
        <v>0</v>
      </c>
      <c r="AI453" s="481">
        <f t="shared" si="220"/>
        <v>0</v>
      </c>
      <c r="AJ453" s="487"/>
      <c r="AK453" s="507"/>
      <c r="AL453" s="479">
        <f t="shared" si="221"/>
        <v>0</v>
      </c>
      <c r="AM453" s="482">
        <f t="shared" si="222"/>
        <v>0</v>
      </c>
      <c r="AN453" s="487"/>
      <c r="AO453" s="488"/>
      <c r="AP453" s="487">
        <v>0</v>
      </c>
      <c r="AQ453" s="488">
        <v>0</v>
      </c>
      <c r="AR453" s="487">
        <v>0</v>
      </c>
      <c r="AS453" s="488">
        <v>0</v>
      </c>
      <c r="AT453" s="487">
        <v>0</v>
      </c>
      <c r="AU453" s="488">
        <v>0</v>
      </c>
      <c r="AV453" s="479">
        <f t="shared" si="223"/>
        <v>0</v>
      </c>
      <c r="AW453" s="483">
        <f t="shared" si="224"/>
        <v>0</v>
      </c>
      <c r="AX453" s="481">
        <f t="shared" si="225"/>
        <v>0</v>
      </c>
      <c r="AY453" s="484">
        <f t="shared" si="226"/>
        <v>0</v>
      </c>
      <c r="AZ453" s="485">
        <f t="shared" si="227"/>
        <v>1904.9989999999998</v>
      </c>
      <c r="BA453" s="481">
        <f t="shared" si="228"/>
        <v>1772.6333333333334</v>
      </c>
    </row>
    <row r="454" spans="1:53">
      <c r="A454" s="768" t="s">
        <v>287</v>
      </c>
      <c r="B454" s="769" t="s">
        <v>902</v>
      </c>
      <c r="C454" s="765"/>
      <c r="D454" s="762">
        <v>218672</v>
      </c>
      <c r="E454" s="763">
        <v>10</v>
      </c>
      <c r="F454" s="486" t="s">
        <v>41</v>
      </c>
      <c r="G454" s="529"/>
      <c r="H454" s="506"/>
      <c r="I454" s="488"/>
      <c r="J454" s="506">
        <v>16275</v>
      </c>
      <c r="K454" s="488">
        <v>15597</v>
      </c>
      <c r="L454" s="506">
        <v>1958</v>
      </c>
      <c r="M454" s="488">
        <v>1605</v>
      </c>
      <c r="N454" s="506">
        <v>19475</v>
      </c>
      <c r="O454" s="488">
        <v>18729</v>
      </c>
      <c r="P454" s="479">
        <f t="shared" si="211"/>
        <v>37708</v>
      </c>
      <c r="Q454" s="480">
        <f t="shared" si="212"/>
        <v>1256.9333333333334</v>
      </c>
      <c r="R454" s="481">
        <f t="shared" si="213"/>
        <v>35931</v>
      </c>
      <c r="S454" s="482">
        <f t="shared" si="214"/>
        <v>1197.7</v>
      </c>
      <c r="T454" s="506">
        <v>4133</v>
      </c>
      <c r="U454" s="770">
        <v>1191</v>
      </c>
      <c r="V454" s="479">
        <f t="shared" si="215"/>
        <v>37708</v>
      </c>
      <c r="W454" s="478">
        <f t="shared" si="216"/>
        <v>35931</v>
      </c>
      <c r="X454" s="506"/>
      <c r="Y454" s="488"/>
      <c r="Z454" s="506"/>
      <c r="AA454" s="488"/>
      <c r="AB454" s="506"/>
      <c r="AC454" s="488"/>
      <c r="AD454" s="506"/>
      <c r="AE454" s="507"/>
      <c r="AF454" s="479">
        <f t="shared" si="217"/>
        <v>0</v>
      </c>
      <c r="AG454" s="480">
        <f t="shared" si="218"/>
        <v>0</v>
      </c>
      <c r="AH454" s="481">
        <f t="shared" si="219"/>
        <v>0</v>
      </c>
      <c r="AI454" s="481">
        <f t="shared" si="220"/>
        <v>0</v>
      </c>
      <c r="AJ454" s="487"/>
      <c r="AK454" s="507"/>
      <c r="AL454" s="479">
        <f t="shared" si="221"/>
        <v>0</v>
      </c>
      <c r="AM454" s="482">
        <f t="shared" si="222"/>
        <v>0</v>
      </c>
      <c r="AN454" s="487"/>
      <c r="AO454" s="488"/>
      <c r="AP454" s="487">
        <v>0</v>
      </c>
      <c r="AQ454" s="488">
        <v>0</v>
      </c>
      <c r="AR454" s="487">
        <v>0</v>
      </c>
      <c r="AS454" s="488">
        <v>0</v>
      </c>
      <c r="AT454" s="487">
        <v>0</v>
      </c>
      <c r="AU454" s="488">
        <v>0</v>
      </c>
      <c r="AV454" s="479">
        <f t="shared" si="223"/>
        <v>0</v>
      </c>
      <c r="AW454" s="483">
        <f t="shared" si="224"/>
        <v>0</v>
      </c>
      <c r="AX454" s="481">
        <f t="shared" si="225"/>
        <v>0</v>
      </c>
      <c r="AY454" s="484">
        <f t="shared" si="226"/>
        <v>0</v>
      </c>
      <c r="AZ454" s="485">
        <f t="shared" si="227"/>
        <v>1256.9333333333334</v>
      </c>
      <c r="BA454" s="481">
        <f t="shared" si="228"/>
        <v>1197.7</v>
      </c>
    </row>
    <row r="455" spans="1:53">
      <c r="A455" s="768" t="s">
        <v>287</v>
      </c>
      <c r="B455" s="769" t="s">
        <v>903</v>
      </c>
      <c r="C455" s="765"/>
      <c r="D455" s="762">
        <v>218681</v>
      </c>
      <c r="E455" s="763">
        <v>10</v>
      </c>
      <c r="F455" s="486" t="s">
        <v>41</v>
      </c>
      <c r="G455" s="529"/>
      <c r="H455" s="506"/>
      <c r="I455" s="488"/>
      <c r="J455" s="506">
        <v>11145</v>
      </c>
      <c r="K455" s="488">
        <v>10548</v>
      </c>
      <c r="L455" s="506">
        <v>779</v>
      </c>
      <c r="M455" s="488">
        <v>603</v>
      </c>
      <c r="N455" s="506">
        <v>11935</v>
      </c>
      <c r="O455" s="488">
        <v>10973</v>
      </c>
      <c r="P455" s="479">
        <f t="shared" si="211"/>
        <v>23859</v>
      </c>
      <c r="Q455" s="480">
        <f t="shared" si="212"/>
        <v>795.3</v>
      </c>
      <c r="R455" s="481">
        <f t="shared" si="213"/>
        <v>22124</v>
      </c>
      <c r="S455" s="482">
        <f t="shared" si="214"/>
        <v>737.4666666666667</v>
      </c>
      <c r="T455" s="506">
        <v>1881</v>
      </c>
      <c r="U455" s="770">
        <v>407</v>
      </c>
      <c r="V455" s="479">
        <f t="shared" si="215"/>
        <v>23859</v>
      </c>
      <c r="W455" s="478">
        <f t="shared" si="216"/>
        <v>22124</v>
      </c>
      <c r="X455" s="506"/>
      <c r="Y455" s="488"/>
      <c r="Z455" s="506"/>
      <c r="AA455" s="488"/>
      <c r="AB455" s="506"/>
      <c r="AC455" s="488"/>
      <c r="AD455" s="506"/>
      <c r="AE455" s="507"/>
      <c r="AF455" s="479">
        <f t="shared" si="217"/>
        <v>0</v>
      </c>
      <c r="AG455" s="480">
        <f t="shared" si="218"/>
        <v>0</v>
      </c>
      <c r="AH455" s="481">
        <f t="shared" si="219"/>
        <v>0</v>
      </c>
      <c r="AI455" s="481">
        <f t="shared" si="220"/>
        <v>0</v>
      </c>
      <c r="AJ455" s="487"/>
      <c r="AK455" s="507"/>
      <c r="AL455" s="479">
        <f t="shared" si="221"/>
        <v>0</v>
      </c>
      <c r="AM455" s="482">
        <f t="shared" si="222"/>
        <v>0</v>
      </c>
      <c r="AN455" s="487"/>
      <c r="AO455" s="488"/>
      <c r="AP455" s="487">
        <v>0</v>
      </c>
      <c r="AQ455" s="488">
        <v>0</v>
      </c>
      <c r="AR455" s="487">
        <v>0</v>
      </c>
      <c r="AS455" s="488">
        <v>0</v>
      </c>
      <c r="AT455" s="487">
        <v>0</v>
      </c>
      <c r="AU455" s="488">
        <v>0</v>
      </c>
      <c r="AV455" s="479">
        <f t="shared" si="223"/>
        <v>0</v>
      </c>
      <c r="AW455" s="483">
        <f t="shared" si="224"/>
        <v>0</v>
      </c>
      <c r="AX455" s="481">
        <f t="shared" si="225"/>
        <v>0</v>
      </c>
      <c r="AY455" s="484">
        <f t="shared" si="226"/>
        <v>0</v>
      </c>
      <c r="AZ455" s="485">
        <f t="shared" si="227"/>
        <v>795.3</v>
      </c>
      <c r="BA455" s="481">
        <f t="shared" si="228"/>
        <v>737.4666666666667</v>
      </c>
    </row>
    <row r="456" spans="1:53">
      <c r="A456" s="768" t="s">
        <v>287</v>
      </c>
      <c r="B456" s="769" t="s">
        <v>904</v>
      </c>
      <c r="C456" s="765"/>
      <c r="D456" s="762">
        <v>218690</v>
      </c>
      <c r="E456" s="763">
        <v>10</v>
      </c>
      <c r="F456" s="486" t="s">
        <v>41</v>
      </c>
      <c r="G456" s="529"/>
      <c r="H456" s="506"/>
      <c r="I456" s="488"/>
      <c r="J456" s="506">
        <v>9870</v>
      </c>
      <c r="K456" s="488">
        <v>9375</v>
      </c>
      <c r="L456" s="506">
        <v>1003</v>
      </c>
      <c r="M456" s="488">
        <v>1092</v>
      </c>
      <c r="N456" s="506">
        <v>10504</v>
      </c>
      <c r="O456" s="488">
        <v>10834</v>
      </c>
      <c r="P456" s="479">
        <f t="shared" ref="P456:P519" si="229">SUM(H456,J456,L456,N456)</f>
        <v>21377</v>
      </c>
      <c r="Q456" s="480">
        <f t="shared" ref="Q456:Q519" si="230">+P456/30</f>
        <v>712.56666666666672</v>
      </c>
      <c r="R456" s="481">
        <f t="shared" ref="R456:R519" si="231">SUM(I456,K456,M456,O456)</f>
        <v>21301</v>
      </c>
      <c r="S456" s="482">
        <f t="shared" ref="S456:S519" si="232">+R456/30</f>
        <v>710.0333333333333</v>
      </c>
      <c r="T456" s="506">
        <v>2589</v>
      </c>
      <c r="U456" s="770">
        <v>774</v>
      </c>
      <c r="V456" s="479">
        <f t="shared" ref="V456:V519" si="233">IF(ISBLANK(T456),0,P456)</f>
        <v>21377</v>
      </c>
      <c r="W456" s="478">
        <f t="shared" ref="W456:W519" si="234">IF(ISBLANK(U456),0,R456)</f>
        <v>21301</v>
      </c>
      <c r="X456" s="506"/>
      <c r="Y456" s="488"/>
      <c r="Z456" s="506"/>
      <c r="AA456" s="488"/>
      <c r="AB456" s="506"/>
      <c r="AC456" s="488"/>
      <c r="AD456" s="506"/>
      <c r="AE456" s="507"/>
      <c r="AF456" s="479">
        <f t="shared" ref="AF456:AF519" si="235">SUM(X456,Z456,AB456,AD456)</f>
        <v>0</v>
      </c>
      <c r="AG456" s="480">
        <f t="shared" ref="AG456:AG519" si="236">+AF456/900</f>
        <v>0</v>
      </c>
      <c r="AH456" s="481">
        <f t="shared" ref="AH456:AH519" si="237">SUM(Y456,AA456,AC456,AE456)</f>
        <v>0</v>
      </c>
      <c r="AI456" s="481">
        <f t="shared" ref="AI456:AI519" si="238">+AH456/900</f>
        <v>0</v>
      </c>
      <c r="AJ456" s="487"/>
      <c r="AK456" s="507"/>
      <c r="AL456" s="479">
        <f t="shared" ref="AL456:AL519" si="239">IF(ISBLANK(AJ456),0,AF456)</f>
        <v>0</v>
      </c>
      <c r="AM456" s="482">
        <f t="shared" ref="AM456:AM519" si="240">IF(ISBLANK(AK456),0,AH456)</f>
        <v>0</v>
      </c>
      <c r="AN456" s="487"/>
      <c r="AO456" s="488"/>
      <c r="AP456" s="487">
        <v>0</v>
      </c>
      <c r="AQ456" s="488">
        <v>0</v>
      </c>
      <c r="AR456" s="487">
        <v>0</v>
      </c>
      <c r="AS456" s="488">
        <v>0</v>
      </c>
      <c r="AT456" s="487">
        <v>0</v>
      </c>
      <c r="AU456" s="488">
        <v>0</v>
      </c>
      <c r="AV456" s="479">
        <f t="shared" ref="AV456:AV519" si="241">SUM(AN456,AP456,AR456,AT456)</f>
        <v>0</v>
      </c>
      <c r="AW456" s="483">
        <f t="shared" ref="AW456:AW519" si="242">+AV456/24</f>
        <v>0</v>
      </c>
      <c r="AX456" s="481">
        <f t="shared" ref="AX456:AX519" si="243">SUM(AO456,AQ456,AS456,AU456)</f>
        <v>0</v>
      </c>
      <c r="AY456" s="484">
        <f t="shared" ref="AY456:AY519" si="244">+AX456/24</f>
        <v>0</v>
      </c>
      <c r="AZ456" s="485">
        <f t="shared" ref="AZ456:AZ519" si="245">SUM(Q456,AG456,AW456)</f>
        <v>712.56666666666672</v>
      </c>
      <c r="BA456" s="481">
        <f t="shared" ref="BA456:BA519" si="246">SUM(S456,AI456,AY456)</f>
        <v>710.0333333333333</v>
      </c>
    </row>
    <row r="457" spans="1:53">
      <c r="A457" s="768" t="s">
        <v>287</v>
      </c>
      <c r="B457" s="769" t="s">
        <v>905</v>
      </c>
      <c r="C457" s="765"/>
      <c r="D457" s="762">
        <v>218706</v>
      </c>
      <c r="E457" s="763">
        <v>10</v>
      </c>
      <c r="F457" s="486" t="s">
        <v>41</v>
      </c>
      <c r="G457" s="529"/>
      <c r="H457" s="506"/>
      <c r="I457" s="488"/>
      <c r="J457" s="506">
        <v>5684</v>
      </c>
      <c r="K457" s="488">
        <v>4987</v>
      </c>
      <c r="L457" s="506">
        <v>314</v>
      </c>
      <c r="M457" s="488">
        <v>327</v>
      </c>
      <c r="N457" s="506">
        <v>5162</v>
      </c>
      <c r="O457" s="488">
        <v>5249</v>
      </c>
      <c r="P457" s="479">
        <f t="shared" si="229"/>
        <v>11160</v>
      </c>
      <c r="Q457" s="480">
        <f t="shared" si="230"/>
        <v>372</v>
      </c>
      <c r="R457" s="481">
        <f t="shared" si="231"/>
        <v>10563</v>
      </c>
      <c r="S457" s="482">
        <f t="shared" si="232"/>
        <v>352.1</v>
      </c>
      <c r="T457" s="506">
        <v>3265</v>
      </c>
      <c r="U457" s="770">
        <v>1476</v>
      </c>
      <c r="V457" s="479">
        <f t="shared" si="233"/>
        <v>11160</v>
      </c>
      <c r="W457" s="478">
        <f t="shared" si="234"/>
        <v>10563</v>
      </c>
      <c r="X457" s="506"/>
      <c r="Y457" s="488"/>
      <c r="Z457" s="506"/>
      <c r="AA457" s="488"/>
      <c r="AB457" s="506"/>
      <c r="AC457" s="488"/>
      <c r="AD457" s="506"/>
      <c r="AE457" s="507"/>
      <c r="AF457" s="479">
        <f t="shared" si="235"/>
        <v>0</v>
      </c>
      <c r="AG457" s="480">
        <f t="shared" si="236"/>
        <v>0</v>
      </c>
      <c r="AH457" s="481">
        <f t="shared" si="237"/>
        <v>0</v>
      </c>
      <c r="AI457" s="481">
        <f t="shared" si="238"/>
        <v>0</v>
      </c>
      <c r="AJ457" s="487"/>
      <c r="AK457" s="507"/>
      <c r="AL457" s="479">
        <f t="shared" si="239"/>
        <v>0</v>
      </c>
      <c r="AM457" s="482">
        <f t="shared" si="240"/>
        <v>0</v>
      </c>
      <c r="AN457" s="487"/>
      <c r="AO457" s="488"/>
      <c r="AP457" s="487">
        <v>0</v>
      </c>
      <c r="AQ457" s="488">
        <v>0</v>
      </c>
      <c r="AR457" s="487">
        <v>0</v>
      </c>
      <c r="AS457" s="488">
        <v>0</v>
      </c>
      <c r="AT457" s="487">
        <v>0</v>
      </c>
      <c r="AU457" s="488">
        <v>0</v>
      </c>
      <c r="AV457" s="479">
        <f t="shared" si="241"/>
        <v>0</v>
      </c>
      <c r="AW457" s="483">
        <f t="shared" si="242"/>
        <v>0</v>
      </c>
      <c r="AX457" s="481">
        <f t="shared" si="243"/>
        <v>0</v>
      </c>
      <c r="AY457" s="484">
        <f t="shared" si="244"/>
        <v>0</v>
      </c>
      <c r="AZ457" s="485">
        <f t="shared" si="245"/>
        <v>372</v>
      </c>
      <c r="BA457" s="481">
        <f t="shared" si="246"/>
        <v>352.1</v>
      </c>
    </row>
    <row r="458" spans="1:53">
      <c r="A458" s="768" t="s">
        <v>287</v>
      </c>
      <c r="B458" s="769" t="s">
        <v>906</v>
      </c>
      <c r="C458" s="765"/>
      <c r="D458" s="762">
        <v>218955</v>
      </c>
      <c r="E458" s="763">
        <v>10</v>
      </c>
      <c r="F458" s="486" t="s">
        <v>41</v>
      </c>
      <c r="G458" s="529"/>
      <c r="H458" s="506"/>
      <c r="I458" s="488"/>
      <c r="J458" s="506">
        <v>5710.01</v>
      </c>
      <c r="K458" s="488">
        <v>6109</v>
      </c>
      <c r="L458" s="506">
        <v>2703.52</v>
      </c>
      <c r="M458" s="488">
        <v>2984</v>
      </c>
      <c r="N458" s="506">
        <v>6031.96</v>
      </c>
      <c r="O458" s="488">
        <v>6599</v>
      </c>
      <c r="P458" s="479">
        <f t="shared" si="229"/>
        <v>14445.490000000002</v>
      </c>
      <c r="Q458" s="480">
        <f t="shared" si="230"/>
        <v>481.51633333333336</v>
      </c>
      <c r="R458" s="481">
        <f t="shared" si="231"/>
        <v>15692</v>
      </c>
      <c r="S458" s="482">
        <f t="shared" si="232"/>
        <v>523.06666666666672</v>
      </c>
      <c r="T458" s="506">
        <v>201</v>
      </c>
      <c r="U458" s="770">
        <v>143</v>
      </c>
      <c r="V458" s="479">
        <f t="shared" si="233"/>
        <v>14445.490000000002</v>
      </c>
      <c r="W458" s="478">
        <f t="shared" si="234"/>
        <v>15692</v>
      </c>
      <c r="X458" s="506"/>
      <c r="Y458" s="488"/>
      <c r="Z458" s="506"/>
      <c r="AA458" s="488"/>
      <c r="AB458" s="506"/>
      <c r="AC458" s="488"/>
      <c r="AD458" s="506"/>
      <c r="AE458" s="507"/>
      <c r="AF458" s="479">
        <f t="shared" si="235"/>
        <v>0</v>
      </c>
      <c r="AG458" s="480">
        <f t="shared" si="236"/>
        <v>0</v>
      </c>
      <c r="AH458" s="481">
        <f t="shared" si="237"/>
        <v>0</v>
      </c>
      <c r="AI458" s="481">
        <f t="shared" si="238"/>
        <v>0</v>
      </c>
      <c r="AJ458" s="487"/>
      <c r="AK458" s="507"/>
      <c r="AL458" s="479">
        <f t="shared" si="239"/>
        <v>0</v>
      </c>
      <c r="AM458" s="482">
        <f t="shared" si="240"/>
        <v>0</v>
      </c>
      <c r="AN458" s="487"/>
      <c r="AO458" s="488"/>
      <c r="AP458" s="487">
        <v>0</v>
      </c>
      <c r="AQ458" s="488">
        <v>0</v>
      </c>
      <c r="AR458" s="487">
        <v>0</v>
      </c>
      <c r="AS458" s="488">
        <v>0</v>
      </c>
      <c r="AT458" s="487">
        <v>0</v>
      </c>
      <c r="AU458" s="488">
        <v>0</v>
      </c>
      <c r="AV458" s="479">
        <f t="shared" si="241"/>
        <v>0</v>
      </c>
      <c r="AW458" s="483">
        <f t="shared" si="242"/>
        <v>0</v>
      </c>
      <c r="AX458" s="481">
        <f t="shared" si="243"/>
        <v>0</v>
      </c>
      <c r="AY458" s="484">
        <f t="shared" si="244"/>
        <v>0</v>
      </c>
      <c r="AZ458" s="485">
        <f t="shared" si="245"/>
        <v>481.51633333333336</v>
      </c>
      <c r="BA458" s="481">
        <f t="shared" si="246"/>
        <v>523.06666666666672</v>
      </c>
    </row>
    <row r="459" spans="1:53">
      <c r="A459" s="589" t="s">
        <v>276</v>
      </c>
      <c r="B459" s="590" t="s">
        <v>451</v>
      </c>
      <c r="C459" s="591"/>
      <c r="D459" s="592">
        <v>220862</v>
      </c>
      <c r="E459" s="593">
        <v>1</v>
      </c>
      <c r="F459" s="486" t="s">
        <v>41</v>
      </c>
      <c r="G459" s="529"/>
      <c r="H459" s="506"/>
      <c r="I459" s="488"/>
      <c r="J459" s="506">
        <v>205095</v>
      </c>
      <c r="K459" s="594">
        <v>198010</v>
      </c>
      <c r="L459" s="506">
        <v>29622</v>
      </c>
      <c r="M459" s="594">
        <v>26167</v>
      </c>
      <c r="N459" s="506">
        <v>215044</v>
      </c>
      <c r="O459" s="594">
        <v>208255</v>
      </c>
      <c r="P459" s="479">
        <f t="shared" si="229"/>
        <v>449761</v>
      </c>
      <c r="Q459" s="480">
        <f t="shared" si="230"/>
        <v>14992.033333333333</v>
      </c>
      <c r="R459" s="481">
        <f t="shared" si="231"/>
        <v>432432</v>
      </c>
      <c r="S459" s="482">
        <f t="shared" si="232"/>
        <v>14414.4</v>
      </c>
      <c r="T459" s="506"/>
      <c r="U459" s="594"/>
      <c r="V459" s="479">
        <f t="shared" si="233"/>
        <v>0</v>
      </c>
      <c r="W459" s="478">
        <f t="shared" si="234"/>
        <v>0</v>
      </c>
      <c r="X459" s="506"/>
      <c r="Y459" s="595"/>
      <c r="Z459" s="506"/>
      <c r="AA459" s="595"/>
      <c r="AB459" s="506"/>
      <c r="AC459" s="595"/>
      <c r="AD459" s="506"/>
      <c r="AE459" s="595"/>
      <c r="AF459" s="479">
        <f t="shared" si="235"/>
        <v>0</v>
      </c>
      <c r="AG459" s="480">
        <f t="shared" si="236"/>
        <v>0</v>
      </c>
      <c r="AH459" s="481">
        <f t="shared" si="237"/>
        <v>0</v>
      </c>
      <c r="AI459" s="481">
        <f t="shared" si="238"/>
        <v>0</v>
      </c>
      <c r="AJ459" s="487"/>
      <c r="AK459" s="595"/>
      <c r="AL459" s="479">
        <f t="shared" si="239"/>
        <v>0</v>
      </c>
      <c r="AM459" s="482">
        <f t="shared" si="240"/>
        <v>0</v>
      </c>
      <c r="AN459" s="487"/>
      <c r="AO459" s="595"/>
      <c r="AP459" s="487">
        <v>38048</v>
      </c>
      <c r="AQ459" s="595">
        <v>35955</v>
      </c>
      <c r="AR459" s="487">
        <v>8361</v>
      </c>
      <c r="AS459" s="595">
        <v>7207</v>
      </c>
      <c r="AT459" s="487">
        <v>37503</v>
      </c>
      <c r="AU459" s="595">
        <v>33839</v>
      </c>
      <c r="AV459" s="479">
        <f t="shared" si="241"/>
        <v>83912</v>
      </c>
      <c r="AW459" s="483">
        <f t="shared" si="242"/>
        <v>3496.3333333333335</v>
      </c>
      <c r="AX459" s="481">
        <f t="shared" si="243"/>
        <v>77001</v>
      </c>
      <c r="AY459" s="484">
        <f t="shared" si="244"/>
        <v>3208.375</v>
      </c>
      <c r="AZ459" s="485">
        <f t="shared" si="245"/>
        <v>18488.366666666665</v>
      </c>
      <c r="BA459" s="481">
        <f t="shared" si="246"/>
        <v>17622.775000000001</v>
      </c>
    </row>
    <row r="460" spans="1:53">
      <c r="A460" s="589" t="s">
        <v>276</v>
      </c>
      <c r="B460" s="590" t="s">
        <v>452</v>
      </c>
      <c r="C460" s="591"/>
      <c r="D460" s="592">
        <v>221759</v>
      </c>
      <c r="E460" s="593">
        <v>1</v>
      </c>
      <c r="F460" s="486" t="s">
        <v>41</v>
      </c>
      <c r="G460" s="529"/>
      <c r="H460" s="506"/>
      <c r="I460" s="488"/>
      <c r="J460" s="506">
        <v>267133</v>
      </c>
      <c r="K460" s="594">
        <v>263656</v>
      </c>
      <c r="L460" s="506">
        <v>35001</v>
      </c>
      <c r="M460" s="594">
        <v>32451</v>
      </c>
      <c r="N460" s="506">
        <v>282072</v>
      </c>
      <c r="O460" s="594">
        <v>286017</v>
      </c>
      <c r="P460" s="479">
        <f t="shared" si="229"/>
        <v>584206</v>
      </c>
      <c r="Q460" s="480">
        <f t="shared" si="230"/>
        <v>19473.533333333333</v>
      </c>
      <c r="R460" s="481">
        <f t="shared" si="231"/>
        <v>582124</v>
      </c>
      <c r="S460" s="482">
        <f t="shared" si="232"/>
        <v>19404.133333333335</v>
      </c>
      <c r="T460" s="506"/>
      <c r="U460" s="594"/>
      <c r="V460" s="479">
        <f t="shared" si="233"/>
        <v>0</v>
      </c>
      <c r="W460" s="478">
        <f t="shared" si="234"/>
        <v>0</v>
      </c>
      <c r="X460" s="506"/>
      <c r="Y460" s="595"/>
      <c r="Z460" s="506"/>
      <c r="AA460" s="595"/>
      <c r="AB460" s="506"/>
      <c r="AC460" s="595"/>
      <c r="AD460" s="506"/>
      <c r="AE460" s="595"/>
      <c r="AF460" s="479">
        <f t="shared" si="235"/>
        <v>0</v>
      </c>
      <c r="AG460" s="480">
        <f t="shared" si="236"/>
        <v>0</v>
      </c>
      <c r="AH460" s="481">
        <f t="shared" si="237"/>
        <v>0</v>
      </c>
      <c r="AI460" s="481">
        <f t="shared" si="238"/>
        <v>0</v>
      </c>
      <c r="AJ460" s="487"/>
      <c r="AK460" s="595"/>
      <c r="AL460" s="479">
        <f t="shared" si="239"/>
        <v>0</v>
      </c>
      <c r="AM460" s="482">
        <f t="shared" si="240"/>
        <v>0</v>
      </c>
      <c r="AN460" s="487"/>
      <c r="AO460" s="595"/>
      <c r="AP460" s="487">
        <v>49019</v>
      </c>
      <c r="AQ460" s="595">
        <v>47961</v>
      </c>
      <c r="AR460" s="487">
        <v>17533</v>
      </c>
      <c r="AS460" s="595">
        <v>17270</v>
      </c>
      <c r="AT460" s="487">
        <v>52657</v>
      </c>
      <c r="AU460" s="595">
        <v>52662</v>
      </c>
      <c r="AV460" s="479">
        <f t="shared" si="241"/>
        <v>119209</v>
      </c>
      <c r="AW460" s="483">
        <f t="shared" si="242"/>
        <v>4967.041666666667</v>
      </c>
      <c r="AX460" s="481">
        <f t="shared" si="243"/>
        <v>117893</v>
      </c>
      <c r="AY460" s="484">
        <f t="shared" si="244"/>
        <v>4912.208333333333</v>
      </c>
      <c r="AZ460" s="485">
        <f t="shared" si="245"/>
        <v>24440.575000000001</v>
      </c>
      <c r="BA460" s="481">
        <f t="shared" si="246"/>
        <v>24316.341666666667</v>
      </c>
    </row>
    <row r="461" spans="1:53">
      <c r="A461" s="589" t="s">
        <v>276</v>
      </c>
      <c r="B461" s="596" t="s">
        <v>453</v>
      </c>
      <c r="C461" s="597"/>
      <c r="D461" s="592">
        <v>221838</v>
      </c>
      <c r="E461" s="593">
        <v>2</v>
      </c>
      <c r="F461" s="486" t="s">
        <v>41</v>
      </c>
      <c r="G461" s="529"/>
      <c r="H461" s="506"/>
      <c r="I461" s="488"/>
      <c r="J461" s="506">
        <v>83514</v>
      </c>
      <c r="K461" s="594">
        <v>79659</v>
      </c>
      <c r="L461" s="506">
        <v>12181</v>
      </c>
      <c r="M461" s="594">
        <v>12313</v>
      </c>
      <c r="N461" s="506">
        <v>85330</v>
      </c>
      <c r="O461" s="594">
        <v>87070</v>
      </c>
      <c r="P461" s="479">
        <f t="shared" si="229"/>
        <v>181025</v>
      </c>
      <c r="Q461" s="480">
        <f t="shared" si="230"/>
        <v>6034.166666666667</v>
      </c>
      <c r="R461" s="481">
        <f t="shared" si="231"/>
        <v>179042</v>
      </c>
      <c r="S461" s="482">
        <f t="shared" si="232"/>
        <v>5968.0666666666666</v>
      </c>
      <c r="T461" s="506"/>
      <c r="U461" s="594"/>
      <c r="V461" s="479">
        <f t="shared" si="233"/>
        <v>0</v>
      </c>
      <c r="W461" s="478">
        <f t="shared" si="234"/>
        <v>0</v>
      </c>
      <c r="X461" s="506"/>
      <c r="Y461" s="595"/>
      <c r="Z461" s="506"/>
      <c r="AA461" s="595"/>
      <c r="AB461" s="506"/>
      <c r="AC461" s="595"/>
      <c r="AD461" s="506"/>
      <c r="AE461" s="595"/>
      <c r="AF461" s="479">
        <f t="shared" si="235"/>
        <v>0</v>
      </c>
      <c r="AG461" s="480">
        <f t="shared" si="236"/>
        <v>0</v>
      </c>
      <c r="AH461" s="481">
        <f t="shared" si="237"/>
        <v>0</v>
      </c>
      <c r="AI461" s="481">
        <f t="shared" si="238"/>
        <v>0</v>
      </c>
      <c r="AJ461" s="487"/>
      <c r="AK461" s="595"/>
      <c r="AL461" s="479">
        <f t="shared" si="239"/>
        <v>0</v>
      </c>
      <c r="AM461" s="482">
        <f t="shared" si="240"/>
        <v>0</v>
      </c>
      <c r="AN461" s="487"/>
      <c r="AO461" s="595"/>
      <c r="AP461" s="487">
        <v>14457</v>
      </c>
      <c r="AQ461" s="595">
        <v>14873</v>
      </c>
      <c r="AR461" s="487">
        <v>6088</v>
      </c>
      <c r="AS461" s="595">
        <v>6496</v>
      </c>
      <c r="AT461" s="487">
        <v>14545</v>
      </c>
      <c r="AU461" s="595">
        <v>15301</v>
      </c>
      <c r="AV461" s="479">
        <f t="shared" si="241"/>
        <v>35090</v>
      </c>
      <c r="AW461" s="483">
        <f t="shared" si="242"/>
        <v>1462.0833333333333</v>
      </c>
      <c r="AX461" s="481">
        <f t="shared" si="243"/>
        <v>36670</v>
      </c>
      <c r="AY461" s="484">
        <f t="shared" si="244"/>
        <v>1527.9166666666667</v>
      </c>
      <c r="AZ461" s="485">
        <f t="shared" si="245"/>
        <v>7496.25</v>
      </c>
      <c r="BA461" s="481">
        <f t="shared" si="246"/>
        <v>7495.9833333333336</v>
      </c>
    </row>
    <row r="462" spans="1:53">
      <c r="A462" s="589" t="s">
        <v>276</v>
      </c>
      <c r="B462" s="596" t="s">
        <v>454</v>
      </c>
      <c r="C462" s="591"/>
      <c r="D462" s="592">
        <v>219602</v>
      </c>
      <c r="E462" s="593">
        <v>3</v>
      </c>
      <c r="F462" s="486" t="s">
        <v>41</v>
      </c>
      <c r="G462" s="529"/>
      <c r="H462" s="506"/>
      <c r="I462" s="488"/>
      <c r="J462" s="506">
        <v>110890</v>
      </c>
      <c r="K462" s="594">
        <v>111013</v>
      </c>
      <c r="L462" s="506">
        <v>22384</v>
      </c>
      <c r="M462" s="594">
        <v>19564</v>
      </c>
      <c r="N462" s="506">
        <v>119482</v>
      </c>
      <c r="O462" s="594">
        <v>118295</v>
      </c>
      <c r="P462" s="479">
        <f t="shared" si="229"/>
        <v>252756</v>
      </c>
      <c r="Q462" s="480">
        <f t="shared" si="230"/>
        <v>8425.2000000000007</v>
      </c>
      <c r="R462" s="481">
        <f t="shared" si="231"/>
        <v>248872</v>
      </c>
      <c r="S462" s="482">
        <f t="shared" si="232"/>
        <v>8295.7333333333336</v>
      </c>
      <c r="T462" s="506">
        <v>1845</v>
      </c>
      <c r="U462" s="594">
        <v>1910</v>
      </c>
      <c r="V462" s="479">
        <f t="shared" si="233"/>
        <v>252756</v>
      </c>
      <c r="W462" s="478">
        <f t="shared" si="234"/>
        <v>248872</v>
      </c>
      <c r="X462" s="506"/>
      <c r="Y462" s="595"/>
      <c r="Z462" s="506"/>
      <c r="AA462" s="595"/>
      <c r="AB462" s="506"/>
      <c r="AC462" s="595"/>
      <c r="AD462" s="506"/>
      <c r="AE462" s="595"/>
      <c r="AF462" s="479">
        <f t="shared" si="235"/>
        <v>0</v>
      </c>
      <c r="AG462" s="480">
        <f t="shared" si="236"/>
        <v>0</v>
      </c>
      <c r="AH462" s="481">
        <f t="shared" si="237"/>
        <v>0</v>
      </c>
      <c r="AI462" s="481">
        <f t="shared" si="238"/>
        <v>0</v>
      </c>
      <c r="AJ462" s="487"/>
      <c r="AK462" s="595"/>
      <c r="AL462" s="479">
        <f t="shared" si="239"/>
        <v>0</v>
      </c>
      <c r="AM462" s="482">
        <f t="shared" si="240"/>
        <v>0</v>
      </c>
      <c r="AN462" s="487"/>
      <c r="AO462" s="595"/>
      <c r="AP462" s="487">
        <v>5962</v>
      </c>
      <c r="AQ462" s="595">
        <v>5903</v>
      </c>
      <c r="AR462" s="487">
        <v>2916</v>
      </c>
      <c r="AS462" s="595">
        <v>3048</v>
      </c>
      <c r="AT462" s="487">
        <v>6505</v>
      </c>
      <c r="AU462" s="595">
        <v>6356</v>
      </c>
      <c r="AV462" s="479">
        <f t="shared" si="241"/>
        <v>15383</v>
      </c>
      <c r="AW462" s="483">
        <f t="shared" si="242"/>
        <v>640.95833333333337</v>
      </c>
      <c r="AX462" s="481">
        <f t="shared" si="243"/>
        <v>15307</v>
      </c>
      <c r="AY462" s="484">
        <f t="shared" si="244"/>
        <v>637.79166666666663</v>
      </c>
      <c r="AZ462" s="485">
        <f t="shared" si="245"/>
        <v>9066.1583333333347</v>
      </c>
      <c r="BA462" s="481">
        <f t="shared" si="246"/>
        <v>8933.5249999999996</v>
      </c>
    </row>
    <row r="463" spans="1:53">
      <c r="A463" s="589" t="s">
        <v>276</v>
      </c>
      <c r="B463" s="590" t="s">
        <v>455</v>
      </c>
      <c r="C463" s="591" t="s">
        <v>618</v>
      </c>
      <c r="D463" s="592">
        <v>220075</v>
      </c>
      <c r="E463" s="593">
        <v>3</v>
      </c>
      <c r="F463" s="486" t="s">
        <v>41</v>
      </c>
      <c r="G463" s="529"/>
      <c r="H463" s="506"/>
      <c r="I463" s="488"/>
      <c r="J463" s="506">
        <v>151184</v>
      </c>
      <c r="K463" s="594">
        <v>146941</v>
      </c>
      <c r="L463" s="506">
        <v>23270</v>
      </c>
      <c r="M463" s="594">
        <v>22343</v>
      </c>
      <c r="N463" s="506">
        <v>159588</v>
      </c>
      <c r="O463" s="594">
        <v>152538</v>
      </c>
      <c r="P463" s="479">
        <f t="shared" si="229"/>
        <v>334042</v>
      </c>
      <c r="Q463" s="480">
        <f t="shared" si="230"/>
        <v>11134.733333333334</v>
      </c>
      <c r="R463" s="481">
        <f t="shared" si="231"/>
        <v>321822</v>
      </c>
      <c r="S463" s="482">
        <f t="shared" si="232"/>
        <v>10727.4</v>
      </c>
      <c r="T463" s="506">
        <v>1783</v>
      </c>
      <c r="U463" s="594">
        <v>1895</v>
      </c>
      <c r="V463" s="479">
        <f t="shared" si="233"/>
        <v>334042</v>
      </c>
      <c r="W463" s="478">
        <f t="shared" si="234"/>
        <v>321822</v>
      </c>
      <c r="X463" s="506"/>
      <c r="Y463" s="595"/>
      <c r="Z463" s="506"/>
      <c r="AA463" s="595"/>
      <c r="AB463" s="506"/>
      <c r="AC463" s="595"/>
      <c r="AD463" s="506"/>
      <c r="AE463" s="595"/>
      <c r="AF463" s="479">
        <f t="shared" si="235"/>
        <v>0</v>
      </c>
      <c r="AG463" s="480">
        <f t="shared" si="236"/>
        <v>0</v>
      </c>
      <c r="AH463" s="481">
        <f t="shared" si="237"/>
        <v>0</v>
      </c>
      <c r="AI463" s="481">
        <f t="shared" si="238"/>
        <v>0</v>
      </c>
      <c r="AJ463" s="487"/>
      <c r="AK463" s="595"/>
      <c r="AL463" s="479">
        <f t="shared" si="239"/>
        <v>0</v>
      </c>
      <c r="AM463" s="482">
        <f t="shared" si="240"/>
        <v>0</v>
      </c>
      <c r="AN463" s="487"/>
      <c r="AO463" s="595"/>
      <c r="AP463" s="487">
        <v>16736</v>
      </c>
      <c r="AQ463" s="595">
        <v>17833</v>
      </c>
      <c r="AR463" s="487">
        <v>7818</v>
      </c>
      <c r="AS463" s="595">
        <v>8468</v>
      </c>
      <c r="AT463" s="487">
        <v>18568</v>
      </c>
      <c r="AU463" s="595">
        <v>19125</v>
      </c>
      <c r="AV463" s="479">
        <f t="shared" si="241"/>
        <v>43122</v>
      </c>
      <c r="AW463" s="483">
        <f t="shared" si="242"/>
        <v>1796.75</v>
      </c>
      <c r="AX463" s="481">
        <f t="shared" si="243"/>
        <v>45426</v>
      </c>
      <c r="AY463" s="484">
        <f t="shared" si="244"/>
        <v>1892.75</v>
      </c>
      <c r="AZ463" s="485">
        <f t="shared" si="245"/>
        <v>12931.483333333334</v>
      </c>
      <c r="BA463" s="481">
        <f t="shared" si="246"/>
        <v>12620.15</v>
      </c>
    </row>
    <row r="464" spans="1:53">
      <c r="A464" s="589" t="s">
        <v>276</v>
      </c>
      <c r="B464" s="590" t="s">
        <v>456</v>
      </c>
      <c r="C464" s="591"/>
      <c r="D464" s="592">
        <v>220978</v>
      </c>
      <c r="E464" s="593">
        <v>3</v>
      </c>
      <c r="F464" s="486" t="s">
        <v>41</v>
      </c>
      <c r="G464" s="529"/>
      <c r="H464" s="506"/>
      <c r="I464" s="488"/>
      <c r="J464" s="506">
        <v>272267</v>
      </c>
      <c r="K464" s="594">
        <v>255496</v>
      </c>
      <c r="L464" s="506">
        <v>46567</v>
      </c>
      <c r="M464" s="594">
        <v>42269</v>
      </c>
      <c r="N464" s="506">
        <v>286959</v>
      </c>
      <c r="O464" s="594">
        <v>271345</v>
      </c>
      <c r="P464" s="479">
        <f t="shared" si="229"/>
        <v>605793</v>
      </c>
      <c r="Q464" s="480">
        <f t="shared" si="230"/>
        <v>20193.099999999999</v>
      </c>
      <c r="R464" s="481">
        <f t="shared" si="231"/>
        <v>569110</v>
      </c>
      <c r="S464" s="482">
        <f t="shared" si="232"/>
        <v>18970.333333333332</v>
      </c>
      <c r="T464" s="534">
        <v>1023</v>
      </c>
      <c r="U464" s="594">
        <v>1083</v>
      </c>
      <c r="V464" s="479">
        <f t="shared" si="233"/>
        <v>605793</v>
      </c>
      <c r="W464" s="478">
        <f t="shared" si="234"/>
        <v>569110</v>
      </c>
      <c r="X464" s="506"/>
      <c r="Y464" s="595"/>
      <c r="Z464" s="506"/>
      <c r="AA464" s="595"/>
      <c r="AB464" s="506"/>
      <c r="AC464" s="595"/>
      <c r="AD464" s="506"/>
      <c r="AE464" s="595"/>
      <c r="AF464" s="479">
        <f t="shared" si="235"/>
        <v>0</v>
      </c>
      <c r="AG464" s="480">
        <f t="shared" si="236"/>
        <v>0</v>
      </c>
      <c r="AH464" s="481">
        <f t="shared" si="237"/>
        <v>0</v>
      </c>
      <c r="AI464" s="481">
        <f t="shared" si="238"/>
        <v>0</v>
      </c>
      <c r="AJ464" s="487"/>
      <c r="AK464" s="595"/>
      <c r="AL464" s="479">
        <f t="shared" si="239"/>
        <v>0</v>
      </c>
      <c r="AM464" s="482">
        <f t="shared" si="240"/>
        <v>0</v>
      </c>
      <c r="AN464" s="487"/>
      <c r="AO464" s="595"/>
      <c r="AP464" s="487">
        <v>19237</v>
      </c>
      <c r="AQ464" s="595">
        <v>19515</v>
      </c>
      <c r="AR464" s="487">
        <v>9619</v>
      </c>
      <c r="AS464" s="595">
        <v>9254</v>
      </c>
      <c r="AT464" s="487">
        <v>20316</v>
      </c>
      <c r="AU464" s="595">
        <v>18566</v>
      </c>
      <c r="AV464" s="479">
        <f t="shared" si="241"/>
        <v>49172</v>
      </c>
      <c r="AW464" s="483">
        <f t="shared" si="242"/>
        <v>2048.8333333333335</v>
      </c>
      <c r="AX464" s="481">
        <f t="shared" si="243"/>
        <v>47335</v>
      </c>
      <c r="AY464" s="484">
        <f t="shared" si="244"/>
        <v>1972.2916666666667</v>
      </c>
      <c r="AZ464" s="485">
        <f t="shared" si="245"/>
        <v>22241.933333333331</v>
      </c>
      <c r="BA464" s="481">
        <f t="shared" si="246"/>
        <v>20942.625</v>
      </c>
    </row>
    <row r="465" spans="1:53">
      <c r="A465" s="589" t="s">
        <v>276</v>
      </c>
      <c r="B465" s="590" t="s">
        <v>457</v>
      </c>
      <c r="C465" s="591"/>
      <c r="D465" s="592">
        <v>221847</v>
      </c>
      <c r="E465" s="593">
        <v>3</v>
      </c>
      <c r="F465" s="486" t="s">
        <v>41</v>
      </c>
      <c r="G465" s="529"/>
      <c r="H465" s="506"/>
      <c r="I465" s="488"/>
      <c r="J465" s="506">
        <v>121717</v>
      </c>
      <c r="K465" s="594">
        <v>122495</v>
      </c>
      <c r="L465" s="506">
        <v>14024</v>
      </c>
      <c r="M465" s="594">
        <v>13249</v>
      </c>
      <c r="N465" s="506">
        <v>134982</v>
      </c>
      <c r="O465" s="594">
        <v>137824</v>
      </c>
      <c r="P465" s="479">
        <f t="shared" si="229"/>
        <v>270723</v>
      </c>
      <c r="Q465" s="480">
        <f t="shared" si="230"/>
        <v>9024.1</v>
      </c>
      <c r="R465" s="481">
        <f t="shared" si="231"/>
        <v>273568</v>
      </c>
      <c r="S465" s="482">
        <f t="shared" si="232"/>
        <v>9118.9333333333325</v>
      </c>
      <c r="T465" s="534">
        <v>714</v>
      </c>
      <c r="U465" s="594">
        <v>447</v>
      </c>
      <c r="V465" s="479">
        <f t="shared" si="233"/>
        <v>270723</v>
      </c>
      <c r="W465" s="478">
        <f t="shared" si="234"/>
        <v>273568</v>
      </c>
      <c r="X465" s="506"/>
      <c r="Y465" s="595"/>
      <c r="Z465" s="506"/>
      <c r="AA465" s="595"/>
      <c r="AB465" s="506"/>
      <c r="AC465" s="595"/>
      <c r="AD465" s="506"/>
      <c r="AE465" s="595"/>
      <c r="AF465" s="479">
        <f t="shared" si="235"/>
        <v>0</v>
      </c>
      <c r="AG465" s="480">
        <f t="shared" si="236"/>
        <v>0</v>
      </c>
      <c r="AH465" s="481">
        <f t="shared" si="237"/>
        <v>0</v>
      </c>
      <c r="AI465" s="481">
        <f t="shared" si="238"/>
        <v>0</v>
      </c>
      <c r="AJ465" s="487"/>
      <c r="AK465" s="595"/>
      <c r="AL465" s="479">
        <f t="shared" si="239"/>
        <v>0</v>
      </c>
      <c r="AM465" s="482">
        <f t="shared" si="240"/>
        <v>0</v>
      </c>
      <c r="AN465" s="487"/>
      <c r="AO465" s="595"/>
      <c r="AP465" s="487">
        <v>7082</v>
      </c>
      <c r="AQ465" s="595">
        <v>6953</v>
      </c>
      <c r="AR465" s="487">
        <v>3227</v>
      </c>
      <c r="AS465" s="595">
        <v>3493</v>
      </c>
      <c r="AT465" s="487">
        <v>7650</v>
      </c>
      <c r="AU465" s="595">
        <v>7307</v>
      </c>
      <c r="AV465" s="479">
        <f t="shared" si="241"/>
        <v>17959</v>
      </c>
      <c r="AW465" s="483">
        <f t="shared" si="242"/>
        <v>748.29166666666663</v>
      </c>
      <c r="AX465" s="481">
        <f t="shared" si="243"/>
        <v>17753</v>
      </c>
      <c r="AY465" s="484">
        <f t="shared" si="244"/>
        <v>739.70833333333337</v>
      </c>
      <c r="AZ465" s="485">
        <f t="shared" si="245"/>
        <v>9772.3916666666664</v>
      </c>
      <c r="BA465" s="481">
        <f t="shared" si="246"/>
        <v>9858.6416666666664</v>
      </c>
    </row>
    <row r="466" spans="1:53">
      <c r="A466" s="589" t="s">
        <v>276</v>
      </c>
      <c r="B466" s="590" t="s">
        <v>458</v>
      </c>
      <c r="C466" s="591"/>
      <c r="D466" s="592">
        <v>221740</v>
      </c>
      <c r="E466" s="593">
        <v>3</v>
      </c>
      <c r="F466" s="486" t="s">
        <v>41</v>
      </c>
      <c r="G466" s="529"/>
      <c r="H466" s="506"/>
      <c r="I466" s="488"/>
      <c r="J466" s="506">
        <v>121325</v>
      </c>
      <c r="K466" s="594">
        <v>121894</v>
      </c>
      <c r="L466" s="506">
        <v>17136</v>
      </c>
      <c r="M466" s="594">
        <v>18222</v>
      </c>
      <c r="N466" s="506">
        <v>134842</v>
      </c>
      <c r="O466" s="594">
        <v>139703</v>
      </c>
      <c r="P466" s="479">
        <f t="shared" si="229"/>
        <v>273303</v>
      </c>
      <c r="Q466" s="480">
        <f t="shared" si="230"/>
        <v>9110.1</v>
      </c>
      <c r="R466" s="481">
        <f t="shared" si="231"/>
        <v>279819</v>
      </c>
      <c r="S466" s="482">
        <f t="shared" si="232"/>
        <v>9327.2999999999993</v>
      </c>
      <c r="T466" s="534">
        <v>264</v>
      </c>
      <c r="U466" s="594">
        <v>171</v>
      </c>
      <c r="V466" s="479">
        <f t="shared" si="233"/>
        <v>273303</v>
      </c>
      <c r="W466" s="478">
        <f t="shared" si="234"/>
        <v>279819</v>
      </c>
      <c r="X466" s="506"/>
      <c r="Y466" s="595"/>
      <c r="Z466" s="506"/>
      <c r="AA466" s="595"/>
      <c r="AB466" s="506"/>
      <c r="AC466" s="595"/>
      <c r="AD466" s="506"/>
      <c r="AE466" s="595"/>
      <c r="AF466" s="479">
        <f t="shared" si="235"/>
        <v>0</v>
      </c>
      <c r="AG466" s="480">
        <f t="shared" si="236"/>
        <v>0</v>
      </c>
      <c r="AH466" s="481">
        <f t="shared" si="237"/>
        <v>0</v>
      </c>
      <c r="AI466" s="481">
        <f t="shared" si="238"/>
        <v>0</v>
      </c>
      <c r="AJ466" s="487"/>
      <c r="AK466" s="595"/>
      <c r="AL466" s="479">
        <f t="shared" si="239"/>
        <v>0</v>
      </c>
      <c r="AM466" s="482">
        <f t="shared" si="240"/>
        <v>0</v>
      </c>
      <c r="AN466" s="487"/>
      <c r="AO466" s="595"/>
      <c r="AP466" s="487">
        <v>10976</v>
      </c>
      <c r="AQ466" s="595">
        <v>10638</v>
      </c>
      <c r="AR466" s="487">
        <v>5913</v>
      </c>
      <c r="AS466" s="595">
        <v>5672</v>
      </c>
      <c r="AT466" s="487">
        <v>11534</v>
      </c>
      <c r="AU466" s="595">
        <v>10732</v>
      </c>
      <c r="AV466" s="479">
        <f t="shared" si="241"/>
        <v>28423</v>
      </c>
      <c r="AW466" s="483">
        <f t="shared" si="242"/>
        <v>1184.2916666666667</v>
      </c>
      <c r="AX466" s="481">
        <f t="shared" si="243"/>
        <v>27042</v>
      </c>
      <c r="AY466" s="484">
        <f t="shared" si="244"/>
        <v>1126.75</v>
      </c>
      <c r="AZ466" s="485">
        <f t="shared" si="245"/>
        <v>10294.391666666666</v>
      </c>
      <c r="BA466" s="481">
        <f t="shared" si="246"/>
        <v>10454.049999999999</v>
      </c>
    </row>
    <row r="467" spans="1:53">
      <c r="A467" s="589" t="s">
        <v>276</v>
      </c>
      <c r="B467" s="590" t="s">
        <v>459</v>
      </c>
      <c r="C467" s="591"/>
      <c r="D467" s="592">
        <v>221768</v>
      </c>
      <c r="E467" s="593">
        <v>5</v>
      </c>
      <c r="F467" s="486" t="s">
        <v>41</v>
      </c>
      <c r="G467" s="529"/>
      <c r="H467" s="506"/>
      <c r="I467" s="488"/>
      <c r="J467" s="506">
        <v>91482</v>
      </c>
      <c r="K467" s="594">
        <v>90776</v>
      </c>
      <c r="L467" s="506">
        <v>12872</v>
      </c>
      <c r="M467" s="594">
        <v>11770</v>
      </c>
      <c r="N467" s="506">
        <v>98320</v>
      </c>
      <c r="O467" s="594">
        <v>95352</v>
      </c>
      <c r="P467" s="479">
        <f t="shared" si="229"/>
        <v>202674</v>
      </c>
      <c r="Q467" s="480">
        <f t="shared" si="230"/>
        <v>6755.8</v>
      </c>
      <c r="R467" s="481">
        <f t="shared" si="231"/>
        <v>197898</v>
      </c>
      <c r="S467" s="482">
        <f t="shared" si="232"/>
        <v>6596.6</v>
      </c>
      <c r="T467" s="534">
        <v>4402</v>
      </c>
      <c r="U467" s="594">
        <v>3525</v>
      </c>
      <c r="V467" s="479">
        <f t="shared" si="233"/>
        <v>202674</v>
      </c>
      <c r="W467" s="478">
        <f t="shared" si="234"/>
        <v>197898</v>
      </c>
      <c r="X467" s="506"/>
      <c r="Y467" s="595"/>
      <c r="Z467" s="506"/>
      <c r="AA467" s="595"/>
      <c r="AB467" s="506"/>
      <c r="AC467" s="595"/>
      <c r="AD467" s="506"/>
      <c r="AE467" s="595"/>
      <c r="AF467" s="479">
        <f t="shared" si="235"/>
        <v>0</v>
      </c>
      <c r="AG467" s="480">
        <f t="shared" si="236"/>
        <v>0</v>
      </c>
      <c r="AH467" s="481">
        <f t="shared" si="237"/>
        <v>0</v>
      </c>
      <c r="AI467" s="481">
        <f t="shared" si="238"/>
        <v>0</v>
      </c>
      <c r="AJ467" s="487"/>
      <c r="AK467" s="595"/>
      <c r="AL467" s="479">
        <f t="shared" si="239"/>
        <v>0</v>
      </c>
      <c r="AM467" s="482">
        <f t="shared" si="240"/>
        <v>0</v>
      </c>
      <c r="AN467" s="487"/>
      <c r="AO467" s="595"/>
      <c r="AP467" s="487">
        <v>2579</v>
      </c>
      <c r="AQ467" s="595">
        <v>2603</v>
      </c>
      <c r="AR467" s="487">
        <v>1633</v>
      </c>
      <c r="AS467" s="595">
        <v>1842</v>
      </c>
      <c r="AT467" s="487">
        <v>2581</v>
      </c>
      <c r="AU467" s="595">
        <v>2377</v>
      </c>
      <c r="AV467" s="479">
        <f t="shared" si="241"/>
        <v>6793</v>
      </c>
      <c r="AW467" s="483">
        <f t="shared" si="242"/>
        <v>283.04166666666669</v>
      </c>
      <c r="AX467" s="481">
        <f t="shared" si="243"/>
        <v>6822</v>
      </c>
      <c r="AY467" s="484">
        <f t="shared" si="244"/>
        <v>284.25</v>
      </c>
      <c r="AZ467" s="485">
        <f t="shared" si="245"/>
        <v>7038.8416666666672</v>
      </c>
      <c r="BA467" s="481">
        <f t="shared" si="246"/>
        <v>6880.85</v>
      </c>
    </row>
    <row r="468" spans="1:53">
      <c r="A468" s="589" t="s">
        <v>276</v>
      </c>
      <c r="B468" s="590" t="s">
        <v>460</v>
      </c>
      <c r="C468" s="598"/>
      <c r="D468" s="599">
        <v>219824</v>
      </c>
      <c r="E468" s="600">
        <v>8</v>
      </c>
      <c r="F468" s="486" t="s">
        <v>41</v>
      </c>
      <c r="G468" s="529"/>
      <c r="H468" s="506"/>
      <c r="I468" s="488"/>
      <c r="J468" s="506">
        <v>90205</v>
      </c>
      <c r="K468" s="594">
        <v>88614</v>
      </c>
      <c r="L468" s="506">
        <v>19778</v>
      </c>
      <c r="M468" s="594">
        <v>16010</v>
      </c>
      <c r="N468" s="506">
        <v>98768</v>
      </c>
      <c r="O468" s="594">
        <v>95817</v>
      </c>
      <c r="P468" s="479">
        <f t="shared" si="229"/>
        <v>208751</v>
      </c>
      <c r="Q468" s="480">
        <f t="shared" si="230"/>
        <v>6958.3666666666668</v>
      </c>
      <c r="R468" s="481">
        <f t="shared" si="231"/>
        <v>200441</v>
      </c>
      <c r="S468" s="482">
        <f t="shared" si="232"/>
        <v>6681.3666666666668</v>
      </c>
      <c r="T468" s="506">
        <v>11548</v>
      </c>
      <c r="U468" s="594">
        <v>12819</v>
      </c>
      <c r="V468" s="479">
        <f t="shared" si="233"/>
        <v>208751</v>
      </c>
      <c r="W468" s="478">
        <f t="shared" si="234"/>
        <v>200441</v>
      </c>
      <c r="X468" s="506"/>
      <c r="Y468" s="595"/>
      <c r="Z468" s="506"/>
      <c r="AA468" s="595"/>
      <c r="AB468" s="506"/>
      <c r="AC468" s="595"/>
      <c r="AD468" s="506"/>
      <c r="AE468" s="595"/>
      <c r="AF468" s="479">
        <f t="shared" si="235"/>
        <v>0</v>
      </c>
      <c r="AG468" s="480">
        <f t="shared" si="236"/>
        <v>0</v>
      </c>
      <c r="AH468" s="481">
        <f t="shared" si="237"/>
        <v>0</v>
      </c>
      <c r="AI468" s="481">
        <f t="shared" si="238"/>
        <v>0</v>
      </c>
      <c r="AJ468" s="487"/>
      <c r="AK468" s="595"/>
      <c r="AL468" s="479">
        <f t="shared" si="239"/>
        <v>0</v>
      </c>
      <c r="AM468" s="482">
        <f t="shared" si="240"/>
        <v>0</v>
      </c>
      <c r="AN468" s="487"/>
      <c r="AO468" s="595"/>
      <c r="AP468" s="487"/>
      <c r="AQ468" s="595"/>
      <c r="AR468" s="487"/>
      <c r="AS468" s="595"/>
      <c r="AT468" s="487"/>
      <c r="AU468" s="595"/>
      <c r="AV468" s="479">
        <f t="shared" si="241"/>
        <v>0</v>
      </c>
      <c r="AW468" s="483">
        <f t="shared" si="242"/>
        <v>0</v>
      </c>
      <c r="AX468" s="481">
        <f t="shared" si="243"/>
        <v>0</v>
      </c>
      <c r="AY468" s="484">
        <f t="shared" si="244"/>
        <v>0</v>
      </c>
      <c r="AZ468" s="485">
        <f t="shared" si="245"/>
        <v>6958.3666666666668</v>
      </c>
      <c r="BA468" s="481">
        <f t="shared" si="246"/>
        <v>6681.3666666666668</v>
      </c>
    </row>
    <row r="469" spans="1:53">
      <c r="A469" s="589" t="s">
        <v>276</v>
      </c>
      <c r="B469" s="596" t="s">
        <v>461</v>
      </c>
      <c r="C469" s="597"/>
      <c r="D469" s="599">
        <v>221184</v>
      </c>
      <c r="E469" s="593">
        <v>8</v>
      </c>
      <c r="F469" s="486" t="s">
        <v>41</v>
      </c>
      <c r="G469" s="529"/>
      <c r="H469" s="506"/>
      <c r="I469" s="488"/>
      <c r="J469" s="506">
        <v>84144</v>
      </c>
      <c r="K469" s="594">
        <v>86171</v>
      </c>
      <c r="L469" s="506">
        <v>22096</v>
      </c>
      <c r="M469" s="594">
        <v>21381</v>
      </c>
      <c r="N469" s="506">
        <v>85216</v>
      </c>
      <c r="O469" s="594">
        <v>86943</v>
      </c>
      <c r="P469" s="479">
        <f t="shared" si="229"/>
        <v>191456</v>
      </c>
      <c r="Q469" s="480">
        <f t="shared" si="230"/>
        <v>6381.8666666666668</v>
      </c>
      <c r="R469" s="481">
        <f t="shared" si="231"/>
        <v>194495</v>
      </c>
      <c r="S469" s="482">
        <f t="shared" si="232"/>
        <v>6483.166666666667</v>
      </c>
      <c r="T469" s="506">
        <v>6760</v>
      </c>
      <c r="U469" s="594">
        <v>7625</v>
      </c>
      <c r="V469" s="479">
        <f t="shared" si="233"/>
        <v>191456</v>
      </c>
      <c r="W469" s="478">
        <f t="shared" si="234"/>
        <v>194495</v>
      </c>
      <c r="X469" s="506"/>
      <c r="Y469" s="595"/>
      <c r="Z469" s="506"/>
      <c r="AA469" s="595"/>
      <c r="AB469" s="506"/>
      <c r="AC469" s="595"/>
      <c r="AD469" s="506"/>
      <c r="AE469" s="595"/>
      <c r="AF469" s="479">
        <f t="shared" si="235"/>
        <v>0</v>
      </c>
      <c r="AG469" s="480">
        <f t="shared" si="236"/>
        <v>0</v>
      </c>
      <c r="AH469" s="481">
        <f t="shared" si="237"/>
        <v>0</v>
      </c>
      <c r="AI469" s="481">
        <f t="shared" si="238"/>
        <v>0</v>
      </c>
      <c r="AJ469" s="487"/>
      <c r="AK469" s="595"/>
      <c r="AL469" s="479">
        <f t="shared" si="239"/>
        <v>0</v>
      </c>
      <c r="AM469" s="482">
        <f t="shared" si="240"/>
        <v>0</v>
      </c>
      <c r="AN469" s="487"/>
      <c r="AO469" s="595"/>
      <c r="AP469" s="487"/>
      <c r="AQ469" s="595"/>
      <c r="AR469" s="487"/>
      <c r="AS469" s="595"/>
      <c r="AT469" s="487"/>
      <c r="AU469" s="595"/>
      <c r="AV469" s="479">
        <f t="shared" si="241"/>
        <v>0</v>
      </c>
      <c r="AW469" s="483">
        <f t="shared" si="242"/>
        <v>0</v>
      </c>
      <c r="AX469" s="481">
        <f t="shared" si="243"/>
        <v>0</v>
      </c>
      <c r="AY469" s="484">
        <f t="shared" si="244"/>
        <v>0</v>
      </c>
      <c r="AZ469" s="485">
        <f t="shared" si="245"/>
        <v>6381.8666666666668</v>
      </c>
      <c r="BA469" s="481">
        <f t="shared" si="246"/>
        <v>6483.166666666667</v>
      </c>
    </row>
    <row r="470" spans="1:53">
      <c r="A470" s="589" t="s">
        <v>276</v>
      </c>
      <c r="B470" s="590" t="s">
        <v>462</v>
      </c>
      <c r="C470" s="598"/>
      <c r="D470" s="599">
        <v>221643</v>
      </c>
      <c r="E470" s="600">
        <v>8</v>
      </c>
      <c r="F470" s="486" t="s">
        <v>41</v>
      </c>
      <c r="G470" s="529"/>
      <c r="H470" s="506"/>
      <c r="I470" s="488"/>
      <c r="J470" s="506">
        <v>98536</v>
      </c>
      <c r="K470" s="594">
        <v>97294</v>
      </c>
      <c r="L470" s="506">
        <v>20180</v>
      </c>
      <c r="M470" s="594">
        <v>20643</v>
      </c>
      <c r="N470" s="506">
        <v>105861</v>
      </c>
      <c r="O470" s="594">
        <v>104677</v>
      </c>
      <c r="P470" s="479">
        <f t="shared" si="229"/>
        <v>224577</v>
      </c>
      <c r="Q470" s="480">
        <f t="shared" si="230"/>
        <v>7485.9</v>
      </c>
      <c r="R470" s="481">
        <f t="shared" si="231"/>
        <v>222614</v>
      </c>
      <c r="S470" s="482">
        <f t="shared" si="232"/>
        <v>7420.4666666666662</v>
      </c>
      <c r="T470" s="506">
        <v>6888</v>
      </c>
      <c r="U470" s="594">
        <v>7784</v>
      </c>
      <c r="V470" s="479">
        <f t="shared" si="233"/>
        <v>224577</v>
      </c>
      <c r="W470" s="478">
        <f t="shared" si="234"/>
        <v>222614</v>
      </c>
      <c r="X470" s="506"/>
      <c r="Y470" s="595"/>
      <c r="Z470" s="506"/>
      <c r="AA470" s="595"/>
      <c r="AB470" s="506"/>
      <c r="AC470" s="595"/>
      <c r="AD470" s="506"/>
      <c r="AE470" s="595"/>
      <c r="AF470" s="479">
        <f t="shared" si="235"/>
        <v>0</v>
      </c>
      <c r="AG470" s="480">
        <f t="shared" si="236"/>
        <v>0</v>
      </c>
      <c r="AH470" s="481">
        <f t="shared" si="237"/>
        <v>0</v>
      </c>
      <c r="AI470" s="481">
        <f t="shared" si="238"/>
        <v>0</v>
      </c>
      <c r="AJ470" s="487"/>
      <c r="AK470" s="595"/>
      <c r="AL470" s="479">
        <f t="shared" si="239"/>
        <v>0</v>
      </c>
      <c r="AM470" s="482">
        <f t="shared" si="240"/>
        <v>0</v>
      </c>
      <c r="AN470" s="487"/>
      <c r="AO470" s="595"/>
      <c r="AP470" s="487"/>
      <c r="AQ470" s="595"/>
      <c r="AR470" s="487"/>
      <c r="AS470" s="595"/>
      <c r="AT470" s="487"/>
      <c r="AU470" s="595"/>
      <c r="AV470" s="479">
        <f t="shared" si="241"/>
        <v>0</v>
      </c>
      <c r="AW470" s="483">
        <f t="shared" si="242"/>
        <v>0</v>
      </c>
      <c r="AX470" s="481">
        <f t="shared" si="243"/>
        <v>0</v>
      </c>
      <c r="AY470" s="484">
        <f t="shared" si="244"/>
        <v>0</v>
      </c>
      <c r="AZ470" s="485">
        <f t="shared" si="245"/>
        <v>7485.9</v>
      </c>
      <c r="BA470" s="481">
        <f t="shared" si="246"/>
        <v>7420.4666666666662</v>
      </c>
    </row>
    <row r="471" spans="1:53">
      <c r="A471" s="589" t="s">
        <v>276</v>
      </c>
      <c r="B471" s="590" t="s">
        <v>463</v>
      </c>
      <c r="C471" s="598"/>
      <c r="D471" s="599">
        <v>221485</v>
      </c>
      <c r="E471" s="600">
        <v>8</v>
      </c>
      <c r="F471" s="486" t="s">
        <v>41</v>
      </c>
      <c r="G471" s="529"/>
      <c r="H471" s="506"/>
      <c r="I471" s="488"/>
      <c r="J471" s="506">
        <v>115229</v>
      </c>
      <c r="K471" s="594">
        <v>97122</v>
      </c>
      <c r="L471" s="506">
        <v>31469</v>
      </c>
      <c r="M471" s="594">
        <v>25741</v>
      </c>
      <c r="N471" s="506">
        <v>113328</v>
      </c>
      <c r="O471" s="594">
        <v>102019</v>
      </c>
      <c r="P471" s="479">
        <f t="shared" si="229"/>
        <v>260026</v>
      </c>
      <c r="Q471" s="480">
        <f t="shared" si="230"/>
        <v>8667.5333333333328</v>
      </c>
      <c r="R471" s="481">
        <f t="shared" si="231"/>
        <v>224882</v>
      </c>
      <c r="S471" s="482">
        <f t="shared" si="232"/>
        <v>7496.0666666666666</v>
      </c>
      <c r="T471" s="506">
        <v>1851</v>
      </c>
      <c r="U471" s="594">
        <v>2118</v>
      </c>
      <c r="V471" s="479">
        <f t="shared" si="233"/>
        <v>260026</v>
      </c>
      <c r="W471" s="478">
        <f t="shared" si="234"/>
        <v>224882</v>
      </c>
      <c r="X471" s="506"/>
      <c r="Y471" s="595"/>
      <c r="Z471" s="506"/>
      <c r="AA471" s="595"/>
      <c r="AB471" s="506"/>
      <c r="AC471" s="595"/>
      <c r="AD471" s="506"/>
      <c r="AE471" s="595"/>
      <c r="AF471" s="479">
        <f t="shared" si="235"/>
        <v>0</v>
      </c>
      <c r="AG471" s="480">
        <f t="shared" si="236"/>
        <v>0</v>
      </c>
      <c r="AH471" s="481">
        <f t="shared" si="237"/>
        <v>0</v>
      </c>
      <c r="AI471" s="481">
        <f t="shared" si="238"/>
        <v>0</v>
      </c>
      <c r="AJ471" s="487"/>
      <c r="AK471" s="595"/>
      <c r="AL471" s="479">
        <f t="shared" si="239"/>
        <v>0</v>
      </c>
      <c r="AM471" s="482">
        <f t="shared" si="240"/>
        <v>0</v>
      </c>
      <c r="AN471" s="487"/>
      <c r="AO471" s="595"/>
      <c r="AP471" s="487"/>
      <c r="AQ471" s="595"/>
      <c r="AR471" s="487"/>
      <c r="AS471" s="595"/>
      <c r="AT471" s="487"/>
      <c r="AU471" s="595"/>
      <c r="AV471" s="479">
        <f t="shared" si="241"/>
        <v>0</v>
      </c>
      <c r="AW471" s="483">
        <f t="shared" si="242"/>
        <v>0</v>
      </c>
      <c r="AX471" s="481">
        <f t="shared" si="243"/>
        <v>0</v>
      </c>
      <c r="AY471" s="484">
        <f t="shared" si="244"/>
        <v>0</v>
      </c>
      <c r="AZ471" s="485">
        <f t="shared" si="245"/>
        <v>8667.5333333333328</v>
      </c>
      <c r="BA471" s="481">
        <f t="shared" si="246"/>
        <v>7496.0666666666666</v>
      </c>
    </row>
    <row r="472" spans="1:53">
      <c r="A472" s="589" t="s">
        <v>276</v>
      </c>
      <c r="B472" s="596" t="s">
        <v>464</v>
      </c>
      <c r="C472" s="597"/>
      <c r="D472" s="599">
        <v>222053</v>
      </c>
      <c r="E472" s="593">
        <v>8</v>
      </c>
      <c r="F472" s="486" t="s">
        <v>41</v>
      </c>
      <c r="G472" s="529"/>
      <c r="H472" s="506"/>
      <c r="I472" s="488"/>
      <c r="J472" s="506">
        <v>72241</v>
      </c>
      <c r="K472" s="594">
        <v>68743</v>
      </c>
      <c r="L472" s="506">
        <v>16149</v>
      </c>
      <c r="M472" s="594">
        <v>17065</v>
      </c>
      <c r="N472" s="506">
        <v>76369</v>
      </c>
      <c r="O472" s="594">
        <v>74776</v>
      </c>
      <c r="P472" s="479">
        <f t="shared" si="229"/>
        <v>164759</v>
      </c>
      <c r="Q472" s="480">
        <f t="shared" si="230"/>
        <v>5491.9666666666662</v>
      </c>
      <c r="R472" s="481">
        <f t="shared" si="231"/>
        <v>160584</v>
      </c>
      <c r="S472" s="482">
        <f t="shared" si="232"/>
        <v>5352.8</v>
      </c>
      <c r="T472" s="506">
        <v>11351</v>
      </c>
      <c r="U472" s="594">
        <v>13372</v>
      </c>
      <c r="V472" s="479">
        <f t="shared" si="233"/>
        <v>164759</v>
      </c>
      <c r="W472" s="478">
        <f t="shared" si="234"/>
        <v>160584</v>
      </c>
      <c r="X472" s="506"/>
      <c r="Y472" s="595"/>
      <c r="Z472" s="506"/>
      <c r="AA472" s="595"/>
      <c r="AB472" s="506"/>
      <c r="AC472" s="595"/>
      <c r="AD472" s="506"/>
      <c r="AE472" s="595"/>
      <c r="AF472" s="479">
        <f t="shared" si="235"/>
        <v>0</v>
      </c>
      <c r="AG472" s="480">
        <f t="shared" si="236"/>
        <v>0</v>
      </c>
      <c r="AH472" s="481">
        <f t="shared" si="237"/>
        <v>0</v>
      </c>
      <c r="AI472" s="481">
        <f t="shared" si="238"/>
        <v>0</v>
      </c>
      <c r="AJ472" s="487"/>
      <c r="AK472" s="595"/>
      <c r="AL472" s="479">
        <f t="shared" si="239"/>
        <v>0</v>
      </c>
      <c r="AM472" s="482">
        <f t="shared" si="240"/>
        <v>0</v>
      </c>
      <c r="AN472" s="487"/>
      <c r="AO472" s="595"/>
      <c r="AP472" s="487"/>
      <c r="AQ472" s="595"/>
      <c r="AR472" s="487"/>
      <c r="AS472" s="595"/>
      <c r="AT472" s="487"/>
      <c r="AU472" s="595"/>
      <c r="AV472" s="479">
        <f t="shared" si="241"/>
        <v>0</v>
      </c>
      <c r="AW472" s="483">
        <f t="shared" si="242"/>
        <v>0</v>
      </c>
      <c r="AX472" s="481">
        <f t="shared" si="243"/>
        <v>0</v>
      </c>
      <c r="AY472" s="484">
        <f t="shared" si="244"/>
        <v>0</v>
      </c>
      <c r="AZ472" s="485">
        <f t="shared" si="245"/>
        <v>5491.9666666666662</v>
      </c>
      <c r="BA472" s="481">
        <f t="shared" si="246"/>
        <v>5352.8</v>
      </c>
    </row>
    <row r="473" spans="1:53">
      <c r="A473" s="589" t="s">
        <v>276</v>
      </c>
      <c r="B473" s="590" t="s">
        <v>465</v>
      </c>
      <c r="C473" s="598"/>
      <c r="D473" s="599">
        <v>219879</v>
      </c>
      <c r="E473" s="600">
        <v>9</v>
      </c>
      <c r="F473" s="486" t="s">
        <v>41</v>
      </c>
      <c r="G473" s="529"/>
      <c r="H473" s="506"/>
      <c r="I473" s="488"/>
      <c r="J473" s="506">
        <v>33841</v>
      </c>
      <c r="K473" s="594">
        <v>32737</v>
      </c>
      <c r="L473" s="506">
        <v>5742</v>
      </c>
      <c r="M473" s="594">
        <v>4943</v>
      </c>
      <c r="N473" s="506">
        <v>37234</v>
      </c>
      <c r="O473" s="594">
        <v>37307</v>
      </c>
      <c r="P473" s="479">
        <f t="shared" si="229"/>
        <v>76817</v>
      </c>
      <c r="Q473" s="480">
        <f t="shared" si="230"/>
        <v>2560.5666666666666</v>
      </c>
      <c r="R473" s="481">
        <f t="shared" si="231"/>
        <v>74987</v>
      </c>
      <c r="S473" s="482">
        <f t="shared" si="232"/>
        <v>2499.5666666666666</v>
      </c>
      <c r="T473" s="506">
        <v>3886</v>
      </c>
      <c r="U473" s="594">
        <v>4864</v>
      </c>
      <c r="V473" s="479">
        <f t="shared" si="233"/>
        <v>76817</v>
      </c>
      <c r="W473" s="478">
        <f t="shared" si="234"/>
        <v>74987</v>
      </c>
      <c r="X473" s="506"/>
      <c r="Y473" s="595"/>
      <c r="Z473" s="506"/>
      <c r="AA473" s="595"/>
      <c r="AB473" s="506"/>
      <c r="AC473" s="595"/>
      <c r="AD473" s="506"/>
      <c r="AE473" s="595"/>
      <c r="AF473" s="479">
        <f t="shared" si="235"/>
        <v>0</v>
      </c>
      <c r="AG473" s="480">
        <f t="shared" si="236"/>
        <v>0</v>
      </c>
      <c r="AH473" s="481">
        <f t="shared" si="237"/>
        <v>0</v>
      </c>
      <c r="AI473" s="481">
        <f t="shared" si="238"/>
        <v>0</v>
      </c>
      <c r="AJ473" s="487"/>
      <c r="AK473" s="595"/>
      <c r="AL473" s="479">
        <f t="shared" si="239"/>
        <v>0</v>
      </c>
      <c r="AM473" s="482">
        <f t="shared" si="240"/>
        <v>0</v>
      </c>
      <c r="AN473" s="487"/>
      <c r="AO473" s="595"/>
      <c r="AP473" s="487"/>
      <c r="AQ473" s="595"/>
      <c r="AR473" s="487"/>
      <c r="AS473" s="595"/>
      <c r="AT473" s="487"/>
      <c r="AU473" s="595"/>
      <c r="AV473" s="479">
        <f t="shared" si="241"/>
        <v>0</v>
      </c>
      <c r="AW473" s="483">
        <f t="shared" si="242"/>
        <v>0</v>
      </c>
      <c r="AX473" s="481">
        <f t="shared" si="243"/>
        <v>0</v>
      </c>
      <c r="AY473" s="484">
        <f t="shared" si="244"/>
        <v>0</v>
      </c>
      <c r="AZ473" s="485">
        <f t="shared" si="245"/>
        <v>2560.5666666666666</v>
      </c>
      <c r="BA473" s="481">
        <f t="shared" si="246"/>
        <v>2499.5666666666666</v>
      </c>
    </row>
    <row r="474" spans="1:53">
      <c r="A474" s="589" t="s">
        <v>276</v>
      </c>
      <c r="B474" s="590" t="s">
        <v>466</v>
      </c>
      <c r="C474" s="598"/>
      <c r="D474" s="599">
        <v>219888</v>
      </c>
      <c r="E474" s="600">
        <v>9</v>
      </c>
      <c r="F474" s="486" t="s">
        <v>41</v>
      </c>
      <c r="G474" s="529"/>
      <c r="H474" s="506"/>
      <c r="I474" s="488"/>
      <c r="J474" s="506">
        <v>46049</v>
      </c>
      <c r="K474" s="594">
        <v>44667</v>
      </c>
      <c r="L474" s="506">
        <v>9491</v>
      </c>
      <c r="M474" s="594">
        <v>9019</v>
      </c>
      <c r="N474" s="506">
        <v>50221</v>
      </c>
      <c r="O474" s="594">
        <v>50281</v>
      </c>
      <c r="P474" s="479">
        <f t="shared" si="229"/>
        <v>105761</v>
      </c>
      <c r="Q474" s="480">
        <f t="shared" si="230"/>
        <v>3525.3666666666668</v>
      </c>
      <c r="R474" s="481">
        <f t="shared" si="231"/>
        <v>103967</v>
      </c>
      <c r="S474" s="482">
        <f t="shared" si="232"/>
        <v>3465.5666666666666</v>
      </c>
      <c r="T474" s="506">
        <v>4890</v>
      </c>
      <c r="U474" s="594">
        <v>5833</v>
      </c>
      <c r="V474" s="479">
        <f t="shared" si="233"/>
        <v>105761</v>
      </c>
      <c r="W474" s="478">
        <f t="shared" si="234"/>
        <v>103967</v>
      </c>
      <c r="X474" s="506"/>
      <c r="Y474" s="595"/>
      <c r="Z474" s="506"/>
      <c r="AA474" s="595"/>
      <c r="AB474" s="506"/>
      <c r="AC474" s="595"/>
      <c r="AD474" s="506"/>
      <c r="AE474" s="595"/>
      <c r="AF474" s="479">
        <f t="shared" si="235"/>
        <v>0</v>
      </c>
      <c r="AG474" s="480">
        <f t="shared" si="236"/>
        <v>0</v>
      </c>
      <c r="AH474" s="481">
        <f t="shared" si="237"/>
        <v>0</v>
      </c>
      <c r="AI474" s="481">
        <f t="shared" si="238"/>
        <v>0</v>
      </c>
      <c r="AJ474" s="487"/>
      <c r="AK474" s="595"/>
      <c r="AL474" s="479">
        <f t="shared" si="239"/>
        <v>0</v>
      </c>
      <c r="AM474" s="482">
        <f t="shared" si="240"/>
        <v>0</v>
      </c>
      <c r="AN474" s="487"/>
      <c r="AO474" s="595"/>
      <c r="AP474" s="487"/>
      <c r="AQ474" s="595"/>
      <c r="AR474" s="487"/>
      <c r="AS474" s="595"/>
      <c r="AT474" s="487"/>
      <c r="AU474" s="595"/>
      <c r="AV474" s="479">
        <f t="shared" si="241"/>
        <v>0</v>
      </c>
      <c r="AW474" s="483">
        <f t="shared" si="242"/>
        <v>0</v>
      </c>
      <c r="AX474" s="481">
        <f t="shared" si="243"/>
        <v>0</v>
      </c>
      <c r="AY474" s="484">
        <f t="shared" si="244"/>
        <v>0</v>
      </c>
      <c r="AZ474" s="485">
        <f t="shared" si="245"/>
        <v>3525.3666666666668</v>
      </c>
      <c r="BA474" s="481">
        <f t="shared" si="246"/>
        <v>3465.5666666666666</v>
      </c>
    </row>
    <row r="475" spans="1:53">
      <c r="A475" s="589" t="s">
        <v>276</v>
      </c>
      <c r="B475" s="596" t="s">
        <v>467</v>
      </c>
      <c r="C475" s="597"/>
      <c r="D475" s="599">
        <v>220057</v>
      </c>
      <c r="E475" s="593">
        <v>9</v>
      </c>
      <c r="F475" s="486" t="s">
        <v>41</v>
      </c>
      <c r="G475" s="529"/>
      <c r="H475" s="506"/>
      <c r="I475" s="488"/>
      <c r="J475" s="506">
        <v>30823</v>
      </c>
      <c r="K475" s="594">
        <v>29026</v>
      </c>
      <c r="L475" s="506">
        <v>4226</v>
      </c>
      <c r="M475" s="594">
        <v>3383</v>
      </c>
      <c r="N475" s="506">
        <v>33257</v>
      </c>
      <c r="O475" s="594">
        <v>28775</v>
      </c>
      <c r="P475" s="479">
        <f t="shared" si="229"/>
        <v>68306</v>
      </c>
      <c r="Q475" s="480">
        <f t="shared" si="230"/>
        <v>2276.8666666666668</v>
      </c>
      <c r="R475" s="481">
        <f t="shared" si="231"/>
        <v>61184</v>
      </c>
      <c r="S475" s="482">
        <f t="shared" si="232"/>
        <v>2039.4666666666667</v>
      </c>
      <c r="T475" s="506">
        <v>6665</v>
      </c>
      <c r="U475" s="594">
        <v>6721</v>
      </c>
      <c r="V475" s="479">
        <f t="shared" si="233"/>
        <v>68306</v>
      </c>
      <c r="W475" s="478">
        <f t="shared" si="234"/>
        <v>61184</v>
      </c>
      <c r="X475" s="506"/>
      <c r="Y475" s="595"/>
      <c r="Z475" s="506"/>
      <c r="AA475" s="595"/>
      <c r="AB475" s="506"/>
      <c r="AC475" s="595"/>
      <c r="AD475" s="506"/>
      <c r="AE475" s="595"/>
      <c r="AF475" s="479">
        <f t="shared" si="235"/>
        <v>0</v>
      </c>
      <c r="AG475" s="480">
        <f t="shared" si="236"/>
        <v>0</v>
      </c>
      <c r="AH475" s="481">
        <f t="shared" si="237"/>
        <v>0</v>
      </c>
      <c r="AI475" s="481">
        <f t="shared" si="238"/>
        <v>0</v>
      </c>
      <c r="AJ475" s="487"/>
      <c r="AK475" s="595"/>
      <c r="AL475" s="479">
        <f t="shared" si="239"/>
        <v>0</v>
      </c>
      <c r="AM475" s="482">
        <f t="shared" si="240"/>
        <v>0</v>
      </c>
      <c r="AN475" s="487"/>
      <c r="AO475" s="595"/>
      <c r="AP475" s="487"/>
      <c r="AQ475" s="595"/>
      <c r="AR475" s="487"/>
      <c r="AS475" s="595"/>
      <c r="AT475" s="487"/>
      <c r="AU475" s="595"/>
      <c r="AV475" s="479">
        <f t="shared" si="241"/>
        <v>0</v>
      </c>
      <c r="AW475" s="483">
        <f t="shared" si="242"/>
        <v>0</v>
      </c>
      <c r="AX475" s="481">
        <f t="shared" si="243"/>
        <v>0</v>
      </c>
      <c r="AY475" s="484">
        <f t="shared" si="244"/>
        <v>0</v>
      </c>
      <c r="AZ475" s="485">
        <f t="shared" si="245"/>
        <v>2276.8666666666668</v>
      </c>
      <c r="BA475" s="481">
        <f t="shared" si="246"/>
        <v>2039.4666666666667</v>
      </c>
    </row>
    <row r="476" spans="1:53">
      <c r="A476" s="589" t="s">
        <v>276</v>
      </c>
      <c r="B476" s="590" t="s">
        <v>468</v>
      </c>
      <c r="C476" s="598"/>
      <c r="D476" s="599">
        <v>220400</v>
      </c>
      <c r="E476" s="600">
        <v>9</v>
      </c>
      <c r="F476" s="486" t="s">
        <v>41</v>
      </c>
      <c r="G476" s="529"/>
      <c r="H476" s="506"/>
      <c r="I476" s="488"/>
      <c r="J476" s="506">
        <v>42087</v>
      </c>
      <c r="K476" s="594">
        <v>38211</v>
      </c>
      <c r="L476" s="506">
        <v>8448</v>
      </c>
      <c r="M476" s="594">
        <v>7246</v>
      </c>
      <c r="N476" s="506">
        <v>42708</v>
      </c>
      <c r="O476" s="594">
        <v>40832</v>
      </c>
      <c r="P476" s="479">
        <f t="shared" si="229"/>
        <v>93243</v>
      </c>
      <c r="Q476" s="480">
        <f t="shared" si="230"/>
        <v>3108.1</v>
      </c>
      <c r="R476" s="481">
        <f t="shared" si="231"/>
        <v>86289</v>
      </c>
      <c r="S476" s="482">
        <f t="shared" si="232"/>
        <v>2876.3</v>
      </c>
      <c r="T476" s="506">
        <v>4424</v>
      </c>
      <c r="U476" s="594">
        <v>6735</v>
      </c>
      <c r="V476" s="479">
        <f t="shared" si="233"/>
        <v>93243</v>
      </c>
      <c r="W476" s="478">
        <f t="shared" si="234"/>
        <v>86289</v>
      </c>
      <c r="X476" s="506"/>
      <c r="Y476" s="595"/>
      <c r="Z476" s="506"/>
      <c r="AA476" s="595"/>
      <c r="AB476" s="506"/>
      <c r="AC476" s="595"/>
      <c r="AD476" s="506"/>
      <c r="AE476" s="595"/>
      <c r="AF476" s="479">
        <f t="shared" si="235"/>
        <v>0</v>
      </c>
      <c r="AG476" s="480">
        <f t="shared" si="236"/>
        <v>0</v>
      </c>
      <c r="AH476" s="481">
        <f t="shared" si="237"/>
        <v>0</v>
      </c>
      <c r="AI476" s="481">
        <f t="shared" si="238"/>
        <v>0</v>
      </c>
      <c r="AJ476" s="487"/>
      <c r="AK476" s="595"/>
      <c r="AL476" s="479">
        <f t="shared" si="239"/>
        <v>0</v>
      </c>
      <c r="AM476" s="482">
        <f t="shared" si="240"/>
        <v>0</v>
      </c>
      <c r="AN476" s="487"/>
      <c r="AO476" s="595"/>
      <c r="AP476" s="487"/>
      <c r="AQ476" s="595"/>
      <c r="AR476" s="487"/>
      <c r="AS476" s="595"/>
      <c r="AT476" s="487"/>
      <c r="AU476" s="595"/>
      <c r="AV476" s="479">
        <f t="shared" si="241"/>
        <v>0</v>
      </c>
      <c r="AW476" s="483">
        <f t="shared" si="242"/>
        <v>0</v>
      </c>
      <c r="AX476" s="481">
        <f t="shared" si="243"/>
        <v>0</v>
      </c>
      <c r="AY476" s="484">
        <f t="shared" si="244"/>
        <v>0</v>
      </c>
      <c r="AZ476" s="485">
        <f t="shared" si="245"/>
        <v>3108.1</v>
      </c>
      <c r="BA476" s="481">
        <f t="shared" si="246"/>
        <v>2876.3</v>
      </c>
    </row>
    <row r="477" spans="1:53">
      <c r="A477" s="589" t="s">
        <v>276</v>
      </c>
      <c r="B477" s="590" t="s">
        <v>469</v>
      </c>
      <c r="C477" s="598"/>
      <c r="D477" s="599">
        <v>221096</v>
      </c>
      <c r="E477" s="600">
        <v>9</v>
      </c>
      <c r="F477" s="486" t="s">
        <v>41</v>
      </c>
      <c r="G477" s="529"/>
      <c r="H477" s="506"/>
      <c r="I477" s="488"/>
      <c r="J477" s="506">
        <v>42418</v>
      </c>
      <c r="K477" s="594">
        <v>39296</v>
      </c>
      <c r="L477" s="506">
        <v>8091</v>
      </c>
      <c r="M477" s="594">
        <v>7820</v>
      </c>
      <c r="N477" s="506">
        <v>43877</v>
      </c>
      <c r="O477" s="594">
        <v>44753</v>
      </c>
      <c r="P477" s="479">
        <f t="shared" si="229"/>
        <v>94386</v>
      </c>
      <c r="Q477" s="480">
        <f t="shared" si="230"/>
        <v>3146.2</v>
      </c>
      <c r="R477" s="481">
        <f t="shared" si="231"/>
        <v>91869</v>
      </c>
      <c r="S477" s="482">
        <f t="shared" si="232"/>
        <v>3062.3</v>
      </c>
      <c r="T477" s="506">
        <v>5608</v>
      </c>
      <c r="U477" s="594">
        <v>7172</v>
      </c>
      <c r="V477" s="479">
        <f t="shared" si="233"/>
        <v>94386</v>
      </c>
      <c r="W477" s="478">
        <f t="shared" si="234"/>
        <v>91869</v>
      </c>
      <c r="X477" s="506"/>
      <c r="Y477" s="595"/>
      <c r="Z477" s="506"/>
      <c r="AA477" s="595"/>
      <c r="AB477" s="506"/>
      <c r="AC477" s="595"/>
      <c r="AD477" s="506"/>
      <c r="AE477" s="595"/>
      <c r="AF477" s="479">
        <f t="shared" si="235"/>
        <v>0</v>
      </c>
      <c r="AG477" s="480">
        <f t="shared" si="236"/>
        <v>0</v>
      </c>
      <c r="AH477" s="481">
        <f t="shared" si="237"/>
        <v>0</v>
      </c>
      <c r="AI477" s="481">
        <f t="shared" si="238"/>
        <v>0</v>
      </c>
      <c r="AJ477" s="487"/>
      <c r="AK477" s="595"/>
      <c r="AL477" s="479">
        <f t="shared" si="239"/>
        <v>0</v>
      </c>
      <c r="AM477" s="482">
        <f t="shared" si="240"/>
        <v>0</v>
      </c>
      <c r="AN477" s="487"/>
      <c r="AO477" s="595"/>
      <c r="AP477" s="487"/>
      <c r="AQ477" s="595"/>
      <c r="AR477" s="487"/>
      <c r="AS477" s="595"/>
      <c r="AT477" s="487"/>
      <c r="AU477" s="595"/>
      <c r="AV477" s="479">
        <f t="shared" si="241"/>
        <v>0</v>
      </c>
      <c r="AW477" s="483">
        <f t="shared" si="242"/>
        <v>0</v>
      </c>
      <c r="AX477" s="481">
        <f t="shared" si="243"/>
        <v>0</v>
      </c>
      <c r="AY477" s="484">
        <f t="shared" si="244"/>
        <v>0</v>
      </c>
      <c r="AZ477" s="485">
        <f t="shared" si="245"/>
        <v>3146.2</v>
      </c>
      <c r="BA477" s="481">
        <f t="shared" si="246"/>
        <v>3062.3</v>
      </c>
    </row>
    <row r="478" spans="1:53">
      <c r="A478" s="589" t="s">
        <v>276</v>
      </c>
      <c r="B478" s="590" t="s">
        <v>470</v>
      </c>
      <c r="C478" s="598"/>
      <c r="D478" s="599">
        <v>221908</v>
      </c>
      <c r="E478" s="600">
        <v>9</v>
      </c>
      <c r="F478" s="486" t="s">
        <v>41</v>
      </c>
      <c r="G478" s="529"/>
      <c r="H478" s="506"/>
      <c r="I478" s="488"/>
      <c r="J478" s="506">
        <v>60770</v>
      </c>
      <c r="K478" s="594">
        <v>58655</v>
      </c>
      <c r="L478" s="506">
        <v>11624</v>
      </c>
      <c r="M478" s="594">
        <v>10389</v>
      </c>
      <c r="N478" s="506">
        <v>64335</v>
      </c>
      <c r="O478" s="594">
        <v>58678</v>
      </c>
      <c r="P478" s="479">
        <f t="shared" si="229"/>
        <v>136729</v>
      </c>
      <c r="Q478" s="480">
        <f t="shared" si="230"/>
        <v>4557.6333333333332</v>
      </c>
      <c r="R478" s="481">
        <f t="shared" si="231"/>
        <v>127722</v>
      </c>
      <c r="S478" s="482">
        <f t="shared" si="232"/>
        <v>4257.3999999999996</v>
      </c>
      <c r="T478" s="506">
        <v>5712</v>
      </c>
      <c r="U478" s="594">
        <v>6361</v>
      </c>
      <c r="V478" s="479">
        <f t="shared" si="233"/>
        <v>136729</v>
      </c>
      <c r="W478" s="478">
        <f t="shared" si="234"/>
        <v>127722</v>
      </c>
      <c r="X478" s="506"/>
      <c r="Y478" s="595"/>
      <c r="Z478" s="506"/>
      <c r="AA478" s="595"/>
      <c r="AB478" s="506"/>
      <c r="AC478" s="595"/>
      <c r="AD478" s="506"/>
      <c r="AE478" s="595"/>
      <c r="AF478" s="479">
        <f t="shared" si="235"/>
        <v>0</v>
      </c>
      <c r="AG478" s="480">
        <f t="shared" si="236"/>
        <v>0</v>
      </c>
      <c r="AH478" s="481">
        <f t="shared" si="237"/>
        <v>0</v>
      </c>
      <c r="AI478" s="481">
        <f t="shared" si="238"/>
        <v>0</v>
      </c>
      <c r="AJ478" s="487"/>
      <c r="AK478" s="595"/>
      <c r="AL478" s="479">
        <f t="shared" si="239"/>
        <v>0</v>
      </c>
      <c r="AM478" s="482">
        <f t="shared" si="240"/>
        <v>0</v>
      </c>
      <c r="AN478" s="487"/>
      <c r="AO478" s="595"/>
      <c r="AP478" s="487"/>
      <c r="AQ478" s="595"/>
      <c r="AR478" s="487"/>
      <c r="AS478" s="595"/>
      <c r="AT478" s="487"/>
      <c r="AU478" s="595"/>
      <c r="AV478" s="479">
        <f t="shared" si="241"/>
        <v>0</v>
      </c>
      <c r="AW478" s="483">
        <f t="shared" si="242"/>
        <v>0</v>
      </c>
      <c r="AX478" s="481">
        <f t="shared" si="243"/>
        <v>0</v>
      </c>
      <c r="AY478" s="484">
        <f t="shared" si="244"/>
        <v>0</v>
      </c>
      <c r="AZ478" s="485">
        <f t="shared" si="245"/>
        <v>4557.6333333333332</v>
      </c>
      <c r="BA478" s="481">
        <f t="shared" si="246"/>
        <v>4257.3999999999996</v>
      </c>
    </row>
    <row r="479" spans="1:53">
      <c r="A479" s="601" t="s">
        <v>276</v>
      </c>
      <c r="B479" s="590" t="s">
        <v>471</v>
      </c>
      <c r="C479" s="598"/>
      <c r="D479" s="599">
        <v>221397</v>
      </c>
      <c r="E479" s="600">
        <v>9</v>
      </c>
      <c r="F479" s="486" t="s">
        <v>41</v>
      </c>
      <c r="G479" s="529"/>
      <c r="H479" s="506"/>
      <c r="I479" s="488"/>
      <c r="J479" s="506">
        <v>59056</v>
      </c>
      <c r="K479" s="594">
        <v>56609</v>
      </c>
      <c r="L479" s="506">
        <v>9156</v>
      </c>
      <c r="M479" s="594">
        <v>8738</v>
      </c>
      <c r="N479" s="506">
        <v>62292</v>
      </c>
      <c r="O479" s="594">
        <v>59465</v>
      </c>
      <c r="P479" s="479">
        <f t="shared" si="229"/>
        <v>130504</v>
      </c>
      <c r="Q479" s="480">
        <f t="shared" si="230"/>
        <v>4350.1333333333332</v>
      </c>
      <c r="R479" s="481">
        <f t="shared" si="231"/>
        <v>124812</v>
      </c>
      <c r="S479" s="482">
        <f t="shared" si="232"/>
        <v>4160.3999999999996</v>
      </c>
      <c r="T479" s="506">
        <v>8830</v>
      </c>
      <c r="U479" s="594">
        <v>9785</v>
      </c>
      <c r="V479" s="479">
        <f t="shared" si="233"/>
        <v>130504</v>
      </c>
      <c r="W479" s="478">
        <f t="shared" si="234"/>
        <v>124812</v>
      </c>
      <c r="X479" s="506"/>
      <c r="Y479" s="595"/>
      <c r="Z479" s="506"/>
      <c r="AA479" s="595"/>
      <c r="AB479" s="506"/>
      <c r="AC479" s="595"/>
      <c r="AD479" s="506"/>
      <c r="AE479" s="595"/>
      <c r="AF479" s="479">
        <f t="shared" si="235"/>
        <v>0</v>
      </c>
      <c r="AG479" s="480">
        <f t="shared" si="236"/>
        <v>0</v>
      </c>
      <c r="AH479" s="481">
        <f t="shared" si="237"/>
        <v>0</v>
      </c>
      <c r="AI479" s="481">
        <f t="shared" si="238"/>
        <v>0</v>
      </c>
      <c r="AJ479" s="487"/>
      <c r="AK479" s="595"/>
      <c r="AL479" s="479">
        <f t="shared" si="239"/>
        <v>0</v>
      </c>
      <c r="AM479" s="482">
        <f t="shared" si="240"/>
        <v>0</v>
      </c>
      <c r="AN479" s="487"/>
      <c r="AO479" s="595"/>
      <c r="AP479" s="487"/>
      <c r="AQ479" s="595"/>
      <c r="AR479" s="487"/>
      <c r="AS479" s="595"/>
      <c r="AT479" s="487"/>
      <c r="AU479" s="595"/>
      <c r="AV479" s="479">
        <f t="shared" si="241"/>
        <v>0</v>
      </c>
      <c r="AW479" s="483">
        <f t="shared" si="242"/>
        <v>0</v>
      </c>
      <c r="AX479" s="481">
        <f t="shared" si="243"/>
        <v>0</v>
      </c>
      <c r="AY479" s="484">
        <f t="shared" si="244"/>
        <v>0</v>
      </c>
      <c r="AZ479" s="485">
        <f t="shared" si="245"/>
        <v>4350.1333333333332</v>
      </c>
      <c r="BA479" s="481">
        <f t="shared" si="246"/>
        <v>4160.3999999999996</v>
      </c>
    </row>
    <row r="480" spans="1:53">
      <c r="A480" s="601" t="s">
        <v>276</v>
      </c>
      <c r="B480" s="590" t="s">
        <v>472</v>
      </c>
      <c r="C480" s="591"/>
      <c r="D480" s="599">
        <v>222062</v>
      </c>
      <c r="E480" s="600">
        <v>9</v>
      </c>
      <c r="F480" s="486" t="s">
        <v>41</v>
      </c>
      <c r="G480" s="529"/>
      <c r="H480" s="506"/>
      <c r="I480" s="488"/>
      <c r="J480" s="506">
        <v>60228</v>
      </c>
      <c r="K480" s="594">
        <v>57762</v>
      </c>
      <c r="L480" s="506">
        <v>7839</v>
      </c>
      <c r="M480" s="594">
        <v>7919</v>
      </c>
      <c r="N480" s="506">
        <v>66380</v>
      </c>
      <c r="O480" s="594">
        <v>61549</v>
      </c>
      <c r="P480" s="479">
        <f t="shared" si="229"/>
        <v>134447</v>
      </c>
      <c r="Q480" s="480">
        <f t="shared" si="230"/>
        <v>4481.5666666666666</v>
      </c>
      <c r="R480" s="481">
        <f t="shared" si="231"/>
        <v>127230</v>
      </c>
      <c r="S480" s="482">
        <f t="shared" si="232"/>
        <v>4241</v>
      </c>
      <c r="T480" s="506">
        <v>9115</v>
      </c>
      <c r="U480" s="594">
        <v>10939</v>
      </c>
      <c r="V480" s="479">
        <f t="shared" si="233"/>
        <v>134447</v>
      </c>
      <c r="W480" s="478">
        <f t="shared" si="234"/>
        <v>127230</v>
      </c>
      <c r="X480" s="506"/>
      <c r="Y480" s="595"/>
      <c r="Z480" s="506"/>
      <c r="AA480" s="595"/>
      <c r="AB480" s="506"/>
      <c r="AC480" s="595"/>
      <c r="AD480" s="506"/>
      <c r="AE480" s="595"/>
      <c r="AF480" s="479">
        <f t="shared" si="235"/>
        <v>0</v>
      </c>
      <c r="AG480" s="480">
        <f t="shared" si="236"/>
        <v>0</v>
      </c>
      <c r="AH480" s="481">
        <f t="shared" si="237"/>
        <v>0</v>
      </c>
      <c r="AI480" s="481">
        <f t="shared" si="238"/>
        <v>0</v>
      </c>
      <c r="AJ480" s="487"/>
      <c r="AK480" s="595"/>
      <c r="AL480" s="479">
        <f t="shared" si="239"/>
        <v>0</v>
      </c>
      <c r="AM480" s="482">
        <f t="shared" si="240"/>
        <v>0</v>
      </c>
      <c r="AN480" s="487"/>
      <c r="AO480" s="595"/>
      <c r="AP480" s="487"/>
      <c r="AQ480" s="595"/>
      <c r="AR480" s="487"/>
      <c r="AS480" s="595"/>
      <c r="AT480" s="487"/>
      <c r="AU480" s="595"/>
      <c r="AV480" s="479">
        <f t="shared" si="241"/>
        <v>0</v>
      </c>
      <c r="AW480" s="483">
        <f t="shared" si="242"/>
        <v>0</v>
      </c>
      <c r="AX480" s="481">
        <f t="shared" si="243"/>
        <v>0</v>
      </c>
      <c r="AY480" s="484">
        <f t="shared" si="244"/>
        <v>0</v>
      </c>
      <c r="AZ480" s="485">
        <f t="shared" si="245"/>
        <v>4481.5666666666666</v>
      </c>
      <c r="BA480" s="481">
        <f t="shared" si="246"/>
        <v>4241</v>
      </c>
    </row>
    <row r="481" spans="1:53">
      <c r="A481" s="601" t="s">
        <v>276</v>
      </c>
      <c r="B481" s="596" t="s">
        <v>817</v>
      </c>
      <c r="C481" s="597"/>
      <c r="D481" s="599" t="s">
        <v>473</v>
      </c>
      <c r="E481" s="660">
        <v>12</v>
      </c>
      <c r="F481" s="486" t="s">
        <v>41</v>
      </c>
      <c r="G481" s="529"/>
      <c r="H481" s="506"/>
      <c r="I481" s="488"/>
      <c r="J481" s="506"/>
      <c r="K481" s="602"/>
      <c r="L481" s="506"/>
      <c r="M481" s="602"/>
      <c r="N481" s="506"/>
      <c r="O481" s="602"/>
      <c r="P481" s="479">
        <f t="shared" si="229"/>
        <v>0</v>
      </c>
      <c r="Q481" s="480">
        <f t="shared" si="230"/>
        <v>0</v>
      </c>
      <c r="R481" s="481">
        <f t="shared" si="231"/>
        <v>0</v>
      </c>
      <c r="S481" s="482">
        <f t="shared" si="232"/>
        <v>0</v>
      </c>
      <c r="T481" s="506"/>
      <c r="U481" s="602"/>
      <c r="V481" s="479">
        <f t="shared" si="233"/>
        <v>0</v>
      </c>
      <c r="W481" s="478">
        <f t="shared" si="234"/>
        <v>0</v>
      </c>
      <c r="X481" s="506"/>
      <c r="Y481" s="603"/>
      <c r="Z481" s="506">
        <v>364757</v>
      </c>
      <c r="AA481" s="603">
        <v>367836</v>
      </c>
      <c r="AB481" s="506">
        <v>219520</v>
      </c>
      <c r="AC481" s="603">
        <v>244108</v>
      </c>
      <c r="AD481" s="604">
        <v>353100</v>
      </c>
      <c r="AE481" s="603">
        <v>365935</v>
      </c>
      <c r="AF481" s="479">
        <f t="shared" si="235"/>
        <v>937377</v>
      </c>
      <c r="AG481" s="480">
        <f t="shared" si="236"/>
        <v>1041.53</v>
      </c>
      <c r="AH481" s="481">
        <f t="shared" si="237"/>
        <v>977879</v>
      </c>
      <c r="AI481" s="481">
        <f t="shared" si="238"/>
        <v>1086.5322222222221</v>
      </c>
      <c r="AJ481" s="487"/>
      <c r="AK481" s="603"/>
      <c r="AL481" s="479">
        <f t="shared" si="239"/>
        <v>0</v>
      </c>
      <c r="AM481" s="482">
        <f t="shared" si="240"/>
        <v>0</v>
      </c>
      <c r="AN481" s="487"/>
      <c r="AO481" s="603"/>
      <c r="AP481" s="487"/>
      <c r="AQ481" s="603"/>
      <c r="AR481" s="487"/>
      <c r="AS481" s="603"/>
      <c r="AT481" s="487"/>
      <c r="AU481" s="603"/>
      <c r="AV481" s="479">
        <f t="shared" si="241"/>
        <v>0</v>
      </c>
      <c r="AW481" s="483">
        <f t="shared" si="242"/>
        <v>0</v>
      </c>
      <c r="AX481" s="481">
        <f t="shared" si="243"/>
        <v>0</v>
      </c>
      <c r="AY481" s="484">
        <f t="shared" si="244"/>
        <v>0</v>
      </c>
      <c r="AZ481" s="485">
        <f t="shared" si="245"/>
        <v>1041.53</v>
      </c>
      <c r="BA481" s="481">
        <f t="shared" si="246"/>
        <v>1086.5322222222221</v>
      </c>
    </row>
    <row r="482" spans="1:53">
      <c r="A482" s="601" t="s">
        <v>276</v>
      </c>
      <c r="B482" s="748" t="s">
        <v>818</v>
      </c>
      <c r="C482" s="598"/>
      <c r="D482" s="599">
        <v>219596</v>
      </c>
      <c r="E482" s="600">
        <v>13</v>
      </c>
      <c r="F482" s="486" t="s">
        <v>41</v>
      </c>
      <c r="G482" s="529"/>
      <c r="H482" s="506"/>
      <c r="I482" s="488"/>
      <c r="J482" s="506"/>
      <c r="K482" s="602"/>
      <c r="L482" s="506"/>
      <c r="M482" s="602"/>
      <c r="N482" s="506"/>
      <c r="O482" s="602"/>
      <c r="P482" s="479">
        <f t="shared" si="229"/>
        <v>0</v>
      </c>
      <c r="Q482" s="480">
        <f t="shared" si="230"/>
        <v>0</v>
      </c>
      <c r="R482" s="481">
        <f t="shared" si="231"/>
        <v>0</v>
      </c>
      <c r="S482" s="482">
        <f t="shared" si="232"/>
        <v>0</v>
      </c>
      <c r="T482" s="506"/>
      <c r="U482" s="602"/>
      <c r="V482" s="479">
        <f t="shared" si="233"/>
        <v>0</v>
      </c>
      <c r="W482" s="478">
        <f t="shared" si="234"/>
        <v>0</v>
      </c>
      <c r="X482" s="506"/>
      <c r="Y482" s="603"/>
      <c r="Z482" s="506">
        <v>72045</v>
      </c>
      <c r="AA482" s="603">
        <v>70012</v>
      </c>
      <c r="AB482" s="506">
        <v>73033</v>
      </c>
      <c r="AC482" s="603">
        <v>66624</v>
      </c>
      <c r="AD482" s="604">
        <v>66625</v>
      </c>
      <c r="AE482" s="603">
        <v>80929</v>
      </c>
      <c r="AF482" s="479">
        <f t="shared" si="235"/>
        <v>211703</v>
      </c>
      <c r="AG482" s="480">
        <f t="shared" si="236"/>
        <v>235.22555555555556</v>
      </c>
      <c r="AH482" s="481">
        <f t="shared" si="237"/>
        <v>217565</v>
      </c>
      <c r="AI482" s="481">
        <f t="shared" si="238"/>
        <v>241.73888888888888</v>
      </c>
      <c r="AJ482" s="487"/>
      <c r="AK482" s="603"/>
      <c r="AL482" s="479">
        <f t="shared" si="239"/>
        <v>0</v>
      </c>
      <c r="AM482" s="482">
        <f t="shared" si="240"/>
        <v>0</v>
      </c>
      <c r="AN482" s="487"/>
      <c r="AO482" s="603"/>
      <c r="AP482" s="487"/>
      <c r="AQ482" s="603"/>
      <c r="AR482" s="487"/>
      <c r="AS482" s="603"/>
      <c r="AT482" s="487"/>
      <c r="AU482" s="603"/>
      <c r="AV482" s="479">
        <f t="shared" si="241"/>
        <v>0</v>
      </c>
      <c r="AW482" s="483">
        <f t="shared" si="242"/>
        <v>0</v>
      </c>
      <c r="AX482" s="481">
        <f t="shared" si="243"/>
        <v>0</v>
      </c>
      <c r="AY482" s="484">
        <f t="shared" si="244"/>
        <v>0</v>
      </c>
      <c r="AZ482" s="485">
        <f t="shared" si="245"/>
        <v>235.22555555555556</v>
      </c>
      <c r="BA482" s="481">
        <f t="shared" si="246"/>
        <v>241.73888888888888</v>
      </c>
    </row>
    <row r="483" spans="1:53">
      <c r="A483" s="601" t="s">
        <v>276</v>
      </c>
      <c r="B483" s="748" t="s">
        <v>819</v>
      </c>
      <c r="C483" s="598"/>
      <c r="D483" s="599">
        <v>219921</v>
      </c>
      <c r="E483" s="600">
        <v>13</v>
      </c>
      <c r="F483" s="486" t="s">
        <v>41</v>
      </c>
      <c r="G483" s="529"/>
      <c r="H483" s="506"/>
      <c r="I483" s="488"/>
      <c r="J483" s="506"/>
      <c r="K483" s="602"/>
      <c r="L483" s="506"/>
      <c r="M483" s="602"/>
      <c r="N483" s="506"/>
      <c r="O483" s="602"/>
      <c r="P483" s="479">
        <f t="shared" si="229"/>
        <v>0</v>
      </c>
      <c r="Q483" s="480">
        <f t="shared" si="230"/>
        <v>0</v>
      </c>
      <c r="R483" s="481">
        <f t="shared" si="231"/>
        <v>0</v>
      </c>
      <c r="S483" s="482">
        <f t="shared" si="232"/>
        <v>0</v>
      </c>
      <c r="T483" s="506"/>
      <c r="U483" s="602"/>
      <c r="V483" s="479">
        <f t="shared" si="233"/>
        <v>0</v>
      </c>
      <c r="W483" s="478">
        <f t="shared" si="234"/>
        <v>0</v>
      </c>
      <c r="X483" s="506"/>
      <c r="Y483" s="603"/>
      <c r="Z483" s="506">
        <v>59532</v>
      </c>
      <c r="AA483" s="603">
        <v>58842</v>
      </c>
      <c r="AB483" s="506">
        <v>45039</v>
      </c>
      <c r="AC483" s="603">
        <v>50022</v>
      </c>
      <c r="AD483" s="604">
        <v>60013</v>
      </c>
      <c r="AE483" s="603">
        <v>55909</v>
      </c>
      <c r="AF483" s="479">
        <f t="shared" si="235"/>
        <v>164584</v>
      </c>
      <c r="AG483" s="480">
        <f t="shared" si="236"/>
        <v>182.87111111111111</v>
      </c>
      <c r="AH483" s="481">
        <f t="shared" si="237"/>
        <v>164773</v>
      </c>
      <c r="AI483" s="481">
        <f t="shared" si="238"/>
        <v>183.08111111111111</v>
      </c>
      <c r="AJ483" s="487"/>
      <c r="AK483" s="603"/>
      <c r="AL483" s="479">
        <f t="shared" si="239"/>
        <v>0</v>
      </c>
      <c r="AM483" s="482">
        <f t="shared" si="240"/>
        <v>0</v>
      </c>
      <c r="AN483" s="487"/>
      <c r="AO483" s="603"/>
      <c r="AP483" s="487"/>
      <c r="AQ483" s="603"/>
      <c r="AR483" s="487"/>
      <c r="AS483" s="603"/>
      <c r="AT483" s="487"/>
      <c r="AU483" s="603"/>
      <c r="AV483" s="479">
        <f t="shared" si="241"/>
        <v>0</v>
      </c>
      <c r="AW483" s="483">
        <f t="shared" si="242"/>
        <v>0</v>
      </c>
      <c r="AX483" s="481">
        <f t="shared" si="243"/>
        <v>0</v>
      </c>
      <c r="AY483" s="484">
        <f t="shared" si="244"/>
        <v>0</v>
      </c>
      <c r="AZ483" s="485">
        <f t="shared" si="245"/>
        <v>182.87111111111111</v>
      </c>
      <c r="BA483" s="481">
        <f t="shared" si="246"/>
        <v>183.08111111111111</v>
      </c>
    </row>
    <row r="484" spans="1:53">
      <c r="A484" s="601" t="s">
        <v>276</v>
      </c>
      <c r="B484" s="748" t="s">
        <v>820</v>
      </c>
      <c r="C484" s="598"/>
      <c r="D484" s="599">
        <v>221591</v>
      </c>
      <c r="E484" s="600">
        <v>13</v>
      </c>
      <c r="F484" s="486" t="s">
        <v>41</v>
      </c>
      <c r="G484" s="529"/>
      <c r="H484" s="506"/>
      <c r="I484" s="488"/>
      <c r="J484" s="506"/>
      <c r="K484" s="602"/>
      <c r="L484" s="506"/>
      <c r="M484" s="602"/>
      <c r="N484" s="506"/>
      <c r="O484" s="602"/>
      <c r="P484" s="479">
        <f t="shared" si="229"/>
        <v>0</v>
      </c>
      <c r="Q484" s="480">
        <f t="shared" si="230"/>
        <v>0</v>
      </c>
      <c r="R484" s="481">
        <f t="shared" si="231"/>
        <v>0</v>
      </c>
      <c r="S484" s="482">
        <f t="shared" si="232"/>
        <v>0</v>
      </c>
      <c r="T484" s="506"/>
      <c r="U484" s="602"/>
      <c r="V484" s="479">
        <f t="shared" si="233"/>
        <v>0</v>
      </c>
      <c r="W484" s="478">
        <f t="shared" si="234"/>
        <v>0</v>
      </c>
      <c r="X484" s="506"/>
      <c r="Y484" s="603"/>
      <c r="Z484" s="506">
        <v>102602</v>
      </c>
      <c r="AA484" s="603">
        <v>90989</v>
      </c>
      <c r="AB484" s="506">
        <v>89133</v>
      </c>
      <c r="AC484" s="603">
        <v>88709</v>
      </c>
      <c r="AD484" s="604">
        <v>104786</v>
      </c>
      <c r="AE484" s="603">
        <v>112166</v>
      </c>
      <c r="AF484" s="479">
        <f t="shared" si="235"/>
        <v>296521</v>
      </c>
      <c r="AG484" s="480">
        <f t="shared" si="236"/>
        <v>329.46777777777777</v>
      </c>
      <c r="AH484" s="481">
        <f t="shared" si="237"/>
        <v>291864</v>
      </c>
      <c r="AI484" s="481">
        <f t="shared" si="238"/>
        <v>324.29333333333335</v>
      </c>
      <c r="AJ484" s="487"/>
      <c r="AK484" s="603"/>
      <c r="AL484" s="479">
        <f t="shared" si="239"/>
        <v>0</v>
      </c>
      <c r="AM484" s="482">
        <f t="shared" si="240"/>
        <v>0</v>
      </c>
      <c r="AN484" s="487"/>
      <c r="AO484" s="603"/>
      <c r="AP484" s="487"/>
      <c r="AQ484" s="603"/>
      <c r="AR484" s="487"/>
      <c r="AS484" s="603"/>
      <c r="AT484" s="487"/>
      <c r="AU484" s="603"/>
      <c r="AV484" s="479">
        <f t="shared" si="241"/>
        <v>0</v>
      </c>
      <c r="AW484" s="483">
        <f t="shared" si="242"/>
        <v>0</v>
      </c>
      <c r="AX484" s="481">
        <f t="shared" si="243"/>
        <v>0</v>
      </c>
      <c r="AY484" s="484">
        <f t="shared" si="244"/>
        <v>0</v>
      </c>
      <c r="AZ484" s="485">
        <f t="shared" si="245"/>
        <v>329.46777777777777</v>
      </c>
      <c r="BA484" s="481">
        <f t="shared" si="246"/>
        <v>324.29333333333335</v>
      </c>
    </row>
    <row r="485" spans="1:53">
      <c r="A485" s="601" t="s">
        <v>276</v>
      </c>
      <c r="B485" s="748" t="s">
        <v>821</v>
      </c>
      <c r="C485" s="598"/>
      <c r="D485" s="599">
        <v>221430</v>
      </c>
      <c r="E485" s="600">
        <v>13</v>
      </c>
      <c r="F485" s="486" t="s">
        <v>41</v>
      </c>
      <c r="G485" s="529"/>
      <c r="H485" s="506"/>
      <c r="I485" s="488"/>
      <c r="J485" s="506"/>
      <c r="K485" s="602"/>
      <c r="L485" s="506"/>
      <c r="M485" s="602"/>
      <c r="N485" s="506"/>
      <c r="O485" s="602"/>
      <c r="P485" s="479">
        <f t="shared" si="229"/>
        <v>0</v>
      </c>
      <c r="Q485" s="480">
        <f t="shared" si="230"/>
        <v>0</v>
      </c>
      <c r="R485" s="481">
        <f t="shared" si="231"/>
        <v>0</v>
      </c>
      <c r="S485" s="482">
        <f t="shared" si="232"/>
        <v>0</v>
      </c>
      <c r="T485" s="506"/>
      <c r="U485" s="602"/>
      <c r="V485" s="479">
        <f t="shared" si="233"/>
        <v>0</v>
      </c>
      <c r="W485" s="478">
        <f t="shared" si="234"/>
        <v>0</v>
      </c>
      <c r="X485" s="506"/>
      <c r="Y485" s="603"/>
      <c r="Z485" s="506">
        <v>72478</v>
      </c>
      <c r="AA485" s="603">
        <v>74657</v>
      </c>
      <c r="AB485" s="506">
        <v>66877</v>
      </c>
      <c r="AC485" s="603">
        <v>62371</v>
      </c>
      <c r="AD485" s="604">
        <v>74884</v>
      </c>
      <c r="AE485" s="603">
        <v>81801</v>
      </c>
      <c r="AF485" s="479">
        <f t="shared" si="235"/>
        <v>214239</v>
      </c>
      <c r="AG485" s="480">
        <f t="shared" si="236"/>
        <v>238.04333333333332</v>
      </c>
      <c r="AH485" s="481">
        <f t="shared" si="237"/>
        <v>218829</v>
      </c>
      <c r="AI485" s="481">
        <f t="shared" si="238"/>
        <v>243.14333333333335</v>
      </c>
      <c r="AJ485" s="487"/>
      <c r="AK485" s="603"/>
      <c r="AL485" s="479">
        <f t="shared" si="239"/>
        <v>0</v>
      </c>
      <c r="AM485" s="482">
        <f t="shared" si="240"/>
        <v>0</v>
      </c>
      <c r="AN485" s="487"/>
      <c r="AO485" s="603"/>
      <c r="AP485" s="487"/>
      <c r="AQ485" s="603"/>
      <c r="AR485" s="487"/>
      <c r="AS485" s="603"/>
      <c r="AT485" s="487"/>
      <c r="AU485" s="603"/>
      <c r="AV485" s="479">
        <f t="shared" si="241"/>
        <v>0</v>
      </c>
      <c r="AW485" s="483">
        <f t="shared" si="242"/>
        <v>0</v>
      </c>
      <c r="AX485" s="481">
        <f t="shared" si="243"/>
        <v>0</v>
      </c>
      <c r="AY485" s="484">
        <f t="shared" si="244"/>
        <v>0</v>
      </c>
      <c r="AZ485" s="485">
        <f t="shared" si="245"/>
        <v>238.04333333333332</v>
      </c>
      <c r="BA485" s="481">
        <f t="shared" si="246"/>
        <v>243.14333333333335</v>
      </c>
    </row>
    <row r="486" spans="1:53">
      <c r="A486" s="601" t="s">
        <v>276</v>
      </c>
      <c r="B486" s="748" t="s">
        <v>822</v>
      </c>
      <c r="C486" s="598"/>
      <c r="D486" s="599">
        <v>219994</v>
      </c>
      <c r="E486" s="600">
        <v>13</v>
      </c>
      <c r="F486" s="486" t="s">
        <v>41</v>
      </c>
      <c r="G486" s="529"/>
      <c r="H486" s="506"/>
      <c r="I486" s="488"/>
      <c r="J486" s="506"/>
      <c r="K486" s="602"/>
      <c r="L486" s="506"/>
      <c r="M486" s="602"/>
      <c r="N486" s="506"/>
      <c r="O486" s="602"/>
      <c r="P486" s="479">
        <f t="shared" si="229"/>
        <v>0</v>
      </c>
      <c r="Q486" s="480">
        <f t="shared" si="230"/>
        <v>0</v>
      </c>
      <c r="R486" s="481">
        <f t="shared" si="231"/>
        <v>0</v>
      </c>
      <c r="S486" s="482">
        <f t="shared" si="232"/>
        <v>0</v>
      </c>
      <c r="T486" s="506"/>
      <c r="U486" s="602"/>
      <c r="V486" s="479">
        <f t="shared" si="233"/>
        <v>0</v>
      </c>
      <c r="W486" s="478">
        <f t="shared" si="234"/>
        <v>0</v>
      </c>
      <c r="X486" s="506"/>
      <c r="Y486" s="603"/>
      <c r="Z486" s="506">
        <v>159343</v>
      </c>
      <c r="AA486" s="603">
        <v>162782</v>
      </c>
      <c r="AB486" s="506">
        <v>150435</v>
      </c>
      <c r="AC486" s="603">
        <v>161084</v>
      </c>
      <c r="AD486" s="604">
        <v>166077</v>
      </c>
      <c r="AE486" s="603">
        <v>178454</v>
      </c>
      <c r="AF486" s="479">
        <f t="shared" si="235"/>
        <v>475855</v>
      </c>
      <c r="AG486" s="480">
        <f t="shared" si="236"/>
        <v>528.72777777777776</v>
      </c>
      <c r="AH486" s="481">
        <f t="shared" si="237"/>
        <v>502320</v>
      </c>
      <c r="AI486" s="481">
        <f t="shared" si="238"/>
        <v>558.13333333333333</v>
      </c>
      <c r="AJ486" s="487"/>
      <c r="AK486" s="603"/>
      <c r="AL486" s="479">
        <f t="shared" si="239"/>
        <v>0</v>
      </c>
      <c r="AM486" s="482">
        <f t="shared" si="240"/>
        <v>0</v>
      </c>
      <c r="AN486" s="487"/>
      <c r="AO486" s="603"/>
      <c r="AP486" s="487"/>
      <c r="AQ486" s="603"/>
      <c r="AR486" s="487"/>
      <c r="AS486" s="603"/>
      <c r="AT486" s="487"/>
      <c r="AU486" s="603"/>
      <c r="AV486" s="479">
        <f t="shared" si="241"/>
        <v>0</v>
      </c>
      <c r="AW486" s="483">
        <f t="shared" si="242"/>
        <v>0</v>
      </c>
      <c r="AX486" s="481">
        <f t="shared" si="243"/>
        <v>0</v>
      </c>
      <c r="AY486" s="484">
        <f t="shared" si="244"/>
        <v>0</v>
      </c>
      <c r="AZ486" s="485">
        <f t="shared" si="245"/>
        <v>528.72777777777776</v>
      </c>
      <c r="BA486" s="481">
        <f t="shared" si="246"/>
        <v>558.13333333333333</v>
      </c>
    </row>
    <row r="487" spans="1:53">
      <c r="A487" s="601" t="s">
        <v>276</v>
      </c>
      <c r="B487" s="748" t="s">
        <v>823</v>
      </c>
      <c r="C487" s="598"/>
      <c r="D487" s="599">
        <v>220127</v>
      </c>
      <c r="E487" s="600">
        <v>13</v>
      </c>
      <c r="F487" s="486" t="s">
        <v>41</v>
      </c>
      <c r="G487" s="529"/>
      <c r="H487" s="506"/>
      <c r="I487" s="488"/>
      <c r="J487" s="506"/>
      <c r="K487" s="602"/>
      <c r="L487" s="506"/>
      <c r="M487" s="602"/>
      <c r="N487" s="506"/>
      <c r="O487" s="602"/>
      <c r="P487" s="479">
        <f t="shared" si="229"/>
        <v>0</v>
      </c>
      <c r="Q487" s="480">
        <f t="shared" si="230"/>
        <v>0</v>
      </c>
      <c r="R487" s="481">
        <f t="shared" si="231"/>
        <v>0</v>
      </c>
      <c r="S487" s="482">
        <f t="shared" si="232"/>
        <v>0</v>
      </c>
      <c r="T487" s="506"/>
      <c r="U487" s="602"/>
      <c r="V487" s="479">
        <f t="shared" si="233"/>
        <v>0</v>
      </c>
      <c r="W487" s="478">
        <f t="shared" si="234"/>
        <v>0</v>
      </c>
      <c r="X487" s="506"/>
      <c r="Y487" s="603"/>
      <c r="Z487" s="506">
        <v>164284</v>
      </c>
      <c r="AA487" s="603">
        <v>166660</v>
      </c>
      <c r="AB487" s="506">
        <v>162034</v>
      </c>
      <c r="AC487" s="603">
        <v>164157</v>
      </c>
      <c r="AD487" s="604">
        <v>175859</v>
      </c>
      <c r="AE487" s="603">
        <v>175414</v>
      </c>
      <c r="AF487" s="479">
        <f t="shared" si="235"/>
        <v>502177</v>
      </c>
      <c r="AG487" s="480">
        <f t="shared" si="236"/>
        <v>557.97444444444443</v>
      </c>
      <c r="AH487" s="481">
        <f t="shared" si="237"/>
        <v>506231</v>
      </c>
      <c r="AI487" s="481">
        <f t="shared" si="238"/>
        <v>562.47888888888883</v>
      </c>
      <c r="AJ487" s="487"/>
      <c r="AK487" s="603"/>
      <c r="AL487" s="479">
        <f t="shared" si="239"/>
        <v>0</v>
      </c>
      <c r="AM487" s="482">
        <f t="shared" si="240"/>
        <v>0</v>
      </c>
      <c r="AN487" s="487"/>
      <c r="AO487" s="603"/>
      <c r="AP487" s="487"/>
      <c r="AQ487" s="603"/>
      <c r="AR487" s="487"/>
      <c r="AS487" s="603"/>
      <c r="AT487" s="487"/>
      <c r="AU487" s="603"/>
      <c r="AV487" s="479">
        <f t="shared" si="241"/>
        <v>0</v>
      </c>
      <c r="AW487" s="483">
        <f t="shared" si="242"/>
        <v>0</v>
      </c>
      <c r="AX487" s="481">
        <f t="shared" si="243"/>
        <v>0</v>
      </c>
      <c r="AY487" s="484">
        <f t="shared" si="244"/>
        <v>0</v>
      </c>
      <c r="AZ487" s="485">
        <f t="shared" si="245"/>
        <v>557.97444444444443</v>
      </c>
      <c r="BA487" s="481">
        <f t="shared" si="246"/>
        <v>562.47888888888883</v>
      </c>
    </row>
    <row r="488" spans="1:53">
      <c r="A488" s="601" t="s">
        <v>276</v>
      </c>
      <c r="B488" s="748" t="s">
        <v>824</v>
      </c>
      <c r="C488" s="598"/>
      <c r="D488" s="599">
        <v>220251</v>
      </c>
      <c r="E488" s="600">
        <v>13</v>
      </c>
      <c r="F488" s="486" t="s">
        <v>41</v>
      </c>
      <c r="G488" s="529"/>
      <c r="H488" s="506"/>
      <c r="I488" s="488"/>
      <c r="J488" s="506"/>
      <c r="K488" s="602"/>
      <c r="L488" s="506"/>
      <c r="M488" s="602"/>
      <c r="N488" s="506"/>
      <c r="O488" s="602"/>
      <c r="P488" s="479">
        <f t="shared" si="229"/>
        <v>0</v>
      </c>
      <c r="Q488" s="480">
        <f t="shared" si="230"/>
        <v>0</v>
      </c>
      <c r="R488" s="481">
        <f t="shared" si="231"/>
        <v>0</v>
      </c>
      <c r="S488" s="482">
        <f t="shared" si="232"/>
        <v>0</v>
      </c>
      <c r="T488" s="506"/>
      <c r="U488" s="602"/>
      <c r="V488" s="479">
        <f t="shared" si="233"/>
        <v>0</v>
      </c>
      <c r="W488" s="478">
        <f t="shared" si="234"/>
        <v>0</v>
      </c>
      <c r="X488" s="506"/>
      <c r="Y488" s="603"/>
      <c r="Z488" s="506">
        <v>75914</v>
      </c>
      <c r="AA488" s="603">
        <v>83032</v>
      </c>
      <c r="AB488" s="506">
        <v>73031</v>
      </c>
      <c r="AC488" s="603">
        <v>90900</v>
      </c>
      <c r="AD488" s="604">
        <v>86975</v>
      </c>
      <c r="AE488" s="603">
        <v>79465</v>
      </c>
      <c r="AF488" s="479">
        <f t="shared" si="235"/>
        <v>235920</v>
      </c>
      <c r="AG488" s="480">
        <f t="shared" si="236"/>
        <v>262.13333333333333</v>
      </c>
      <c r="AH488" s="481">
        <f t="shared" si="237"/>
        <v>253397</v>
      </c>
      <c r="AI488" s="481">
        <f t="shared" si="238"/>
        <v>281.55222222222221</v>
      </c>
      <c r="AJ488" s="487"/>
      <c r="AK488" s="603"/>
      <c r="AL488" s="479">
        <f t="shared" si="239"/>
        <v>0</v>
      </c>
      <c r="AM488" s="482">
        <f t="shared" si="240"/>
        <v>0</v>
      </c>
      <c r="AN488" s="487"/>
      <c r="AO488" s="603"/>
      <c r="AP488" s="487"/>
      <c r="AQ488" s="603"/>
      <c r="AR488" s="487"/>
      <c r="AS488" s="603"/>
      <c r="AT488" s="487"/>
      <c r="AU488" s="603"/>
      <c r="AV488" s="479">
        <f t="shared" si="241"/>
        <v>0</v>
      </c>
      <c r="AW488" s="483">
        <f t="shared" si="242"/>
        <v>0</v>
      </c>
      <c r="AX488" s="481">
        <f t="shared" si="243"/>
        <v>0</v>
      </c>
      <c r="AY488" s="484">
        <f t="shared" si="244"/>
        <v>0</v>
      </c>
      <c r="AZ488" s="485">
        <f t="shared" si="245"/>
        <v>262.13333333333333</v>
      </c>
      <c r="BA488" s="481">
        <f t="shared" si="246"/>
        <v>281.55222222222221</v>
      </c>
    </row>
    <row r="489" spans="1:53">
      <c r="A489" s="601" t="s">
        <v>276</v>
      </c>
      <c r="B489" s="748" t="s">
        <v>825</v>
      </c>
      <c r="C489" s="598"/>
      <c r="D489" s="599">
        <v>220279</v>
      </c>
      <c r="E489" s="600">
        <v>13</v>
      </c>
      <c r="F489" s="486" t="s">
        <v>41</v>
      </c>
      <c r="G489" s="529"/>
      <c r="H489" s="506"/>
      <c r="I489" s="488"/>
      <c r="J489" s="506"/>
      <c r="K489" s="602"/>
      <c r="L489" s="506"/>
      <c r="M489" s="602"/>
      <c r="N489" s="506"/>
      <c r="O489" s="602"/>
      <c r="P489" s="479">
        <f t="shared" si="229"/>
        <v>0</v>
      </c>
      <c r="Q489" s="480">
        <f t="shared" si="230"/>
        <v>0</v>
      </c>
      <c r="R489" s="481">
        <f t="shared" si="231"/>
        <v>0</v>
      </c>
      <c r="S489" s="482">
        <f t="shared" si="232"/>
        <v>0</v>
      </c>
      <c r="T489" s="506"/>
      <c r="U489" s="602"/>
      <c r="V489" s="479">
        <f t="shared" si="233"/>
        <v>0</v>
      </c>
      <c r="W489" s="478">
        <f t="shared" si="234"/>
        <v>0</v>
      </c>
      <c r="X489" s="506"/>
      <c r="Y489" s="603"/>
      <c r="Z489" s="506">
        <v>129652</v>
      </c>
      <c r="AA489" s="603">
        <v>127626</v>
      </c>
      <c r="AB489" s="506">
        <v>96744</v>
      </c>
      <c r="AC489" s="603">
        <v>89524</v>
      </c>
      <c r="AD489" s="604">
        <v>136225</v>
      </c>
      <c r="AE489" s="603">
        <v>130471</v>
      </c>
      <c r="AF489" s="479">
        <f t="shared" si="235"/>
        <v>362621</v>
      </c>
      <c r="AG489" s="480">
        <f t="shared" si="236"/>
        <v>402.91222222222223</v>
      </c>
      <c r="AH489" s="481">
        <f t="shared" si="237"/>
        <v>347621</v>
      </c>
      <c r="AI489" s="481">
        <f t="shared" si="238"/>
        <v>386.24555555555554</v>
      </c>
      <c r="AJ489" s="487"/>
      <c r="AK489" s="603"/>
      <c r="AL489" s="479">
        <f t="shared" si="239"/>
        <v>0</v>
      </c>
      <c r="AM489" s="482">
        <f t="shared" si="240"/>
        <v>0</v>
      </c>
      <c r="AN489" s="487"/>
      <c r="AO489" s="603"/>
      <c r="AP489" s="487"/>
      <c r="AQ489" s="603"/>
      <c r="AR489" s="487"/>
      <c r="AS489" s="603"/>
      <c r="AT489" s="487"/>
      <c r="AU489" s="603"/>
      <c r="AV489" s="479">
        <f t="shared" si="241"/>
        <v>0</v>
      </c>
      <c r="AW489" s="483">
        <f t="shared" si="242"/>
        <v>0</v>
      </c>
      <c r="AX489" s="481">
        <f t="shared" si="243"/>
        <v>0</v>
      </c>
      <c r="AY489" s="484">
        <f t="shared" si="244"/>
        <v>0</v>
      </c>
      <c r="AZ489" s="485">
        <f t="shared" si="245"/>
        <v>402.91222222222223</v>
      </c>
      <c r="BA489" s="481">
        <f t="shared" si="246"/>
        <v>386.24555555555554</v>
      </c>
    </row>
    <row r="490" spans="1:53">
      <c r="A490" s="601" t="s">
        <v>276</v>
      </c>
      <c r="B490" s="748" t="s">
        <v>826</v>
      </c>
      <c r="C490" s="598"/>
      <c r="D490" s="599">
        <v>220321</v>
      </c>
      <c r="E490" s="600">
        <v>13</v>
      </c>
      <c r="F490" s="486" t="s">
        <v>41</v>
      </c>
      <c r="G490" s="529"/>
      <c r="H490" s="506"/>
      <c r="I490" s="488"/>
      <c r="J490" s="506"/>
      <c r="K490" s="602"/>
      <c r="L490" s="506"/>
      <c r="M490" s="602"/>
      <c r="N490" s="506"/>
      <c r="O490" s="602"/>
      <c r="P490" s="479">
        <f t="shared" si="229"/>
        <v>0</v>
      </c>
      <c r="Q490" s="480">
        <f t="shared" si="230"/>
        <v>0</v>
      </c>
      <c r="R490" s="481">
        <f t="shared" si="231"/>
        <v>0</v>
      </c>
      <c r="S490" s="482">
        <f t="shared" si="232"/>
        <v>0</v>
      </c>
      <c r="T490" s="506"/>
      <c r="U490" s="602"/>
      <c r="V490" s="479">
        <f t="shared" si="233"/>
        <v>0</v>
      </c>
      <c r="W490" s="478">
        <f t="shared" si="234"/>
        <v>0</v>
      </c>
      <c r="X490" s="506"/>
      <c r="Y490" s="603"/>
      <c r="Z490" s="506">
        <v>129225</v>
      </c>
      <c r="AA490" s="603">
        <v>118711</v>
      </c>
      <c r="AB490" s="506">
        <v>107374</v>
      </c>
      <c r="AC490" s="603">
        <v>96602</v>
      </c>
      <c r="AD490" s="604">
        <v>120338</v>
      </c>
      <c r="AE490" s="603">
        <v>117273</v>
      </c>
      <c r="AF490" s="479">
        <f t="shared" si="235"/>
        <v>356937</v>
      </c>
      <c r="AG490" s="480">
        <f t="shared" si="236"/>
        <v>396.59666666666669</v>
      </c>
      <c r="AH490" s="481">
        <f t="shared" si="237"/>
        <v>332586</v>
      </c>
      <c r="AI490" s="481">
        <f t="shared" si="238"/>
        <v>369.54</v>
      </c>
      <c r="AJ490" s="487"/>
      <c r="AK490" s="603"/>
      <c r="AL490" s="479">
        <f t="shared" si="239"/>
        <v>0</v>
      </c>
      <c r="AM490" s="482">
        <f t="shared" si="240"/>
        <v>0</v>
      </c>
      <c r="AN490" s="487"/>
      <c r="AO490" s="603"/>
      <c r="AP490" s="487"/>
      <c r="AQ490" s="603"/>
      <c r="AR490" s="487"/>
      <c r="AS490" s="603"/>
      <c r="AT490" s="487"/>
      <c r="AU490" s="603"/>
      <c r="AV490" s="479">
        <f t="shared" si="241"/>
        <v>0</v>
      </c>
      <c r="AW490" s="483">
        <f t="shared" si="242"/>
        <v>0</v>
      </c>
      <c r="AX490" s="481">
        <f t="shared" si="243"/>
        <v>0</v>
      </c>
      <c r="AY490" s="484">
        <f t="shared" si="244"/>
        <v>0</v>
      </c>
      <c r="AZ490" s="485">
        <f t="shared" si="245"/>
        <v>396.59666666666669</v>
      </c>
      <c r="BA490" s="481">
        <f t="shared" si="246"/>
        <v>369.54</v>
      </c>
    </row>
    <row r="491" spans="1:53">
      <c r="A491" s="601" t="s">
        <v>276</v>
      </c>
      <c r="B491" s="748" t="s">
        <v>827</v>
      </c>
      <c r="C491" s="598"/>
      <c r="D491" s="599">
        <v>220394</v>
      </c>
      <c r="E491" s="600">
        <v>13</v>
      </c>
      <c r="F491" s="486" t="s">
        <v>41</v>
      </c>
      <c r="G491" s="529"/>
      <c r="H491" s="506"/>
      <c r="I491" s="488"/>
      <c r="J491" s="506"/>
      <c r="K491" s="602"/>
      <c r="L491" s="506"/>
      <c r="M491" s="602"/>
      <c r="N491" s="506"/>
      <c r="O491" s="602"/>
      <c r="P491" s="479">
        <f t="shared" si="229"/>
        <v>0</v>
      </c>
      <c r="Q491" s="480">
        <f t="shared" si="230"/>
        <v>0</v>
      </c>
      <c r="R491" s="481">
        <f t="shared" si="231"/>
        <v>0</v>
      </c>
      <c r="S491" s="482">
        <f t="shared" si="232"/>
        <v>0</v>
      </c>
      <c r="T491" s="506"/>
      <c r="U491" s="602"/>
      <c r="V491" s="479">
        <f t="shared" si="233"/>
        <v>0</v>
      </c>
      <c r="W491" s="478">
        <f t="shared" si="234"/>
        <v>0</v>
      </c>
      <c r="X491" s="506"/>
      <c r="Y491" s="603"/>
      <c r="Z491" s="506">
        <v>62072</v>
      </c>
      <c r="AA491" s="603">
        <v>61475</v>
      </c>
      <c r="AB491" s="506">
        <v>56566</v>
      </c>
      <c r="AC491" s="603">
        <v>58522</v>
      </c>
      <c r="AD491" s="604">
        <v>66056</v>
      </c>
      <c r="AE491" s="603">
        <v>66877</v>
      </c>
      <c r="AF491" s="479">
        <f t="shared" si="235"/>
        <v>184694</v>
      </c>
      <c r="AG491" s="480">
        <f t="shared" si="236"/>
        <v>205.21555555555557</v>
      </c>
      <c r="AH491" s="481">
        <f t="shared" si="237"/>
        <v>186874</v>
      </c>
      <c r="AI491" s="481">
        <f t="shared" si="238"/>
        <v>207.63777777777779</v>
      </c>
      <c r="AJ491" s="487"/>
      <c r="AK491" s="603"/>
      <c r="AL491" s="479">
        <f t="shared" si="239"/>
        <v>0</v>
      </c>
      <c r="AM491" s="482">
        <f t="shared" si="240"/>
        <v>0</v>
      </c>
      <c r="AN491" s="487"/>
      <c r="AO491" s="603"/>
      <c r="AP491" s="487"/>
      <c r="AQ491" s="603"/>
      <c r="AR491" s="487"/>
      <c r="AS491" s="603"/>
      <c r="AT491" s="487"/>
      <c r="AU491" s="603"/>
      <c r="AV491" s="479">
        <f t="shared" si="241"/>
        <v>0</v>
      </c>
      <c r="AW491" s="483">
        <f t="shared" si="242"/>
        <v>0</v>
      </c>
      <c r="AX491" s="481">
        <f t="shared" si="243"/>
        <v>0</v>
      </c>
      <c r="AY491" s="484">
        <f t="shared" si="244"/>
        <v>0</v>
      </c>
      <c r="AZ491" s="485">
        <f t="shared" si="245"/>
        <v>205.21555555555557</v>
      </c>
      <c r="BA491" s="481">
        <f t="shared" si="246"/>
        <v>207.63777777777779</v>
      </c>
    </row>
    <row r="492" spans="1:53">
      <c r="A492" s="601" t="s">
        <v>276</v>
      </c>
      <c r="B492" s="748" t="s">
        <v>828</v>
      </c>
      <c r="C492" s="598"/>
      <c r="D492" s="599">
        <v>221616</v>
      </c>
      <c r="E492" s="600">
        <v>13</v>
      </c>
      <c r="F492" s="486" t="s">
        <v>41</v>
      </c>
      <c r="G492" s="529"/>
      <c r="H492" s="506"/>
      <c r="I492" s="488"/>
      <c r="J492" s="506"/>
      <c r="K492" s="602"/>
      <c r="L492" s="506"/>
      <c r="M492" s="602"/>
      <c r="N492" s="506"/>
      <c r="O492" s="602"/>
      <c r="P492" s="479">
        <f t="shared" si="229"/>
        <v>0</v>
      </c>
      <c r="Q492" s="480">
        <f t="shared" si="230"/>
        <v>0</v>
      </c>
      <c r="R492" s="481">
        <f t="shared" si="231"/>
        <v>0</v>
      </c>
      <c r="S492" s="482">
        <f t="shared" si="232"/>
        <v>0</v>
      </c>
      <c r="T492" s="506"/>
      <c r="U492" s="602"/>
      <c r="V492" s="479">
        <f t="shared" si="233"/>
        <v>0</v>
      </c>
      <c r="W492" s="478">
        <f t="shared" si="234"/>
        <v>0</v>
      </c>
      <c r="X492" s="506"/>
      <c r="Y492" s="603"/>
      <c r="Z492" s="506">
        <v>148611</v>
      </c>
      <c r="AA492" s="603">
        <v>160452</v>
      </c>
      <c r="AB492" s="506">
        <v>143264</v>
      </c>
      <c r="AC492" s="603">
        <v>144187</v>
      </c>
      <c r="AD492" s="604">
        <v>167214</v>
      </c>
      <c r="AE492" s="603">
        <v>170852</v>
      </c>
      <c r="AF492" s="479">
        <f t="shared" si="235"/>
        <v>459089</v>
      </c>
      <c r="AG492" s="480">
        <f t="shared" si="236"/>
        <v>510.09888888888889</v>
      </c>
      <c r="AH492" s="481">
        <f t="shared" si="237"/>
        <v>475491</v>
      </c>
      <c r="AI492" s="481">
        <f t="shared" si="238"/>
        <v>528.32333333333338</v>
      </c>
      <c r="AJ492" s="487"/>
      <c r="AK492" s="603"/>
      <c r="AL492" s="479">
        <f t="shared" si="239"/>
        <v>0</v>
      </c>
      <c r="AM492" s="482">
        <f t="shared" si="240"/>
        <v>0</v>
      </c>
      <c r="AN492" s="487"/>
      <c r="AO492" s="603"/>
      <c r="AP492" s="487"/>
      <c r="AQ492" s="603"/>
      <c r="AR492" s="487"/>
      <c r="AS492" s="603"/>
      <c r="AT492" s="487"/>
      <c r="AU492" s="603"/>
      <c r="AV492" s="479">
        <f t="shared" si="241"/>
        <v>0</v>
      </c>
      <c r="AW492" s="483">
        <f t="shared" si="242"/>
        <v>0</v>
      </c>
      <c r="AX492" s="481">
        <f t="shared" si="243"/>
        <v>0</v>
      </c>
      <c r="AY492" s="484">
        <f t="shared" si="244"/>
        <v>0</v>
      </c>
      <c r="AZ492" s="485">
        <f t="shared" si="245"/>
        <v>510.09888888888889</v>
      </c>
      <c r="BA492" s="481">
        <f t="shared" si="246"/>
        <v>528.32333333333338</v>
      </c>
    </row>
    <row r="493" spans="1:53">
      <c r="A493" s="601" t="s">
        <v>276</v>
      </c>
      <c r="B493" s="748" t="s">
        <v>829</v>
      </c>
      <c r="C493" s="598"/>
      <c r="D493" s="599">
        <v>221625</v>
      </c>
      <c r="E493" s="600">
        <v>13</v>
      </c>
      <c r="F493" s="486" t="s">
        <v>41</v>
      </c>
      <c r="G493" s="529"/>
      <c r="H493" s="506"/>
      <c r="I493" s="488"/>
      <c r="J493" s="506"/>
      <c r="K493" s="602"/>
      <c r="L493" s="506"/>
      <c r="M493" s="602"/>
      <c r="N493" s="506"/>
      <c r="O493" s="602"/>
      <c r="P493" s="479">
        <f t="shared" si="229"/>
        <v>0</v>
      </c>
      <c r="Q493" s="480">
        <f t="shared" si="230"/>
        <v>0</v>
      </c>
      <c r="R493" s="481">
        <f t="shared" si="231"/>
        <v>0</v>
      </c>
      <c r="S493" s="482">
        <f t="shared" si="232"/>
        <v>0</v>
      </c>
      <c r="T493" s="506"/>
      <c r="U493" s="602"/>
      <c r="V493" s="479">
        <f t="shared" si="233"/>
        <v>0</v>
      </c>
      <c r="W493" s="478">
        <f t="shared" si="234"/>
        <v>0</v>
      </c>
      <c r="X493" s="506"/>
      <c r="Y493" s="603"/>
      <c r="Z493" s="506">
        <v>182313</v>
      </c>
      <c r="AA493" s="603">
        <v>196290</v>
      </c>
      <c r="AB493" s="506">
        <v>185487</v>
      </c>
      <c r="AC493" s="603">
        <v>197454</v>
      </c>
      <c r="AD493" s="604">
        <v>194748</v>
      </c>
      <c r="AE493" s="603">
        <v>206963</v>
      </c>
      <c r="AF493" s="479">
        <f t="shared" si="235"/>
        <v>562548</v>
      </c>
      <c r="AG493" s="480">
        <f t="shared" si="236"/>
        <v>625.05333333333328</v>
      </c>
      <c r="AH493" s="481">
        <f t="shared" si="237"/>
        <v>600707</v>
      </c>
      <c r="AI493" s="481">
        <f t="shared" si="238"/>
        <v>667.45222222222219</v>
      </c>
      <c r="AJ493" s="487"/>
      <c r="AK493" s="603"/>
      <c r="AL493" s="479">
        <f t="shared" si="239"/>
        <v>0</v>
      </c>
      <c r="AM493" s="482">
        <f t="shared" si="240"/>
        <v>0</v>
      </c>
      <c r="AN493" s="487"/>
      <c r="AO493" s="603"/>
      <c r="AP493" s="487"/>
      <c r="AQ493" s="603"/>
      <c r="AR493" s="487"/>
      <c r="AS493" s="603"/>
      <c r="AT493" s="487"/>
      <c r="AU493" s="603"/>
      <c r="AV493" s="479">
        <f t="shared" si="241"/>
        <v>0</v>
      </c>
      <c r="AW493" s="483">
        <f t="shared" si="242"/>
        <v>0</v>
      </c>
      <c r="AX493" s="481">
        <f t="shared" si="243"/>
        <v>0</v>
      </c>
      <c r="AY493" s="484">
        <f t="shared" si="244"/>
        <v>0</v>
      </c>
      <c r="AZ493" s="485">
        <f t="shared" si="245"/>
        <v>625.05333333333328</v>
      </c>
      <c r="BA493" s="481">
        <f t="shared" si="246"/>
        <v>667.45222222222219</v>
      </c>
    </row>
    <row r="494" spans="1:53">
      <c r="A494" s="601" t="s">
        <v>276</v>
      </c>
      <c r="B494" s="748" t="s">
        <v>830</v>
      </c>
      <c r="C494" s="598"/>
      <c r="D494" s="599">
        <v>220640</v>
      </c>
      <c r="E494" s="600">
        <v>13</v>
      </c>
      <c r="F494" s="486" t="s">
        <v>41</v>
      </c>
      <c r="G494" s="529"/>
      <c r="H494" s="506"/>
      <c r="I494" s="488"/>
      <c r="J494" s="506"/>
      <c r="K494" s="602"/>
      <c r="L494" s="506"/>
      <c r="M494" s="602"/>
      <c r="N494" s="506"/>
      <c r="O494" s="602"/>
      <c r="P494" s="479">
        <f t="shared" si="229"/>
        <v>0</v>
      </c>
      <c r="Q494" s="480">
        <f t="shared" si="230"/>
        <v>0</v>
      </c>
      <c r="R494" s="481">
        <f t="shared" si="231"/>
        <v>0</v>
      </c>
      <c r="S494" s="482">
        <f t="shared" si="232"/>
        <v>0</v>
      </c>
      <c r="T494" s="506"/>
      <c r="U494" s="602"/>
      <c r="V494" s="479">
        <f t="shared" si="233"/>
        <v>0</v>
      </c>
      <c r="W494" s="478">
        <f t="shared" si="234"/>
        <v>0</v>
      </c>
      <c r="X494" s="506"/>
      <c r="Y494" s="603"/>
      <c r="Z494" s="506">
        <v>119619</v>
      </c>
      <c r="AA494" s="603">
        <v>131340</v>
      </c>
      <c r="AB494" s="506">
        <v>93735</v>
      </c>
      <c r="AC494" s="603">
        <v>97090</v>
      </c>
      <c r="AD494" s="604">
        <v>141385</v>
      </c>
      <c r="AE494" s="603">
        <v>115054</v>
      </c>
      <c r="AF494" s="479">
        <f t="shared" si="235"/>
        <v>354739</v>
      </c>
      <c r="AG494" s="480">
        <f t="shared" si="236"/>
        <v>394.15444444444444</v>
      </c>
      <c r="AH494" s="481">
        <f t="shared" si="237"/>
        <v>343484</v>
      </c>
      <c r="AI494" s="481">
        <f t="shared" si="238"/>
        <v>381.64888888888891</v>
      </c>
      <c r="AJ494" s="487"/>
      <c r="AK494" s="603"/>
      <c r="AL494" s="479">
        <f t="shared" si="239"/>
        <v>0</v>
      </c>
      <c r="AM494" s="482">
        <f t="shared" si="240"/>
        <v>0</v>
      </c>
      <c r="AN494" s="487"/>
      <c r="AO494" s="603"/>
      <c r="AP494" s="487"/>
      <c r="AQ494" s="603"/>
      <c r="AR494" s="487"/>
      <c r="AS494" s="603"/>
      <c r="AT494" s="487"/>
      <c r="AU494" s="603"/>
      <c r="AV494" s="479">
        <f t="shared" si="241"/>
        <v>0</v>
      </c>
      <c r="AW494" s="483">
        <f t="shared" si="242"/>
        <v>0</v>
      </c>
      <c r="AX494" s="481">
        <f t="shared" si="243"/>
        <v>0</v>
      </c>
      <c r="AY494" s="484">
        <f t="shared" si="244"/>
        <v>0</v>
      </c>
      <c r="AZ494" s="485">
        <f t="shared" si="245"/>
        <v>394.15444444444444</v>
      </c>
      <c r="BA494" s="481">
        <f t="shared" si="246"/>
        <v>381.64888888888891</v>
      </c>
    </row>
    <row r="495" spans="1:53">
      <c r="A495" s="601" t="s">
        <v>276</v>
      </c>
      <c r="B495" s="748" t="s">
        <v>831</v>
      </c>
      <c r="C495" s="598"/>
      <c r="D495" s="599">
        <v>220756</v>
      </c>
      <c r="E495" s="600">
        <v>13</v>
      </c>
      <c r="F495" s="486" t="s">
        <v>41</v>
      </c>
      <c r="G495" s="529"/>
      <c r="H495" s="506"/>
      <c r="I495" s="488"/>
      <c r="J495" s="506"/>
      <c r="K495" s="602"/>
      <c r="L495" s="506"/>
      <c r="M495" s="602"/>
      <c r="N495" s="506"/>
      <c r="O495" s="602"/>
      <c r="P495" s="479">
        <f t="shared" si="229"/>
        <v>0</v>
      </c>
      <c r="Q495" s="480">
        <f t="shared" si="230"/>
        <v>0</v>
      </c>
      <c r="R495" s="481">
        <f t="shared" si="231"/>
        <v>0</v>
      </c>
      <c r="S495" s="482">
        <f t="shared" si="232"/>
        <v>0</v>
      </c>
      <c r="T495" s="506"/>
      <c r="U495" s="602"/>
      <c r="V495" s="479">
        <f t="shared" si="233"/>
        <v>0</v>
      </c>
      <c r="W495" s="478">
        <f t="shared" si="234"/>
        <v>0</v>
      </c>
      <c r="X495" s="506"/>
      <c r="Y495" s="603"/>
      <c r="Z495" s="506">
        <v>84891</v>
      </c>
      <c r="AA495" s="603">
        <v>79450</v>
      </c>
      <c r="AB495" s="506">
        <v>71589</v>
      </c>
      <c r="AC495" s="603">
        <v>71688</v>
      </c>
      <c r="AD495" s="604">
        <v>85717</v>
      </c>
      <c r="AE495" s="603">
        <v>60905</v>
      </c>
      <c r="AF495" s="479">
        <f t="shared" si="235"/>
        <v>242197</v>
      </c>
      <c r="AG495" s="480">
        <f t="shared" si="236"/>
        <v>269.10777777777776</v>
      </c>
      <c r="AH495" s="481">
        <f t="shared" si="237"/>
        <v>212043</v>
      </c>
      <c r="AI495" s="481">
        <f t="shared" si="238"/>
        <v>235.60333333333332</v>
      </c>
      <c r="AJ495" s="487"/>
      <c r="AK495" s="603"/>
      <c r="AL495" s="479">
        <f t="shared" si="239"/>
        <v>0</v>
      </c>
      <c r="AM495" s="482">
        <f t="shared" si="240"/>
        <v>0</v>
      </c>
      <c r="AN495" s="487"/>
      <c r="AO495" s="603"/>
      <c r="AP495" s="487"/>
      <c r="AQ495" s="603"/>
      <c r="AR495" s="487"/>
      <c r="AS495" s="603"/>
      <c r="AT495" s="487"/>
      <c r="AU495" s="603"/>
      <c r="AV495" s="479">
        <f t="shared" si="241"/>
        <v>0</v>
      </c>
      <c r="AW495" s="483">
        <f t="shared" si="242"/>
        <v>0</v>
      </c>
      <c r="AX495" s="481">
        <f t="shared" si="243"/>
        <v>0</v>
      </c>
      <c r="AY495" s="484">
        <f t="shared" si="244"/>
        <v>0</v>
      </c>
      <c r="AZ495" s="485">
        <f t="shared" si="245"/>
        <v>269.10777777777776</v>
      </c>
      <c r="BA495" s="481">
        <f t="shared" si="246"/>
        <v>235.60333333333332</v>
      </c>
    </row>
    <row r="496" spans="1:53">
      <c r="A496" s="601" t="s">
        <v>276</v>
      </c>
      <c r="B496" s="748" t="s">
        <v>832</v>
      </c>
      <c r="C496" s="598"/>
      <c r="D496" s="599">
        <v>221607</v>
      </c>
      <c r="E496" s="600">
        <v>13</v>
      </c>
      <c r="F496" s="486" t="s">
        <v>41</v>
      </c>
      <c r="G496" s="529"/>
      <c r="H496" s="506"/>
      <c r="I496" s="488"/>
      <c r="J496" s="506"/>
      <c r="K496" s="602"/>
      <c r="L496" s="506"/>
      <c r="M496" s="602"/>
      <c r="N496" s="506"/>
      <c r="O496" s="602"/>
      <c r="P496" s="479">
        <f t="shared" si="229"/>
        <v>0</v>
      </c>
      <c r="Q496" s="480">
        <f t="shared" si="230"/>
        <v>0</v>
      </c>
      <c r="R496" s="481">
        <f t="shared" si="231"/>
        <v>0</v>
      </c>
      <c r="S496" s="482">
        <f t="shared" si="232"/>
        <v>0</v>
      </c>
      <c r="T496" s="506"/>
      <c r="U496" s="602"/>
      <c r="V496" s="479">
        <f t="shared" si="233"/>
        <v>0</v>
      </c>
      <c r="W496" s="478">
        <f t="shared" si="234"/>
        <v>0</v>
      </c>
      <c r="X496" s="506"/>
      <c r="Y496" s="603"/>
      <c r="Z496" s="506">
        <v>69968</v>
      </c>
      <c r="AA496" s="603">
        <v>69163</v>
      </c>
      <c r="AB496" s="506">
        <v>65409</v>
      </c>
      <c r="AC496" s="603">
        <v>63367</v>
      </c>
      <c r="AD496" s="604">
        <v>73565</v>
      </c>
      <c r="AE496" s="603">
        <v>69418</v>
      </c>
      <c r="AF496" s="479">
        <f t="shared" si="235"/>
        <v>208942</v>
      </c>
      <c r="AG496" s="480">
        <f t="shared" si="236"/>
        <v>232.15777777777777</v>
      </c>
      <c r="AH496" s="481">
        <f t="shared" si="237"/>
        <v>201948</v>
      </c>
      <c r="AI496" s="481">
        <f t="shared" si="238"/>
        <v>224.38666666666666</v>
      </c>
      <c r="AJ496" s="487"/>
      <c r="AK496" s="603"/>
      <c r="AL496" s="479">
        <f t="shared" si="239"/>
        <v>0</v>
      </c>
      <c r="AM496" s="482">
        <f t="shared" si="240"/>
        <v>0</v>
      </c>
      <c r="AN496" s="487"/>
      <c r="AO496" s="603"/>
      <c r="AP496" s="487"/>
      <c r="AQ496" s="603"/>
      <c r="AR496" s="487"/>
      <c r="AS496" s="603"/>
      <c r="AT496" s="487"/>
      <c r="AU496" s="603"/>
      <c r="AV496" s="479">
        <f t="shared" si="241"/>
        <v>0</v>
      </c>
      <c r="AW496" s="483">
        <f t="shared" si="242"/>
        <v>0</v>
      </c>
      <c r="AX496" s="481">
        <f t="shared" si="243"/>
        <v>0</v>
      </c>
      <c r="AY496" s="484">
        <f t="shared" si="244"/>
        <v>0</v>
      </c>
      <c r="AZ496" s="485">
        <f t="shared" si="245"/>
        <v>232.15777777777777</v>
      </c>
      <c r="BA496" s="481">
        <f t="shared" si="246"/>
        <v>224.38666666666666</v>
      </c>
    </row>
    <row r="497" spans="1:53">
      <c r="A497" s="601" t="s">
        <v>276</v>
      </c>
      <c r="B497" s="748" t="s">
        <v>833</v>
      </c>
      <c r="C497" s="591"/>
      <c r="D497" s="599">
        <v>220853</v>
      </c>
      <c r="E497" s="600">
        <v>13</v>
      </c>
      <c r="F497" s="486" t="s">
        <v>41</v>
      </c>
      <c r="G497" s="529"/>
      <c r="H497" s="506"/>
      <c r="I497" s="488"/>
      <c r="J497" s="506"/>
      <c r="K497" s="602"/>
      <c r="L497" s="506"/>
      <c r="M497" s="602"/>
      <c r="N497" s="506"/>
      <c r="O497" s="602"/>
      <c r="P497" s="479">
        <f t="shared" si="229"/>
        <v>0</v>
      </c>
      <c r="Q497" s="480">
        <f t="shared" si="230"/>
        <v>0</v>
      </c>
      <c r="R497" s="481">
        <f t="shared" si="231"/>
        <v>0</v>
      </c>
      <c r="S497" s="482">
        <f t="shared" si="232"/>
        <v>0</v>
      </c>
      <c r="T497" s="506"/>
      <c r="U497" s="602"/>
      <c r="V497" s="479">
        <f t="shared" si="233"/>
        <v>0</v>
      </c>
      <c r="W497" s="478">
        <f t="shared" si="234"/>
        <v>0</v>
      </c>
      <c r="X497" s="506"/>
      <c r="Y497" s="603"/>
      <c r="Z497" s="506">
        <v>259997</v>
      </c>
      <c r="AA497" s="603">
        <v>260620</v>
      </c>
      <c r="AB497" s="506">
        <v>243393</v>
      </c>
      <c r="AC497" s="603">
        <v>258647</v>
      </c>
      <c r="AD497" s="604">
        <v>276408</v>
      </c>
      <c r="AE497" s="603">
        <v>277381</v>
      </c>
      <c r="AF497" s="479">
        <f t="shared" si="235"/>
        <v>779798</v>
      </c>
      <c r="AG497" s="480">
        <f t="shared" si="236"/>
        <v>866.4422222222222</v>
      </c>
      <c r="AH497" s="481">
        <f t="shared" si="237"/>
        <v>796648</v>
      </c>
      <c r="AI497" s="481">
        <f t="shared" si="238"/>
        <v>885.16444444444448</v>
      </c>
      <c r="AJ497" s="487"/>
      <c r="AK497" s="603"/>
      <c r="AL497" s="479">
        <f t="shared" si="239"/>
        <v>0</v>
      </c>
      <c r="AM497" s="482">
        <f t="shared" si="240"/>
        <v>0</v>
      </c>
      <c r="AN497" s="487"/>
      <c r="AO497" s="603"/>
      <c r="AP497" s="487"/>
      <c r="AQ497" s="603"/>
      <c r="AR497" s="487"/>
      <c r="AS497" s="603"/>
      <c r="AT497" s="487"/>
      <c r="AU497" s="603"/>
      <c r="AV497" s="479">
        <f t="shared" si="241"/>
        <v>0</v>
      </c>
      <c r="AW497" s="483">
        <f t="shared" si="242"/>
        <v>0</v>
      </c>
      <c r="AX497" s="481">
        <f t="shared" si="243"/>
        <v>0</v>
      </c>
      <c r="AY497" s="484">
        <f t="shared" si="244"/>
        <v>0</v>
      </c>
      <c r="AZ497" s="485">
        <f t="shared" si="245"/>
        <v>866.4422222222222</v>
      </c>
      <c r="BA497" s="481">
        <f t="shared" si="246"/>
        <v>885.16444444444448</v>
      </c>
    </row>
    <row r="498" spans="1:53">
      <c r="A498" s="601" t="s">
        <v>276</v>
      </c>
      <c r="B498" s="748" t="s">
        <v>834</v>
      </c>
      <c r="C498" s="598"/>
      <c r="D498" s="599">
        <v>221050</v>
      </c>
      <c r="E498" s="600">
        <v>13</v>
      </c>
      <c r="F498" s="486" t="s">
        <v>41</v>
      </c>
      <c r="G498" s="529"/>
      <c r="H498" s="506"/>
      <c r="I498" s="488"/>
      <c r="J498" s="506"/>
      <c r="K498" s="602"/>
      <c r="L498" s="506"/>
      <c r="M498" s="602"/>
      <c r="N498" s="506"/>
      <c r="O498" s="602"/>
      <c r="P498" s="479">
        <f t="shared" si="229"/>
        <v>0</v>
      </c>
      <c r="Q498" s="480">
        <f t="shared" si="230"/>
        <v>0</v>
      </c>
      <c r="R498" s="481">
        <f t="shared" si="231"/>
        <v>0</v>
      </c>
      <c r="S498" s="482">
        <f t="shared" si="232"/>
        <v>0</v>
      </c>
      <c r="T498" s="506"/>
      <c r="U498" s="602"/>
      <c r="V498" s="479">
        <f t="shared" si="233"/>
        <v>0</v>
      </c>
      <c r="W498" s="478">
        <f t="shared" si="234"/>
        <v>0</v>
      </c>
      <c r="X498" s="506"/>
      <c r="Y498" s="603"/>
      <c r="Z498" s="506">
        <v>179417</v>
      </c>
      <c r="AA498" s="603">
        <v>157845</v>
      </c>
      <c r="AB498" s="506">
        <v>164143</v>
      </c>
      <c r="AC498" s="603">
        <v>149695</v>
      </c>
      <c r="AD498" s="604">
        <v>171154</v>
      </c>
      <c r="AE498" s="603">
        <v>169555</v>
      </c>
      <c r="AF498" s="479">
        <f t="shared" si="235"/>
        <v>514714</v>
      </c>
      <c r="AG498" s="480">
        <f t="shared" si="236"/>
        <v>571.90444444444449</v>
      </c>
      <c r="AH498" s="481">
        <f t="shared" si="237"/>
        <v>477095</v>
      </c>
      <c r="AI498" s="481">
        <f t="shared" si="238"/>
        <v>530.10555555555561</v>
      </c>
      <c r="AJ498" s="487"/>
      <c r="AK498" s="603"/>
      <c r="AL498" s="479">
        <f t="shared" si="239"/>
        <v>0</v>
      </c>
      <c r="AM498" s="482">
        <f t="shared" si="240"/>
        <v>0</v>
      </c>
      <c r="AN498" s="487"/>
      <c r="AO498" s="603"/>
      <c r="AP498" s="487"/>
      <c r="AQ498" s="603"/>
      <c r="AR498" s="487"/>
      <c r="AS498" s="603"/>
      <c r="AT498" s="487"/>
      <c r="AU498" s="603"/>
      <c r="AV498" s="479">
        <f t="shared" si="241"/>
        <v>0</v>
      </c>
      <c r="AW498" s="483">
        <f t="shared" si="242"/>
        <v>0</v>
      </c>
      <c r="AX498" s="481">
        <f t="shared" si="243"/>
        <v>0</v>
      </c>
      <c r="AY498" s="484">
        <f t="shared" si="244"/>
        <v>0</v>
      </c>
      <c r="AZ498" s="485">
        <f t="shared" si="245"/>
        <v>571.90444444444449</v>
      </c>
      <c r="BA498" s="481">
        <f t="shared" si="246"/>
        <v>530.10555555555561</v>
      </c>
    </row>
    <row r="499" spans="1:53">
      <c r="A499" s="601" t="s">
        <v>276</v>
      </c>
      <c r="B499" s="748" t="s">
        <v>835</v>
      </c>
      <c r="C499" s="598"/>
      <c r="D499" s="599">
        <v>221102</v>
      </c>
      <c r="E499" s="600">
        <v>13</v>
      </c>
      <c r="F499" s="486" t="s">
        <v>41</v>
      </c>
      <c r="G499" s="529"/>
      <c r="H499" s="506"/>
      <c r="I499" s="488"/>
      <c r="J499" s="506"/>
      <c r="K499" s="602"/>
      <c r="L499" s="506"/>
      <c r="M499" s="602"/>
      <c r="N499" s="506"/>
      <c r="O499" s="602"/>
      <c r="P499" s="479">
        <f t="shared" si="229"/>
        <v>0</v>
      </c>
      <c r="Q499" s="480">
        <f t="shared" si="230"/>
        <v>0</v>
      </c>
      <c r="R499" s="481">
        <f t="shared" si="231"/>
        <v>0</v>
      </c>
      <c r="S499" s="482">
        <f t="shared" si="232"/>
        <v>0</v>
      </c>
      <c r="T499" s="506"/>
      <c r="U499" s="602"/>
      <c r="V499" s="479">
        <f t="shared" si="233"/>
        <v>0</v>
      </c>
      <c r="W499" s="478">
        <f t="shared" si="234"/>
        <v>0</v>
      </c>
      <c r="X499" s="506"/>
      <c r="Y499" s="603"/>
      <c r="Z499" s="506">
        <v>141188</v>
      </c>
      <c r="AA499" s="603">
        <v>168286</v>
      </c>
      <c r="AB499" s="506">
        <v>148748</v>
      </c>
      <c r="AC499" s="603">
        <v>147180</v>
      </c>
      <c r="AD499" s="604">
        <v>139536</v>
      </c>
      <c r="AE499" s="603">
        <v>160973</v>
      </c>
      <c r="AF499" s="479">
        <f t="shared" si="235"/>
        <v>429472</v>
      </c>
      <c r="AG499" s="480">
        <f t="shared" si="236"/>
        <v>477.19111111111113</v>
      </c>
      <c r="AH499" s="481">
        <f t="shared" si="237"/>
        <v>476439</v>
      </c>
      <c r="AI499" s="481">
        <f t="shared" si="238"/>
        <v>529.37666666666667</v>
      </c>
      <c r="AJ499" s="487"/>
      <c r="AK499" s="603"/>
      <c r="AL499" s="479">
        <f t="shared" si="239"/>
        <v>0</v>
      </c>
      <c r="AM499" s="482">
        <f t="shared" si="240"/>
        <v>0</v>
      </c>
      <c r="AN499" s="487"/>
      <c r="AO499" s="603"/>
      <c r="AP499" s="487"/>
      <c r="AQ499" s="603"/>
      <c r="AR499" s="487"/>
      <c r="AS499" s="603"/>
      <c r="AT499" s="487"/>
      <c r="AU499" s="603"/>
      <c r="AV499" s="479">
        <f t="shared" si="241"/>
        <v>0</v>
      </c>
      <c r="AW499" s="483">
        <f t="shared" si="242"/>
        <v>0</v>
      </c>
      <c r="AX499" s="481">
        <f t="shared" si="243"/>
        <v>0</v>
      </c>
      <c r="AY499" s="484">
        <f t="shared" si="244"/>
        <v>0</v>
      </c>
      <c r="AZ499" s="485">
        <f t="shared" si="245"/>
        <v>477.19111111111113</v>
      </c>
      <c r="BA499" s="481">
        <f t="shared" si="246"/>
        <v>529.37666666666667</v>
      </c>
    </row>
    <row r="500" spans="1:53">
      <c r="A500" s="601" t="s">
        <v>276</v>
      </c>
      <c r="B500" s="748" t="s">
        <v>836</v>
      </c>
      <c r="C500" s="591"/>
      <c r="D500" s="599">
        <v>248925</v>
      </c>
      <c r="E500" s="600">
        <v>13</v>
      </c>
      <c r="F500" s="486" t="s">
        <v>41</v>
      </c>
      <c r="G500" s="529"/>
      <c r="H500" s="506"/>
      <c r="I500" s="488"/>
      <c r="J500" s="506"/>
      <c r="K500" s="602"/>
      <c r="L500" s="506"/>
      <c r="M500" s="602"/>
      <c r="N500" s="506"/>
      <c r="O500" s="602"/>
      <c r="P500" s="479">
        <f t="shared" si="229"/>
        <v>0</v>
      </c>
      <c r="Q500" s="480">
        <f t="shared" si="230"/>
        <v>0</v>
      </c>
      <c r="R500" s="481">
        <f t="shared" si="231"/>
        <v>0</v>
      </c>
      <c r="S500" s="482">
        <f t="shared" si="232"/>
        <v>0</v>
      </c>
      <c r="T500" s="506"/>
      <c r="U500" s="602"/>
      <c r="V500" s="479">
        <f t="shared" si="233"/>
        <v>0</v>
      </c>
      <c r="W500" s="478">
        <f t="shared" si="234"/>
        <v>0</v>
      </c>
      <c r="X500" s="506"/>
      <c r="Y500" s="603"/>
      <c r="Z500" s="506">
        <v>278262</v>
      </c>
      <c r="AA500" s="603">
        <v>253103</v>
      </c>
      <c r="AB500" s="506">
        <v>219552</v>
      </c>
      <c r="AC500" s="603">
        <v>221573</v>
      </c>
      <c r="AD500" s="604">
        <v>242102</v>
      </c>
      <c r="AE500" s="603">
        <v>301534</v>
      </c>
      <c r="AF500" s="479">
        <f t="shared" si="235"/>
        <v>739916</v>
      </c>
      <c r="AG500" s="480">
        <f t="shared" si="236"/>
        <v>822.12888888888892</v>
      </c>
      <c r="AH500" s="481">
        <f t="shared" si="237"/>
        <v>776210</v>
      </c>
      <c r="AI500" s="481">
        <f t="shared" si="238"/>
        <v>862.45555555555552</v>
      </c>
      <c r="AJ500" s="487"/>
      <c r="AK500" s="603"/>
      <c r="AL500" s="479">
        <f t="shared" si="239"/>
        <v>0</v>
      </c>
      <c r="AM500" s="482">
        <f t="shared" si="240"/>
        <v>0</v>
      </c>
      <c r="AN500" s="487"/>
      <c r="AO500" s="603"/>
      <c r="AP500" s="487"/>
      <c r="AQ500" s="603"/>
      <c r="AR500" s="487"/>
      <c r="AS500" s="603"/>
      <c r="AT500" s="487"/>
      <c r="AU500" s="603"/>
      <c r="AV500" s="479">
        <f t="shared" si="241"/>
        <v>0</v>
      </c>
      <c r="AW500" s="483">
        <f t="shared" si="242"/>
        <v>0</v>
      </c>
      <c r="AX500" s="481">
        <f t="shared" si="243"/>
        <v>0</v>
      </c>
      <c r="AY500" s="484">
        <f t="shared" si="244"/>
        <v>0</v>
      </c>
      <c r="AZ500" s="485">
        <f t="shared" si="245"/>
        <v>822.12888888888892</v>
      </c>
      <c r="BA500" s="481">
        <f t="shared" si="246"/>
        <v>862.45555555555552</v>
      </c>
    </row>
    <row r="501" spans="1:53">
      <c r="A501" s="601" t="s">
        <v>276</v>
      </c>
      <c r="B501" s="748" t="s">
        <v>837</v>
      </c>
      <c r="C501" s="598"/>
      <c r="D501" s="599">
        <v>221236</v>
      </c>
      <c r="E501" s="600">
        <v>13</v>
      </c>
      <c r="F501" s="486" t="s">
        <v>41</v>
      </c>
      <c r="G501" s="529"/>
      <c r="H501" s="506"/>
      <c r="I501" s="488"/>
      <c r="J501" s="506"/>
      <c r="K501" s="602"/>
      <c r="L501" s="506"/>
      <c r="M501" s="602"/>
      <c r="N501" s="506"/>
      <c r="O501" s="602"/>
      <c r="P501" s="479">
        <f t="shared" si="229"/>
        <v>0</v>
      </c>
      <c r="Q501" s="480">
        <f t="shared" si="230"/>
        <v>0</v>
      </c>
      <c r="R501" s="481">
        <f t="shared" si="231"/>
        <v>0</v>
      </c>
      <c r="S501" s="482">
        <f t="shared" si="232"/>
        <v>0</v>
      </c>
      <c r="T501" s="506"/>
      <c r="U501" s="602"/>
      <c r="V501" s="479">
        <f t="shared" si="233"/>
        <v>0</v>
      </c>
      <c r="W501" s="478">
        <f t="shared" si="234"/>
        <v>0</v>
      </c>
      <c r="X501" s="506"/>
      <c r="Y501" s="603"/>
      <c r="Z501" s="506">
        <v>128808</v>
      </c>
      <c r="AA501" s="603">
        <v>92663</v>
      </c>
      <c r="AB501" s="506">
        <v>110683</v>
      </c>
      <c r="AC501" s="603">
        <v>77150</v>
      </c>
      <c r="AD501" s="604">
        <v>117982</v>
      </c>
      <c r="AE501" s="603">
        <v>91063</v>
      </c>
      <c r="AF501" s="479">
        <f t="shared" si="235"/>
        <v>357473</v>
      </c>
      <c r="AG501" s="480">
        <f t="shared" si="236"/>
        <v>397.1922222222222</v>
      </c>
      <c r="AH501" s="481">
        <f t="shared" si="237"/>
        <v>260876</v>
      </c>
      <c r="AI501" s="481">
        <f t="shared" si="238"/>
        <v>289.86222222222221</v>
      </c>
      <c r="AJ501" s="487"/>
      <c r="AK501" s="603"/>
      <c r="AL501" s="479">
        <f t="shared" si="239"/>
        <v>0</v>
      </c>
      <c r="AM501" s="482">
        <f t="shared" si="240"/>
        <v>0</v>
      </c>
      <c r="AN501" s="487"/>
      <c r="AO501" s="603"/>
      <c r="AP501" s="487"/>
      <c r="AQ501" s="603"/>
      <c r="AR501" s="487"/>
      <c r="AS501" s="603"/>
      <c r="AT501" s="487"/>
      <c r="AU501" s="603"/>
      <c r="AV501" s="479">
        <f t="shared" si="241"/>
        <v>0</v>
      </c>
      <c r="AW501" s="483">
        <f t="shared" si="242"/>
        <v>0</v>
      </c>
      <c r="AX501" s="481">
        <f t="shared" si="243"/>
        <v>0</v>
      </c>
      <c r="AY501" s="484">
        <f t="shared" si="244"/>
        <v>0</v>
      </c>
      <c r="AZ501" s="485">
        <f t="shared" si="245"/>
        <v>397.1922222222222</v>
      </c>
      <c r="BA501" s="481">
        <f t="shared" si="246"/>
        <v>289.86222222222221</v>
      </c>
    </row>
    <row r="502" spans="1:53">
      <c r="A502" s="601" t="s">
        <v>276</v>
      </c>
      <c r="B502" s="748" t="s">
        <v>838</v>
      </c>
      <c r="C502" s="598"/>
      <c r="D502" s="599">
        <v>221582</v>
      </c>
      <c r="E502" s="600">
        <v>13</v>
      </c>
      <c r="F502" s="486" t="s">
        <v>41</v>
      </c>
      <c r="G502" s="529"/>
      <c r="H502" s="506"/>
      <c r="I502" s="488"/>
      <c r="J502" s="506"/>
      <c r="K502" s="602"/>
      <c r="L502" s="506"/>
      <c r="M502" s="602"/>
      <c r="N502" s="506"/>
      <c r="O502" s="602"/>
      <c r="P502" s="479">
        <f t="shared" si="229"/>
        <v>0</v>
      </c>
      <c r="Q502" s="480">
        <f t="shared" si="230"/>
        <v>0</v>
      </c>
      <c r="R502" s="481">
        <f t="shared" si="231"/>
        <v>0</v>
      </c>
      <c r="S502" s="482">
        <f t="shared" si="232"/>
        <v>0</v>
      </c>
      <c r="T502" s="506"/>
      <c r="U502" s="602"/>
      <c r="V502" s="479">
        <f t="shared" si="233"/>
        <v>0</v>
      </c>
      <c r="W502" s="478">
        <f t="shared" si="234"/>
        <v>0</v>
      </c>
      <c r="X502" s="506"/>
      <c r="Y502" s="603"/>
      <c r="Z502" s="506">
        <v>74206</v>
      </c>
      <c r="AA502" s="603">
        <v>69280</v>
      </c>
      <c r="AB502" s="506">
        <v>54433</v>
      </c>
      <c r="AC502" s="603">
        <v>54092</v>
      </c>
      <c r="AD502" s="604">
        <v>73250</v>
      </c>
      <c r="AE502" s="603">
        <v>71848</v>
      </c>
      <c r="AF502" s="479">
        <f t="shared" si="235"/>
        <v>201889</v>
      </c>
      <c r="AG502" s="480">
        <f t="shared" si="236"/>
        <v>224.32111111111112</v>
      </c>
      <c r="AH502" s="481">
        <f t="shared" si="237"/>
        <v>195220</v>
      </c>
      <c r="AI502" s="481">
        <f t="shared" si="238"/>
        <v>216.9111111111111</v>
      </c>
      <c r="AJ502" s="487"/>
      <c r="AK502" s="603"/>
      <c r="AL502" s="479">
        <f t="shared" si="239"/>
        <v>0</v>
      </c>
      <c r="AM502" s="482">
        <f t="shared" si="240"/>
        <v>0</v>
      </c>
      <c r="AN502" s="487"/>
      <c r="AO502" s="603"/>
      <c r="AP502" s="487"/>
      <c r="AQ502" s="603"/>
      <c r="AR502" s="487"/>
      <c r="AS502" s="603"/>
      <c r="AT502" s="487"/>
      <c r="AU502" s="603"/>
      <c r="AV502" s="479">
        <f t="shared" si="241"/>
        <v>0</v>
      </c>
      <c r="AW502" s="483">
        <f t="shared" si="242"/>
        <v>0</v>
      </c>
      <c r="AX502" s="481">
        <f t="shared" si="243"/>
        <v>0</v>
      </c>
      <c r="AY502" s="484">
        <f t="shared" si="244"/>
        <v>0</v>
      </c>
      <c r="AZ502" s="485">
        <f t="shared" si="245"/>
        <v>224.32111111111112</v>
      </c>
      <c r="BA502" s="481">
        <f t="shared" si="246"/>
        <v>216.9111111111111</v>
      </c>
    </row>
    <row r="503" spans="1:53">
      <c r="A503" s="601" t="s">
        <v>276</v>
      </c>
      <c r="B503" s="748" t="s">
        <v>839</v>
      </c>
      <c r="C503" s="598"/>
      <c r="D503" s="599">
        <v>221281</v>
      </c>
      <c r="E503" s="600">
        <v>13</v>
      </c>
      <c r="F503" s="486" t="s">
        <v>41</v>
      </c>
      <c r="G503" s="529"/>
      <c r="H503" s="506"/>
      <c r="I503" s="488"/>
      <c r="J503" s="506"/>
      <c r="K503" s="602"/>
      <c r="L503" s="506"/>
      <c r="M503" s="602"/>
      <c r="N503" s="506"/>
      <c r="O503" s="602"/>
      <c r="P503" s="479">
        <f t="shared" si="229"/>
        <v>0</v>
      </c>
      <c r="Q503" s="480">
        <f t="shared" si="230"/>
        <v>0</v>
      </c>
      <c r="R503" s="481">
        <f t="shared" si="231"/>
        <v>0</v>
      </c>
      <c r="S503" s="482">
        <f t="shared" si="232"/>
        <v>0</v>
      </c>
      <c r="T503" s="506"/>
      <c r="U503" s="602"/>
      <c r="V503" s="479">
        <f t="shared" si="233"/>
        <v>0</v>
      </c>
      <c r="W503" s="478">
        <f t="shared" si="234"/>
        <v>0</v>
      </c>
      <c r="X503" s="506"/>
      <c r="Y503" s="603"/>
      <c r="Z503" s="506">
        <v>111690</v>
      </c>
      <c r="AA503" s="603">
        <v>105149</v>
      </c>
      <c r="AB503" s="506">
        <v>105413</v>
      </c>
      <c r="AC503" s="603">
        <v>96058</v>
      </c>
      <c r="AD503" s="604">
        <v>106651</v>
      </c>
      <c r="AE503" s="603">
        <v>92437</v>
      </c>
      <c r="AF503" s="479">
        <f t="shared" si="235"/>
        <v>323754</v>
      </c>
      <c r="AG503" s="480">
        <f t="shared" si="236"/>
        <v>359.72666666666669</v>
      </c>
      <c r="AH503" s="481">
        <f t="shared" si="237"/>
        <v>293644</v>
      </c>
      <c r="AI503" s="481">
        <f t="shared" si="238"/>
        <v>326.27111111111111</v>
      </c>
      <c r="AJ503" s="487"/>
      <c r="AK503" s="603"/>
      <c r="AL503" s="479">
        <f t="shared" si="239"/>
        <v>0</v>
      </c>
      <c r="AM503" s="482">
        <f t="shared" si="240"/>
        <v>0</v>
      </c>
      <c r="AN503" s="487"/>
      <c r="AO503" s="603"/>
      <c r="AP503" s="487"/>
      <c r="AQ503" s="603"/>
      <c r="AR503" s="487"/>
      <c r="AS503" s="603"/>
      <c r="AT503" s="487"/>
      <c r="AU503" s="603"/>
      <c r="AV503" s="479">
        <f t="shared" si="241"/>
        <v>0</v>
      </c>
      <c r="AW503" s="483">
        <f t="shared" si="242"/>
        <v>0</v>
      </c>
      <c r="AX503" s="481">
        <f t="shared" si="243"/>
        <v>0</v>
      </c>
      <c r="AY503" s="484">
        <f t="shared" si="244"/>
        <v>0</v>
      </c>
      <c r="AZ503" s="485">
        <f t="shared" si="245"/>
        <v>359.72666666666669</v>
      </c>
      <c r="BA503" s="481">
        <f t="shared" si="246"/>
        <v>326.27111111111111</v>
      </c>
    </row>
    <row r="504" spans="1:53">
      <c r="A504" s="601" t="s">
        <v>276</v>
      </c>
      <c r="B504" s="748" t="s">
        <v>840</v>
      </c>
      <c r="C504" s="598"/>
      <c r="D504" s="599">
        <v>221333</v>
      </c>
      <c r="E504" s="600">
        <v>13</v>
      </c>
      <c r="F504" s="486" t="s">
        <v>41</v>
      </c>
      <c r="G504" s="529"/>
      <c r="H504" s="506"/>
      <c r="I504" s="488"/>
      <c r="J504" s="506"/>
      <c r="K504" s="602"/>
      <c r="L504" s="506"/>
      <c r="M504" s="602"/>
      <c r="N504" s="506"/>
      <c r="O504" s="602"/>
      <c r="P504" s="479">
        <f t="shared" si="229"/>
        <v>0</v>
      </c>
      <c r="Q504" s="480">
        <f t="shared" si="230"/>
        <v>0</v>
      </c>
      <c r="R504" s="481">
        <f t="shared" si="231"/>
        <v>0</v>
      </c>
      <c r="S504" s="482">
        <f t="shared" si="232"/>
        <v>0</v>
      </c>
      <c r="T504" s="506"/>
      <c r="U504" s="602"/>
      <c r="V504" s="479">
        <f t="shared" si="233"/>
        <v>0</v>
      </c>
      <c r="W504" s="478">
        <f t="shared" si="234"/>
        <v>0</v>
      </c>
      <c r="X504" s="506"/>
      <c r="Y504" s="603"/>
      <c r="Z504" s="506">
        <v>127721</v>
      </c>
      <c r="AA504" s="603">
        <v>122165</v>
      </c>
      <c r="AB504" s="506">
        <v>63907</v>
      </c>
      <c r="AC504" s="603">
        <v>67750</v>
      </c>
      <c r="AD504" s="604">
        <v>117700</v>
      </c>
      <c r="AE504" s="603">
        <v>145954</v>
      </c>
      <c r="AF504" s="479">
        <f t="shared" si="235"/>
        <v>309328</v>
      </c>
      <c r="AG504" s="480">
        <f t="shared" si="236"/>
        <v>343.69777777777779</v>
      </c>
      <c r="AH504" s="481">
        <f t="shared" si="237"/>
        <v>335869</v>
      </c>
      <c r="AI504" s="481">
        <f t="shared" si="238"/>
        <v>373.1877777777778</v>
      </c>
      <c r="AJ504" s="487"/>
      <c r="AK504" s="603"/>
      <c r="AL504" s="479">
        <f t="shared" si="239"/>
        <v>0</v>
      </c>
      <c r="AM504" s="482">
        <f t="shared" si="240"/>
        <v>0</v>
      </c>
      <c r="AN504" s="487"/>
      <c r="AO504" s="603"/>
      <c r="AP504" s="487"/>
      <c r="AQ504" s="603"/>
      <c r="AR504" s="487"/>
      <c r="AS504" s="603"/>
      <c r="AT504" s="487"/>
      <c r="AU504" s="603"/>
      <c r="AV504" s="479">
        <f t="shared" si="241"/>
        <v>0</v>
      </c>
      <c r="AW504" s="483">
        <f t="shared" si="242"/>
        <v>0</v>
      </c>
      <c r="AX504" s="481">
        <f t="shared" si="243"/>
        <v>0</v>
      </c>
      <c r="AY504" s="484">
        <f t="shared" si="244"/>
        <v>0</v>
      </c>
      <c r="AZ504" s="485">
        <f t="shared" si="245"/>
        <v>343.69777777777779</v>
      </c>
      <c r="BA504" s="481">
        <f t="shared" si="246"/>
        <v>373.1877777777778</v>
      </c>
    </row>
    <row r="505" spans="1:53">
      <c r="A505" s="601" t="s">
        <v>276</v>
      </c>
      <c r="B505" s="748" t="s">
        <v>841</v>
      </c>
      <c r="C505" s="598"/>
      <c r="D505" s="599">
        <v>221388</v>
      </c>
      <c r="E505" s="600">
        <v>13</v>
      </c>
      <c r="F505" s="486" t="s">
        <v>41</v>
      </c>
      <c r="G505" s="529"/>
      <c r="H505" s="506"/>
      <c r="I505" s="488"/>
      <c r="J505" s="506"/>
      <c r="K505" s="602"/>
      <c r="L505" s="506"/>
      <c r="M505" s="602"/>
      <c r="N505" s="506"/>
      <c r="O505" s="602"/>
      <c r="P505" s="479">
        <f t="shared" si="229"/>
        <v>0</v>
      </c>
      <c r="Q505" s="480">
        <f t="shared" si="230"/>
        <v>0</v>
      </c>
      <c r="R505" s="481">
        <f t="shared" si="231"/>
        <v>0</v>
      </c>
      <c r="S505" s="482">
        <f t="shared" si="232"/>
        <v>0</v>
      </c>
      <c r="T505" s="506"/>
      <c r="U505" s="602"/>
      <c r="V505" s="479">
        <f t="shared" si="233"/>
        <v>0</v>
      </c>
      <c r="W505" s="478">
        <f t="shared" si="234"/>
        <v>0</v>
      </c>
      <c r="X505" s="506"/>
      <c r="Y505" s="603"/>
      <c r="Z505" s="506">
        <v>56880</v>
      </c>
      <c r="AA505" s="603">
        <v>48113</v>
      </c>
      <c r="AB505" s="506">
        <v>49724</v>
      </c>
      <c r="AC505" s="603">
        <v>40085</v>
      </c>
      <c r="AD505" s="604">
        <v>51382</v>
      </c>
      <c r="AE505" s="603">
        <v>52577</v>
      </c>
      <c r="AF505" s="479">
        <f t="shared" si="235"/>
        <v>157986</v>
      </c>
      <c r="AG505" s="480">
        <f t="shared" si="236"/>
        <v>175.54</v>
      </c>
      <c r="AH505" s="481">
        <f t="shared" si="237"/>
        <v>140775</v>
      </c>
      <c r="AI505" s="481">
        <f t="shared" si="238"/>
        <v>156.41666666666666</v>
      </c>
      <c r="AJ505" s="487"/>
      <c r="AK505" s="603"/>
      <c r="AL505" s="479">
        <f t="shared" si="239"/>
        <v>0</v>
      </c>
      <c r="AM505" s="482">
        <f t="shared" si="240"/>
        <v>0</v>
      </c>
      <c r="AN505" s="487"/>
      <c r="AO505" s="603"/>
      <c r="AP505" s="487"/>
      <c r="AQ505" s="603"/>
      <c r="AR505" s="487"/>
      <c r="AS505" s="603"/>
      <c r="AT505" s="487"/>
      <c r="AU505" s="603"/>
      <c r="AV505" s="479">
        <f t="shared" si="241"/>
        <v>0</v>
      </c>
      <c r="AW505" s="483">
        <f t="shared" si="242"/>
        <v>0</v>
      </c>
      <c r="AX505" s="481">
        <f t="shared" si="243"/>
        <v>0</v>
      </c>
      <c r="AY505" s="484">
        <f t="shared" si="244"/>
        <v>0</v>
      </c>
      <c r="AZ505" s="485">
        <f t="shared" si="245"/>
        <v>175.54</v>
      </c>
      <c r="BA505" s="481">
        <f t="shared" si="246"/>
        <v>156.41666666666666</v>
      </c>
    </row>
    <row r="506" spans="1:53">
      <c r="A506" s="601" t="s">
        <v>276</v>
      </c>
      <c r="B506" s="748" t="s">
        <v>842</v>
      </c>
      <c r="C506" s="598"/>
      <c r="D506" s="599">
        <v>221494</v>
      </c>
      <c r="E506" s="600">
        <v>13</v>
      </c>
      <c r="F506" s="486" t="s">
        <v>41</v>
      </c>
      <c r="G506" s="529"/>
      <c r="H506" s="506"/>
      <c r="I506" s="488"/>
      <c r="J506" s="506"/>
      <c r="K506" s="602"/>
      <c r="L506" s="506"/>
      <c r="M506" s="602"/>
      <c r="N506" s="506"/>
      <c r="O506" s="602"/>
      <c r="P506" s="479">
        <f t="shared" si="229"/>
        <v>0</v>
      </c>
      <c r="Q506" s="480">
        <f t="shared" si="230"/>
        <v>0</v>
      </c>
      <c r="R506" s="481">
        <f t="shared" si="231"/>
        <v>0</v>
      </c>
      <c r="S506" s="482">
        <f t="shared" si="232"/>
        <v>0</v>
      </c>
      <c r="T506" s="506"/>
      <c r="U506" s="602"/>
      <c r="V506" s="479">
        <f t="shared" si="233"/>
        <v>0</v>
      </c>
      <c r="W506" s="478">
        <f t="shared" si="234"/>
        <v>0</v>
      </c>
      <c r="X506" s="506"/>
      <c r="Y506" s="603"/>
      <c r="Z506" s="506">
        <v>157881</v>
      </c>
      <c r="AA506" s="603">
        <v>147038</v>
      </c>
      <c r="AB506" s="506">
        <v>151235</v>
      </c>
      <c r="AC506" s="603">
        <v>139579</v>
      </c>
      <c r="AD506" s="604">
        <v>161268</v>
      </c>
      <c r="AE506" s="603">
        <v>156299</v>
      </c>
      <c r="AF506" s="479">
        <f t="shared" si="235"/>
        <v>470384</v>
      </c>
      <c r="AG506" s="480">
        <f t="shared" si="236"/>
        <v>522.64888888888891</v>
      </c>
      <c r="AH506" s="481">
        <f t="shared" si="237"/>
        <v>442916</v>
      </c>
      <c r="AI506" s="481">
        <f t="shared" si="238"/>
        <v>492.12888888888887</v>
      </c>
      <c r="AJ506" s="487"/>
      <c r="AK506" s="603"/>
      <c r="AL506" s="479">
        <f t="shared" si="239"/>
        <v>0</v>
      </c>
      <c r="AM506" s="482">
        <f t="shared" si="240"/>
        <v>0</v>
      </c>
      <c r="AN506" s="487"/>
      <c r="AO506" s="603"/>
      <c r="AP506" s="487"/>
      <c r="AQ506" s="603"/>
      <c r="AR506" s="487"/>
      <c r="AS506" s="603"/>
      <c r="AT506" s="487"/>
      <c r="AU506" s="603"/>
      <c r="AV506" s="479">
        <f t="shared" si="241"/>
        <v>0</v>
      </c>
      <c r="AW506" s="483">
        <f t="shared" si="242"/>
        <v>0</v>
      </c>
      <c r="AX506" s="481">
        <f t="shared" si="243"/>
        <v>0</v>
      </c>
      <c r="AY506" s="484">
        <f t="shared" si="244"/>
        <v>0</v>
      </c>
      <c r="AZ506" s="485">
        <f t="shared" si="245"/>
        <v>522.64888888888891</v>
      </c>
      <c r="BA506" s="481">
        <f t="shared" si="246"/>
        <v>492.12888888888887</v>
      </c>
    </row>
    <row r="507" spans="1:53">
      <c r="A507" s="601" t="s">
        <v>276</v>
      </c>
      <c r="B507" s="748" t="s">
        <v>843</v>
      </c>
      <c r="C507" s="598"/>
      <c r="D507" s="599">
        <v>221634</v>
      </c>
      <c r="E507" s="600">
        <v>13</v>
      </c>
      <c r="F507" s="486" t="s">
        <v>41</v>
      </c>
      <c r="G507" s="529"/>
      <c r="H507" s="506"/>
      <c r="I507" s="488"/>
      <c r="J507" s="506"/>
      <c r="K507" s="602"/>
      <c r="L507" s="506"/>
      <c r="M507" s="602"/>
      <c r="N507" s="506"/>
      <c r="O507" s="602"/>
      <c r="P507" s="479">
        <f t="shared" si="229"/>
        <v>0</v>
      </c>
      <c r="Q507" s="480">
        <f t="shared" si="230"/>
        <v>0</v>
      </c>
      <c r="R507" s="481">
        <f t="shared" si="231"/>
        <v>0</v>
      </c>
      <c r="S507" s="482">
        <f t="shared" si="232"/>
        <v>0</v>
      </c>
      <c r="T507" s="506"/>
      <c r="U507" s="602"/>
      <c r="V507" s="479">
        <f t="shared" si="233"/>
        <v>0</v>
      </c>
      <c r="W507" s="478">
        <f t="shared" si="234"/>
        <v>0</v>
      </c>
      <c r="X507" s="506"/>
      <c r="Y507" s="603"/>
      <c r="Z507" s="506">
        <v>52309</v>
      </c>
      <c r="AA507" s="603">
        <v>49432</v>
      </c>
      <c r="AB507" s="506">
        <v>42222</v>
      </c>
      <c r="AC507" s="603">
        <v>51914</v>
      </c>
      <c r="AD507" s="604">
        <v>51522</v>
      </c>
      <c r="AE507" s="603">
        <v>61486</v>
      </c>
      <c r="AF507" s="479">
        <f t="shared" si="235"/>
        <v>146053</v>
      </c>
      <c r="AG507" s="480">
        <f t="shared" si="236"/>
        <v>162.2811111111111</v>
      </c>
      <c r="AH507" s="481">
        <f t="shared" si="237"/>
        <v>162832</v>
      </c>
      <c r="AI507" s="481">
        <f t="shared" si="238"/>
        <v>180.92444444444445</v>
      </c>
      <c r="AJ507" s="487"/>
      <c r="AK507" s="603"/>
      <c r="AL507" s="479">
        <f t="shared" si="239"/>
        <v>0</v>
      </c>
      <c r="AM507" s="482">
        <f t="shared" si="240"/>
        <v>0</v>
      </c>
      <c r="AN507" s="487"/>
      <c r="AO507" s="603"/>
      <c r="AP507" s="487"/>
      <c r="AQ507" s="603"/>
      <c r="AR507" s="487"/>
      <c r="AS507" s="603"/>
      <c r="AT507" s="487"/>
      <c r="AU507" s="603"/>
      <c r="AV507" s="479">
        <f t="shared" si="241"/>
        <v>0</v>
      </c>
      <c r="AW507" s="483">
        <f t="shared" si="242"/>
        <v>0</v>
      </c>
      <c r="AX507" s="481">
        <f t="shared" si="243"/>
        <v>0</v>
      </c>
      <c r="AY507" s="484">
        <f t="shared" si="244"/>
        <v>0</v>
      </c>
      <c r="AZ507" s="485">
        <f t="shared" si="245"/>
        <v>162.2811111111111</v>
      </c>
      <c r="BA507" s="481">
        <f t="shared" si="246"/>
        <v>180.92444444444445</v>
      </c>
    </row>
    <row r="508" spans="1:53">
      <c r="A508" s="548" t="s">
        <v>273</v>
      </c>
      <c r="B508" s="549" t="s">
        <v>474</v>
      </c>
      <c r="C508" s="576"/>
      <c r="D508" s="608">
        <v>228723</v>
      </c>
      <c r="E508" s="611">
        <v>1</v>
      </c>
      <c r="F508" s="486" t="s">
        <v>41</v>
      </c>
      <c r="G508" s="529"/>
      <c r="H508" s="506"/>
      <c r="I508" s="488"/>
      <c r="J508" s="506">
        <v>487578</v>
      </c>
      <c r="K508" s="488">
        <v>489907</v>
      </c>
      <c r="L508" s="506">
        <v>67755</v>
      </c>
      <c r="M508" s="488">
        <v>67424</v>
      </c>
      <c r="N508" s="506">
        <v>527575</v>
      </c>
      <c r="O508" s="488">
        <v>550743</v>
      </c>
      <c r="P508" s="479">
        <f t="shared" si="229"/>
        <v>1082908</v>
      </c>
      <c r="Q508" s="480">
        <f t="shared" si="230"/>
        <v>36096.933333333334</v>
      </c>
      <c r="R508" s="481">
        <f t="shared" si="231"/>
        <v>1108074</v>
      </c>
      <c r="S508" s="482">
        <f t="shared" si="232"/>
        <v>36935.800000000003</v>
      </c>
      <c r="T508" s="506">
        <v>0</v>
      </c>
      <c r="U508" s="507">
        <v>0</v>
      </c>
      <c r="V508" s="479">
        <f t="shared" si="233"/>
        <v>1082908</v>
      </c>
      <c r="W508" s="478">
        <f t="shared" si="234"/>
        <v>1108074</v>
      </c>
      <c r="X508" s="506"/>
      <c r="Y508" s="488"/>
      <c r="Z508" s="506"/>
      <c r="AA508" s="488"/>
      <c r="AB508" s="506"/>
      <c r="AC508" s="488"/>
      <c r="AD508" s="506"/>
      <c r="AE508" s="507"/>
      <c r="AF508" s="479">
        <f t="shared" si="235"/>
        <v>0</v>
      </c>
      <c r="AG508" s="480">
        <f t="shared" si="236"/>
        <v>0</v>
      </c>
      <c r="AH508" s="481">
        <f t="shared" si="237"/>
        <v>0</v>
      </c>
      <c r="AI508" s="481">
        <f t="shared" si="238"/>
        <v>0</v>
      </c>
      <c r="AJ508" s="487"/>
      <c r="AK508" s="507"/>
      <c r="AL508" s="479">
        <f t="shared" si="239"/>
        <v>0</v>
      </c>
      <c r="AM508" s="482">
        <f t="shared" si="240"/>
        <v>0</v>
      </c>
      <c r="AN508" s="487"/>
      <c r="AO508" s="488"/>
      <c r="AP508" s="487">
        <v>71993</v>
      </c>
      <c r="AQ508" s="488">
        <v>72911</v>
      </c>
      <c r="AR508" s="487">
        <v>26996</v>
      </c>
      <c r="AS508" s="488">
        <v>26551</v>
      </c>
      <c r="AT508" s="487">
        <v>80035</v>
      </c>
      <c r="AU508" s="488">
        <v>92833</v>
      </c>
      <c r="AV508" s="479">
        <f t="shared" si="241"/>
        <v>179024</v>
      </c>
      <c r="AW508" s="483">
        <f t="shared" si="242"/>
        <v>7459.333333333333</v>
      </c>
      <c r="AX508" s="481">
        <f t="shared" si="243"/>
        <v>192295</v>
      </c>
      <c r="AY508" s="484">
        <f t="shared" si="244"/>
        <v>8012.291666666667</v>
      </c>
      <c r="AZ508" s="485">
        <f t="shared" si="245"/>
        <v>43556.26666666667</v>
      </c>
      <c r="BA508" s="481">
        <f t="shared" si="246"/>
        <v>44948.091666666667</v>
      </c>
    </row>
    <row r="509" spans="1:53">
      <c r="A509" s="548" t="s">
        <v>273</v>
      </c>
      <c r="B509" s="549" t="s">
        <v>475</v>
      </c>
      <c r="C509" s="576"/>
      <c r="D509" s="608">
        <v>229115</v>
      </c>
      <c r="E509" s="611">
        <v>1</v>
      </c>
      <c r="F509" s="486" t="s">
        <v>41</v>
      </c>
      <c r="G509" s="529"/>
      <c r="H509" s="506"/>
      <c r="I509" s="488"/>
      <c r="J509" s="506">
        <v>312080</v>
      </c>
      <c r="K509" s="488">
        <v>313998</v>
      </c>
      <c r="L509" s="506">
        <v>60841</v>
      </c>
      <c r="M509" s="488">
        <v>55254</v>
      </c>
      <c r="N509" s="506">
        <v>342993</v>
      </c>
      <c r="O509" s="488">
        <v>347083</v>
      </c>
      <c r="P509" s="479">
        <f t="shared" si="229"/>
        <v>715914</v>
      </c>
      <c r="Q509" s="480">
        <f t="shared" si="230"/>
        <v>23863.8</v>
      </c>
      <c r="R509" s="481">
        <f t="shared" si="231"/>
        <v>716335</v>
      </c>
      <c r="S509" s="482">
        <f t="shared" si="232"/>
        <v>23877.833333333332</v>
      </c>
      <c r="T509" s="506">
        <v>0</v>
      </c>
      <c r="U509" s="507">
        <v>0</v>
      </c>
      <c r="V509" s="479">
        <f t="shared" si="233"/>
        <v>715914</v>
      </c>
      <c r="W509" s="478">
        <f t="shared" si="234"/>
        <v>716335</v>
      </c>
      <c r="X509" s="506"/>
      <c r="Y509" s="488"/>
      <c r="Z509" s="506"/>
      <c r="AA509" s="488"/>
      <c r="AB509" s="506"/>
      <c r="AC509" s="488"/>
      <c r="AD509" s="506"/>
      <c r="AE509" s="507"/>
      <c r="AF509" s="479">
        <f t="shared" si="235"/>
        <v>0</v>
      </c>
      <c r="AG509" s="480">
        <f t="shared" si="236"/>
        <v>0</v>
      </c>
      <c r="AH509" s="481">
        <f t="shared" si="237"/>
        <v>0</v>
      </c>
      <c r="AI509" s="481">
        <f t="shared" si="238"/>
        <v>0</v>
      </c>
      <c r="AJ509" s="487"/>
      <c r="AK509" s="507"/>
      <c r="AL509" s="479">
        <f t="shared" si="239"/>
        <v>0</v>
      </c>
      <c r="AM509" s="482">
        <f t="shared" si="240"/>
        <v>0</v>
      </c>
      <c r="AN509" s="487"/>
      <c r="AO509" s="488"/>
      <c r="AP509" s="487">
        <v>47982</v>
      </c>
      <c r="AQ509" s="488">
        <v>47569</v>
      </c>
      <c r="AR509" s="487">
        <v>21815</v>
      </c>
      <c r="AS509" s="488">
        <v>21940</v>
      </c>
      <c r="AT509" s="487">
        <v>49549</v>
      </c>
      <c r="AU509" s="488">
        <v>49441</v>
      </c>
      <c r="AV509" s="479">
        <f t="shared" si="241"/>
        <v>119346</v>
      </c>
      <c r="AW509" s="483">
        <f t="shared" si="242"/>
        <v>4972.75</v>
      </c>
      <c r="AX509" s="481">
        <f t="shared" si="243"/>
        <v>118950</v>
      </c>
      <c r="AY509" s="484">
        <f t="shared" si="244"/>
        <v>4956.25</v>
      </c>
      <c r="AZ509" s="485">
        <f t="shared" si="245"/>
        <v>28836.55</v>
      </c>
      <c r="BA509" s="481">
        <f t="shared" si="246"/>
        <v>28834.083333333332</v>
      </c>
    </row>
    <row r="510" spans="1:53">
      <c r="A510" s="548" t="s">
        <v>273</v>
      </c>
      <c r="B510" s="549" t="s">
        <v>476</v>
      </c>
      <c r="C510" s="576"/>
      <c r="D510" s="608">
        <v>225511</v>
      </c>
      <c r="E510" s="611">
        <v>1</v>
      </c>
      <c r="F510" s="486" t="s">
        <v>41</v>
      </c>
      <c r="G510" s="529"/>
      <c r="H510" s="506"/>
      <c r="I510" s="488"/>
      <c r="J510" s="506">
        <v>351355</v>
      </c>
      <c r="K510" s="488">
        <v>356013</v>
      </c>
      <c r="L510" s="506">
        <v>59472</v>
      </c>
      <c r="M510" s="488">
        <v>56996</v>
      </c>
      <c r="N510" s="506">
        <v>381811</v>
      </c>
      <c r="O510" s="488">
        <v>370353</v>
      </c>
      <c r="P510" s="479">
        <f t="shared" si="229"/>
        <v>792638</v>
      </c>
      <c r="Q510" s="480">
        <f t="shared" si="230"/>
        <v>26421.266666666666</v>
      </c>
      <c r="R510" s="481">
        <f t="shared" si="231"/>
        <v>783362</v>
      </c>
      <c r="S510" s="482">
        <f t="shared" si="232"/>
        <v>26112.066666666666</v>
      </c>
      <c r="T510" s="506">
        <v>9</v>
      </c>
      <c r="U510" s="507">
        <v>35</v>
      </c>
      <c r="V510" s="479">
        <f t="shared" si="233"/>
        <v>792638</v>
      </c>
      <c r="W510" s="478">
        <f t="shared" si="234"/>
        <v>783362</v>
      </c>
      <c r="X510" s="506"/>
      <c r="Y510" s="488"/>
      <c r="Z510" s="506"/>
      <c r="AA510" s="488"/>
      <c r="AB510" s="506"/>
      <c r="AC510" s="488"/>
      <c r="AD510" s="506"/>
      <c r="AE510" s="507"/>
      <c r="AF510" s="479">
        <f t="shared" si="235"/>
        <v>0</v>
      </c>
      <c r="AG510" s="480">
        <f t="shared" si="236"/>
        <v>0</v>
      </c>
      <c r="AH510" s="481">
        <f t="shared" si="237"/>
        <v>0</v>
      </c>
      <c r="AI510" s="481">
        <f t="shared" si="238"/>
        <v>0</v>
      </c>
      <c r="AJ510" s="487"/>
      <c r="AK510" s="507"/>
      <c r="AL510" s="479">
        <f t="shared" si="239"/>
        <v>0</v>
      </c>
      <c r="AM510" s="482">
        <f t="shared" si="240"/>
        <v>0</v>
      </c>
      <c r="AN510" s="487"/>
      <c r="AO510" s="488"/>
      <c r="AP510" s="487">
        <v>75964</v>
      </c>
      <c r="AQ510" s="488">
        <v>75462</v>
      </c>
      <c r="AR510" s="487">
        <v>23480</v>
      </c>
      <c r="AS510" s="488">
        <v>19556</v>
      </c>
      <c r="AT510" s="487">
        <v>77398</v>
      </c>
      <c r="AU510" s="488">
        <v>76643</v>
      </c>
      <c r="AV510" s="479">
        <f t="shared" si="241"/>
        <v>176842</v>
      </c>
      <c r="AW510" s="483">
        <f t="shared" si="242"/>
        <v>7368.416666666667</v>
      </c>
      <c r="AX510" s="481">
        <f t="shared" si="243"/>
        <v>171661</v>
      </c>
      <c r="AY510" s="484">
        <f t="shared" si="244"/>
        <v>7152.541666666667</v>
      </c>
      <c r="AZ510" s="485">
        <f t="shared" si="245"/>
        <v>33789.683333333334</v>
      </c>
      <c r="BA510" s="481">
        <f t="shared" si="246"/>
        <v>33264.60833333333</v>
      </c>
    </row>
    <row r="511" spans="1:53">
      <c r="A511" s="574" t="s">
        <v>273</v>
      </c>
      <c r="B511" s="549" t="s">
        <v>477</v>
      </c>
      <c r="C511" s="576"/>
      <c r="D511" s="608">
        <v>227216</v>
      </c>
      <c r="E511" s="611">
        <v>1</v>
      </c>
      <c r="F511" s="486" t="s">
        <v>41</v>
      </c>
      <c r="G511" s="529"/>
      <c r="H511" s="506"/>
      <c r="I511" s="488"/>
      <c r="J511" s="506">
        <v>320167</v>
      </c>
      <c r="K511" s="488">
        <v>326644</v>
      </c>
      <c r="L511" s="506">
        <v>71578</v>
      </c>
      <c r="M511" s="488">
        <v>64168</v>
      </c>
      <c r="N511" s="506">
        <v>359234</v>
      </c>
      <c r="O511" s="488">
        <v>364893</v>
      </c>
      <c r="P511" s="479">
        <f t="shared" si="229"/>
        <v>750979</v>
      </c>
      <c r="Q511" s="480">
        <f t="shared" si="230"/>
        <v>25032.633333333335</v>
      </c>
      <c r="R511" s="481">
        <f t="shared" si="231"/>
        <v>755705</v>
      </c>
      <c r="S511" s="482">
        <f t="shared" si="232"/>
        <v>25190.166666666668</v>
      </c>
      <c r="T511" s="506">
        <v>0</v>
      </c>
      <c r="U511" s="507">
        <v>0</v>
      </c>
      <c r="V511" s="479">
        <f t="shared" si="233"/>
        <v>750979</v>
      </c>
      <c r="W511" s="478">
        <f t="shared" si="234"/>
        <v>755705</v>
      </c>
      <c r="X511" s="506"/>
      <c r="Y511" s="488"/>
      <c r="Z511" s="506"/>
      <c r="AA511" s="488"/>
      <c r="AB511" s="506"/>
      <c r="AC511" s="488"/>
      <c r="AD511" s="506"/>
      <c r="AE511" s="507"/>
      <c r="AF511" s="479">
        <f t="shared" si="235"/>
        <v>0</v>
      </c>
      <c r="AG511" s="480">
        <f t="shared" si="236"/>
        <v>0</v>
      </c>
      <c r="AH511" s="481">
        <f t="shared" si="237"/>
        <v>0</v>
      </c>
      <c r="AI511" s="481">
        <f t="shared" si="238"/>
        <v>0</v>
      </c>
      <c r="AJ511" s="487"/>
      <c r="AK511" s="507"/>
      <c r="AL511" s="479">
        <f t="shared" si="239"/>
        <v>0</v>
      </c>
      <c r="AM511" s="482">
        <f t="shared" si="240"/>
        <v>0</v>
      </c>
      <c r="AN511" s="487"/>
      <c r="AO511" s="488"/>
      <c r="AP511" s="487">
        <v>43300</v>
      </c>
      <c r="AQ511" s="488">
        <v>40213</v>
      </c>
      <c r="AR511" s="487">
        <v>17512</v>
      </c>
      <c r="AS511" s="488">
        <v>15731</v>
      </c>
      <c r="AT511" s="487">
        <v>42588</v>
      </c>
      <c r="AU511" s="488">
        <v>41497</v>
      </c>
      <c r="AV511" s="479">
        <f t="shared" si="241"/>
        <v>103400</v>
      </c>
      <c r="AW511" s="483">
        <f t="shared" si="242"/>
        <v>4308.333333333333</v>
      </c>
      <c r="AX511" s="481">
        <f t="shared" si="243"/>
        <v>97441</v>
      </c>
      <c r="AY511" s="484">
        <f t="shared" si="244"/>
        <v>4060.0416666666665</v>
      </c>
      <c r="AZ511" s="485">
        <f t="shared" si="245"/>
        <v>29340.966666666667</v>
      </c>
      <c r="BA511" s="481">
        <f t="shared" si="246"/>
        <v>29250.208333333336</v>
      </c>
    </row>
    <row r="512" spans="1:53">
      <c r="A512" s="574" t="s">
        <v>273</v>
      </c>
      <c r="B512" s="549" t="s">
        <v>478</v>
      </c>
      <c r="C512" s="576"/>
      <c r="D512" s="608">
        <v>228769</v>
      </c>
      <c r="E512" s="611">
        <v>1</v>
      </c>
      <c r="F512" s="486" t="s">
        <v>41</v>
      </c>
      <c r="G512" s="529"/>
      <c r="H512" s="506"/>
      <c r="I512" s="488"/>
      <c r="J512" s="506">
        <v>275569</v>
      </c>
      <c r="K512" s="488">
        <v>278334</v>
      </c>
      <c r="L512" s="506">
        <v>86203</v>
      </c>
      <c r="M512" s="488">
        <v>84389</v>
      </c>
      <c r="N512" s="506">
        <v>269106</v>
      </c>
      <c r="O512" s="488">
        <v>265830</v>
      </c>
      <c r="P512" s="479">
        <f t="shared" si="229"/>
        <v>630878</v>
      </c>
      <c r="Q512" s="480">
        <f t="shared" si="230"/>
        <v>21029.266666666666</v>
      </c>
      <c r="R512" s="481">
        <f t="shared" si="231"/>
        <v>628553</v>
      </c>
      <c r="S512" s="482">
        <f t="shared" si="232"/>
        <v>20951.766666666666</v>
      </c>
      <c r="T512" s="506">
        <v>1789</v>
      </c>
      <c r="U512" s="507">
        <v>1882</v>
      </c>
      <c r="V512" s="479">
        <f t="shared" si="233"/>
        <v>630878</v>
      </c>
      <c r="W512" s="478">
        <f t="shared" si="234"/>
        <v>628553</v>
      </c>
      <c r="X512" s="506"/>
      <c r="Y512" s="488"/>
      <c r="Z512" s="506"/>
      <c r="AA512" s="488"/>
      <c r="AB512" s="506"/>
      <c r="AC512" s="488"/>
      <c r="AD512" s="506"/>
      <c r="AE512" s="507"/>
      <c r="AF512" s="479">
        <f t="shared" si="235"/>
        <v>0</v>
      </c>
      <c r="AG512" s="480">
        <f t="shared" si="236"/>
        <v>0</v>
      </c>
      <c r="AH512" s="481">
        <f t="shared" si="237"/>
        <v>0</v>
      </c>
      <c r="AI512" s="481">
        <f t="shared" si="238"/>
        <v>0</v>
      </c>
      <c r="AJ512" s="487"/>
      <c r="AK512" s="507"/>
      <c r="AL512" s="479">
        <f t="shared" si="239"/>
        <v>0</v>
      </c>
      <c r="AM512" s="482">
        <f t="shared" si="240"/>
        <v>0</v>
      </c>
      <c r="AN512" s="487"/>
      <c r="AO512" s="488"/>
      <c r="AP512" s="487">
        <v>55709</v>
      </c>
      <c r="AQ512" s="488">
        <v>51457</v>
      </c>
      <c r="AR512" s="487">
        <v>30908</v>
      </c>
      <c r="AS512" s="488">
        <v>26790</v>
      </c>
      <c r="AT512" s="487">
        <v>49000</v>
      </c>
      <c r="AU512" s="488">
        <v>49198</v>
      </c>
      <c r="AV512" s="479">
        <f t="shared" si="241"/>
        <v>135617</v>
      </c>
      <c r="AW512" s="483">
        <f t="shared" si="242"/>
        <v>5650.708333333333</v>
      </c>
      <c r="AX512" s="481">
        <f t="shared" si="243"/>
        <v>127445</v>
      </c>
      <c r="AY512" s="484">
        <f t="shared" si="244"/>
        <v>5310.208333333333</v>
      </c>
      <c r="AZ512" s="485">
        <f t="shared" si="245"/>
        <v>26679.974999999999</v>
      </c>
      <c r="BA512" s="481">
        <f t="shared" si="246"/>
        <v>26261.974999999999</v>
      </c>
    </row>
    <row r="513" spans="1:53">
      <c r="A513" s="574" t="s">
        <v>273</v>
      </c>
      <c r="B513" s="549" t="s">
        <v>479</v>
      </c>
      <c r="C513" s="576"/>
      <c r="D513" s="608">
        <v>228778</v>
      </c>
      <c r="E513" s="611">
        <v>1</v>
      </c>
      <c r="F513" s="486" t="s">
        <v>41</v>
      </c>
      <c r="G513" s="529"/>
      <c r="H513" s="506"/>
      <c r="I513" s="488"/>
      <c r="J513" s="506">
        <v>479745</v>
      </c>
      <c r="K513" s="488">
        <v>497917</v>
      </c>
      <c r="L513" s="506">
        <v>62147</v>
      </c>
      <c r="M513" s="488">
        <v>63763</v>
      </c>
      <c r="N513" s="506">
        <v>531841</v>
      </c>
      <c r="O513" s="488">
        <v>531022</v>
      </c>
      <c r="P513" s="479">
        <f t="shared" si="229"/>
        <v>1073733</v>
      </c>
      <c r="Q513" s="480">
        <f t="shared" si="230"/>
        <v>35791.1</v>
      </c>
      <c r="R513" s="481">
        <f t="shared" si="231"/>
        <v>1092702</v>
      </c>
      <c r="S513" s="482">
        <f t="shared" si="232"/>
        <v>36423.4</v>
      </c>
      <c r="T513" s="506">
        <v>0</v>
      </c>
      <c r="U513" s="507">
        <v>0</v>
      </c>
      <c r="V513" s="479">
        <f t="shared" si="233"/>
        <v>1073733</v>
      </c>
      <c r="W513" s="478">
        <f t="shared" si="234"/>
        <v>1092702</v>
      </c>
      <c r="X513" s="506"/>
      <c r="Y513" s="488"/>
      <c r="Z513" s="506"/>
      <c r="AA513" s="488"/>
      <c r="AB513" s="506"/>
      <c r="AC513" s="488"/>
      <c r="AD513" s="506"/>
      <c r="AE513" s="507"/>
      <c r="AF513" s="479">
        <f t="shared" si="235"/>
        <v>0</v>
      </c>
      <c r="AG513" s="480">
        <f t="shared" si="236"/>
        <v>0</v>
      </c>
      <c r="AH513" s="481">
        <f t="shared" si="237"/>
        <v>0</v>
      </c>
      <c r="AI513" s="481">
        <f t="shared" si="238"/>
        <v>0</v>
      </c>
      <c r="AJ513" s="487"/>
      <c r="AK513" s="507"/>
      <c r="AL513" s="479">
        <f t="shared" si="239"/>
        <v>0</v>
      </c>
      <c r="AM513" s="482">
        <f t="shared" si="240"/>
        <v>0</v>
      </c>
      <c r="AN513" s="487"/>
      <c r="AO513" s="488"/>
      <c r="AP513" s="487">
        <v>118576</v>
      </c>
      <c r="AQ513" s="488">
        <v>114297</v>
      </c>
      <c r="AR513" s="487">
        <v>23200</v>
      </c>
      <c r="AS513" s="488">
        <v>22178</v>
      </c>
      <c r="AT513" s="487">
        <v>120566</v>
      </c>
      <c r="AU513" s="488">
        <v>119895</v>
      </c>
      <c r="AV513" s="479">
        <f t="shared" si="241"/>
        <v>262342</v>
      </c>
      <c r="AW513" s="483">
        <f t="shared" si="242"/>
        <v>10930.916666666666</v>
      </c>
      <c r="AX513" s="481">
        <f t="shared" si="243"/>
        <v>256370</v>
      </c>
      <c r="AY513" s="484">
        <f t="shared" si="244"/>
        <v>10682.083333333334</v>
      </c>
      <c r="AZ513" s="485">
        <f t="shared" si="245"/>
        <v>46722.016666666663</v>
      </c>
      <c r="BA513" s="481">
        <f t="shared" si="246"/>
        <v>47105.483333333337</v>
      </c>
    </row>
    <row r="514" spans="1:53">
      <c r="A514" s="574" t="s">
        <v>273</v>
      </c>
      <c r="B514" s="549" t="s">
        <v>480</v>
      </c>
      <c r="C514" s="576"/>
      <c r="D514" s="608">
        <v>228787</v>
      </c>
      <c r="E514" s="611">
        <v>1</v>
      </c>
      <c r="F514" s="486" t="s">
        <v>41</v>
      </c>
      <c r="G514" s="529"/>
      <c r="H514" s="506"/>
      <c r="I514" s="488"/>
      <c r="J514" s="506">
        <v>139810</v>
      </c>
      <c r="K514" s="488">
        <v>144224</v>
      </c>
      <c r="L514" s="506">
        <v>22247</v>
      </c>
      <c r="M514" s="488">
        <v>21274</v>
      </c>
      <c r="N514" s="506">
        <v>153081</v>
      </c>
      <c r="O514" s="488">
        <v>167877</v>
      </c>
      <c r="P514" s="479">
        <f t="shared" si="229"/>
        <v>315138</v>
      </c>
      <c r="Q514" s="480">
        <f t="shared" si="230"/>
        <v>10504.6</v>
      </c>
      <c r="R514" s="481">
        <f t="shared" si="231"/>
        <v>333375</v>
      </c>
      <c r="S514" s="482">
        <f t="shared" si="232"/>
        <v>11112.5</v>
      </c>
      <c r="T514" s="506">
        <v>0</v>
      </c>
      <c r="U514" s="507">
        <v>0</v>
      </c>
      <c r="V514" s="479">
        <f t="shared" si="233"/>
        <v>315138</v>
      </c>
      <c r="W514" s="478">
        <f t="shared" si="234"/>
        <v>333375</v>
      </c>
      <c r="X514" s="506"/>
      <c r="Y514" s="488"/>
      <c r="Z514" s="506"/>
      <c r="AA514" s="488"/>
      <c r="AB514" s="506"/>
      <c r="AC514" s="488"/>
      <c r="AD514" s="506"/>
      <c r="AE514" s="507"/>
      <c r="AF514" s="479">
        <f t="shared" si="235"/>
        <v>0</v>
      </c>
      <c r="AG514" s="480">
        <f t="shared" si="236"/>
        <v>0</v>
      </c>
      <c r="AH514" s="481">
        <f t="shared" si="237"/>
        <v>0</v>
      </c>
      <c r="AI514" s="481">
        <f t="shared" si="238"/>
        <v>0</v>
      </c>
      <c r="AJ514" s="487"/>
      <c r="AK514" s="507"/>
      <c r="AL514" s="479">
        <f t="shared" si="239"/>
        <v>0</v>
      </c>
      <c r="AM514" s="482">
        <f t="shared" si="240"/>
        <v>0</v>
      </c>
      <c r="AN514" s="487"/>
      <c r="AO514" s="488"/>
      <c r="AP514" s="487">
        <v>52527</v>
      </c>
      <c r="AQ514" s="488">
        <v>57307</v>
      </c>
      <c r="AR514" s="487">
        <v>19285</v>
      </c>
      <c r="AS514" s="488">
        <v>19843</v>
      </c>
      <c r="AT514" s="487">
        <v>58762</v>
      </c>
      <c r="AU514" s="488">
        <v>62991</v>
      </c>
      <c r="AV514" s="479">
        <f t="shared" si="241"/>
        <v>130574</v>
      </c>
      <c r="AW514" s="483">
        <f t="shared" si="242"/>
        <v>5440.583333333333</v>
      </c>
      <c r="AX514" s="481">
        <f t="shared" si="243"/>
        <v>140141</v>
      </c>
      <c r="AY514" s="484">
        <f t="shared" si="244"/>
        <v>5839.208333333333</v>
      </c>
      <c r="AZ514" s="485">
        <f t="shared" si="245"/>
        <v>15945.183333333334</v>
      </c>
      <c r="BA514" s="481">
        <f t="shared" si="246"/>
        <v>16951.708333333332</v>
      </c>
    </row>
    <row r="515" spans="1:53">
      <c r="A515" s="574" t="s">
        <v>273</v>
      </c>
      <c r="B515" s="605" t="s">
        <v>481</v>
      </c>
      <c r="C515" s="576"/>
      <c r="D515" s="608">
        <v>229179</v>
      </c>
      <c r="E515" s="611">
        <v>2</v>
      </c>
      <c r="F515" s="486" t="s">
        <v>41</v>
      </c>
      <c r="G515" s="529"/>
      <c r="H515" s="506"/>
      <c r="I515" s="488"/>
      <c r="J515" s="506">
        <v>97792</v>
      </c>
      <c r="K515" s="488">
        <v>101664</v>
      </c>
      <c r="L515" s="506">
        <v>22120</v>
      </c>
      <c r="M515" s="488">
        <v>22820</v>
      </c>
      <c r="N515" s="506">
        <v>109096</v>
      </c>
      <c r="O515" s="488">
        <v>110630</v>
      </c>
      <c r="P515" s="479">
        <f t="shared" si="229"/>
        <v>229008</v>
      </c>
      <c r="Q515" s="480">
        <f t="shared" si="230"/>
        <v>7633.6</v>
      </c>
      <c r="R515" s="481">
        <f t="shared" si="231"/>
        <v>235114</v>
      </c>
      <c r="S515" s="482">
        <f t="shared" si="232"/>
        <v>7837.1333333333332</v>
      </c>
      <c r="T515" s="506">
        <v>1872</v>
      </c>
      <c r="U515" s="507">
        <v>2191</v>
      </c>
      <c r="V515" s="479">
        <f t="shared" si="233"/>
        <v>229008</v>
      </c>
      <c r="W515" s="478">
        <f t="shared" si="234"/>
        <v>235114</v>
      </c>
      <c r="X515" s="506"/>
      <c r="Y515" s="488"/>
      <c r="Z515" s="506"/>
      <c r="AA515" s="488"/>
      <c r="AB515" s="506"/>
      <c r="AC515" s="488"/>
      <c r="AD515" s="506"/>
      <c r="AE515" s="507"/>
      <c r="AF515" s="479">
        <f t="shared" si="235"/>
        <v>0</v>
      </c>
      <c r="AG515" s="480">
        <f t="shared" si="236"/>
        <v>0</v>
      </c>
      <c r="AH515" s="481">
        <f t="shared" si="237"/>
        <v>0</v>
      </c>
      <c r="AI515" s="481">
        <f t="shared" si="238"/>
        <v>0</v>
      </c>
      <c r="AJ515" s="487"/>
      <c r="AK515" s="507"/>
      <c r="AL515" s="479">
        <f t="shared" si="239"/>
        <v>0</v>
      </c>
      <c r="AM515" s="482">
        <f t="shared" si="240"/>
        <v>0</v>
      </c>
      <c r="AN515" s="487"/>
      <c r="AO515" s="488"/>
      <c r="AP515" s="487">
        <v>34002</v>
      </c>
      <c r="AQ515" s="488">
        <v>37527</v>
      </c>
      <c r="AR515" s="487">
        <v>28288</v>
      </c>
      <c r="AS515" s="488">
        <v>30295</v>
      </c>
      <c r="AT515" s="487">
        <v>35470</v>
      </c>
      <c r="AU515" s="488">
        <v>35319</v>
      </c>
      <c r="AV515" s="479">
        <f t="shared" si="241"/>
        <v>97760</v>
      </c>
      <c r="AW515" s="483">
        <f t="shared" si="242"/>
        <v>4073.3333333333335</v>
      </c>
      <c r="AX515" s="481">
        <f t="shared" si="243"/>
        <v>103141</v>
      </c>
      <c r="AY515" s="484">
        <f t="shared" si="244"/>
        <v>4297.541666666667</v>
      </c>
      <c r="AZ515" s="485">
        <f t="shared" si="245"/>
        <v>11706.933333333334</v>
      </c>
      <c r="BA515" s="481">
        <f t="shared" si="246"/>
        <v>12134.674999999999</v>
      </c>
    </row>
    <row r="516" spans="1:53">
      <c r="A516" s="574" t="s">
        <v>273</v>
      </c>
      <c r="B516" s="549" t="s">
        <v>482</v>
      </c>
      <c r="C516" s="576" t="s">
        <v>619</v>
      </c>
      <c r="D516" s="608">
        <v>228796</v>
      </c>
      <c r="E516" s="611">
        <v>2</v>
      </c>
      <c r="F516" s="486" t="s">
        <v>41</v>
      </c>
      <c r="G516" s="529"/>
      <c r="H516" s="506"/>
      <c r="I516" s="488"/>
      <c r="J516" s="506">
        <v>197653</v>
      </c>
      <c r="K516" s="488">
        <v>197352</v>
      </c>
      <c r="L516" s="506">
        <v>50496</v>
      </c>
      <c r="M516" s="488">
        <v>49568</v>
      </c>
      <c r="N516" s="506">
        <v>210047</v>
      </c>
      <c r="O516" s="488">
        <v>216227</v>
      </c>
      <c r="P516" s="479">
        <f t="shared" si="229"/>
        <v>458196</v>
      </c>
      <c r="Q516" s="480">
        <f t="shared" si="230"/>
        <v>15273.2</v>
      </c>
      <c r="R516" s="481">
        <f t="shared" si="231"/>
        <v>463147</v>
      </c>
      <c r="S516" s="482">
        <f t="shared" si="232"/>
        <v>15438.233333333334</v>
      </c>
      <c r="T516" s="506">
        <v>0</v>
      </c>
      <c r="U516" s="507">
        <v>0</v>
      </c>
      <c r="V516" s="479">
        <f t="shared" si="233"/>
        <v>458196</v>
      </c>
      <c r="W516" s="478">
        <f t="shared" si="234"/>
        <v>463147</v>
      </c>
      <c r="X516" s="506"/>
      <c r="Y516" s="488"/>
      <c r="Z516" s="506"/>
      <c r="AA516" s="488"/>
      <c r="AB516" s="506"/>
      <c r="AC516" s="488"/>
      <c r="AD516" s="506"/>
      <c r="AE516" s="507"/>
      <c r="AF516" s="479">
        <f t="shared" si="235"/>
        <v>0</v>
      </c>
      <c r="AG516" s="480">
        <f t="shared" si="236"/>
        <v>0</v>
      </c>
      <c r="AH516" s="481">
        <f t="shared" si="237"/>
        <v>0</v>
      </c>
      <c r="AI516" s="481">
        <f t="shared" si="238"/>
        <v>0</v>
      </c>
      <c r="AJ516" s="487"/>
      <c r="AK516" s="507"/>
      <c r="AL516" s="479">
        <f t="shared" si="239"/>
        <v>0</v>
      </c>
      <c r="AM516" s="482">
        <f t="shared" si="240"/>
        <v>0</v>
      </c>
      <c r="AN516" s="487"/>
      <c r="AO516" s="488"/>
      <c r="AP516" s="487">
        <v>24745</v>
      </c>
      <c r="AQ516" s="488">
        <v>23931</v>
      </c>
      <c r="AR516" s="487">
        <v>11164</v>
      </c>
      <c r="AS516" s="488">
        <v>10957</v>
      </c>
      <c r="AT516" s="487">
        <v>23460</v>
      </c>
      <c r="AU516" s="488">
        <v>21382</v>
      </c>
      <c r="AV516" s="479">
        <f t="shared" si="241"/>
        <v>59369</v>
      </c>
      <c r="AW516" s="483">
        <f t="shared" si="242"/>
        <v>2473.7083333333335</v>
      </c>
      <c r="AX516" s="481">
        <f t="shared" si="243"/>
        <v>56270</v>
      </c>
      <c r="AY516" s="484">
        <f t="shared" si="244"/>
        <v>2344.5833333333335</v>
      </c>
      <c r="AZ516" s="485">
        <f t="shared" si="245"/>
        <v>17746.908333333333</v>
      </c>
      <c r="BA516" s="481">
        <f t="shared" si="246"/>
        <v>17782.816666666666</v>
      </c>
    </row>
    <row r="517" spans="1:53">
      <c r="A517" s="574" t="s">
        <v>273</v>
      </c>
      <c r="B517" s="549" t="s">
        <v>483</v>
      </c>
      <c r="C517" s="576"/>
      <c r="D517" s="608">
        <v>229027</v>
      </c>
      <c r="E517" s="611">
        <v>2</v>
      </c>
      <c r="F517" s="486" t="s">
        <v>41</v>
      </c>
      <c r="G517" s="529"/>
      <c r="H517" s="506"/>
      <c r="I517" s="488"/>
      <c r="J517" s="506">
        <v>285614</v>
      </c>
      <c r="K517" s="488">
        <v>276627</v>
      </c>
      <c r="L517" s="506">
        <v>52071</v>
      </c>
      <c r="M517" s="488">
        <v>53163</v>
      </c>
      <c r="N517" s="506">
        <v>305203</v>
      </c>
      <c r="O517" s="488">
        <v>288639</v>
      </c>
      <c r="P517" s="479">
        <f t="shared" si="229"/>
        <v>642888</v>
      </c>
      <c r="Q517" s="480">
        <f t="shared" si="230"/>
        <v>21429.599999999999</v>
      </c>
      <c r="R517" s="481">
        <f t="shared" si="231"/>
        <v>618429</v>
      </c>
      <c r="S517" s="482">
        <f t="shared" si="232"/>
        <v>20614.3</v>
      </c>
      <c r="T517" s="506">
        <v>333</v>
      </c>
      <c r="U517" s="507">
        <v>367</v>
      </c>
      <c r="V517" s="479">
        <f t="shared" si="233"/>
        <v>642888</v>
      </c>
      <c r="W517" s="478">
        <f t="shared" si="234"/>
        <v>618429</v>
      </c>
      <c r="X517" s="506"/>
      <c r="Y517" s="488"/>
      <c r="Z517" s="506"/>
      <c r="AA517" s="488"/>
      <c r="AB517" s="506"/>
      <c r="AC517" s="488"/>
      <c r="AD517" s="506"/>
      <c r="AE517" s="507"/>
      <c r="AF517" s="479">
        <f t="shared" si="235"/>
        <v>0</v>
      </c>
      <c r="AG517" s="480">
        <f t="shared" si="236"/>
        <v>0</v>
      </c>
      <c r="AH517" s="481">
        <f t="shared" si="237"/>
        <v>0</v>
      </c>
      <c r="AI517" s="481">
        <f t="shared" si="238"/>
        <v>0</v>
      </c>
      <c r="AJ517" s="487"/>
      <c r="AK517" s="507"/>
      <c r="AL517" s="479">
        <f t="shared" si="239"/>
        <v>0</v>
      </c>
      <c r="AM517" s="482">
        <f t="shared" si="240"/>
        <v>0</v>
      </c>
      <c r="AN517" s="487"/>
      <c r="AO517" s="488"/>
      <c r="AP517" s="487">
        <v>29754</v>
      </c>
      <c r="AQ517" s="488">
        <v>28506</v>
      </c>
      <c r="AR517" s="487">
        <v>11612</v>
      </c>
      <c r="AS517" s="488">
        <v>10556</v>
      </c>
      <c r="AT517" s="487">
        <v>29605</v>
      </c>
      <c r="AU517" s="488">
        <v>28494</v>
      </c>
      <c r="AV517" s="479">
        <f t="shared" si="241"/>
        <v>70971</v>
      </c>
      <c r="AW517" s="483">
        <f t="shared" si="242"/>
        <v>2957.125</v>
      </c>
      <c r="AX517" s="481">
        <f t="shared" si="243"/>
        <v>67556</v>
      </c>
      <c r="AY517" s="484">
        <f t="shared" si="244"/>
        <v>2814.8333333333335</v>
      </c>
      <c r="AZ517" s="485">
        <f t="shared" si="245"/>
        <v>24386.724999999999</v>
      </c>
      <c r="BA517" s="481">
        <f t="shared" si="246"/>
        <v>23429.133333333331</v>
      </c>
    </row>
    <row r="518" spans="1:53">
      <c r="A518" s="574" t="s">
        <v>273</v>
      </c>
      <c r="B518" s="549" t="s">
        <v>484</v>
      </c>
      <c r="C518" s="576"/>
      <c r="D518" s="608">
        <v>222831</v>
      </c>
      <c r="E518" s="611">
        <v>3</v>
      </c>
      <c r="F518" s="486" t="s">
        <v>41</v>
      </c>
      <c r="G518" s="529"/>
      <c r="H518" s="506"/>
      <c r="I518" s="488"/>
      <c r="J518" s="506">
        <v>63537</v>
      </c>
      <c r="K518" s="488">
        <v>66576</v>
      </c>
      <c r="L518" s="506">
        <v>12199</v>
      </c>
      <c r="M518" s="488">
        <v>12190</v>
      </c>
      <c r="N518" s="506">
        <v>74515</v>
      </c>
      <c r="O518" s="488">
        <v>69590</v>
      </c>
      <c r="P518" s="479">
        <f t="shared" si="229"/>
        <v>150251</v>
      </c>
      <c r="Q518" s="480">
        <f t="shared" si="230"/>
        <v>5008.3666666666668</v>
      </c>
      <c r="R518" s="481">
        <f t="shared" si="231"/>
        <v>148356</v>
      </c>
      <c r="S518" s="482">
        <f t="shared" si="232"/>
        <v>4945.2</v>
      </c>
      <c r="T518" s="506">
        <v>436</v>
      </c>
      <c r="U518" s="507">
        <v>528</v>
      </c>
      <c r="V518" s="479">
        <f t="shared" si="233"/>
        <v>150251</v>
      </c>
      <c r="W518" s="478">
        <f t="shared" si="234"/>
        <v>148356</v>
      </c>
      <c r="X518" s="506"/>
      <c r="Y518" s="488"/>
      <c r="Z518" s="506"/>
      <c r="AA518" s="488"/>
      <c r="AB518" s="506"/>
      <c r="AC518" s="488"/>
      <c r="AD518" s="506"/>
      <c r="AE518" s="507"/>
      <c r="AF518" s="479">
        <f t="shared" si="235"/>
        <v>0</v>
      </c>
      <c r="AG518" s="480">
        <f t="shared" si="236"/>
        <v>0</v>
      </c>
      <c r="AH518" s="481">
        <f t="shared" si="237"/>
        <v>0</v>
      </c>
      <c r="AI518" s="481">
        <f t="shared" si="238"/>
        <v>0</v>
      </c>
      <c r="AJ518" s="487"/>
      <c r="AK518" s="507"/>
      <c r="AL518" s="479">
        <f t="shared" si="239"/>
        <v>0</v>
      </c>
      <c r="AM518" s="482">
        <f t="shared" si="240"/>
        <v>0</v>
      </c>
      <c r="AN518" s="487"/>
      <c r="AO518" s="488"/>
      <c r="AP518" s="487">
        <v>5915</v>
      </c>
      <c r="AQ518" s="488">
        <v>8043</v>
      </c>
      <c r="AR518" s="487">
        <v>4217</v>
      </c>
      <c r="AS518" s="488">
        <v>5071</v>
      </c>
      <c r="AT518" s="487">
        <v>4942</v>
      </c>
      <c r="AU518" s="488">
        <v>5287</v>
      </c>
      <c r="AV518" s="479">
        <f t="shared" si="241"/>
        <v>15074</v>
      </c>
      <c r="AW518" s="483">
        <f t="shared" si="242"/>
        <v>628.08333333333337</v>
      </c>
      <c r="AX518" s="481">
        <f t="shared" si="243"/>
        <v>18401</v>
      </c>
      <c r="AY518" s="484">
        <f t="shared" si="244"/>
        <v>766.70833333333337</v>
      </c>
      <c r="AZ518" s="485">
        <f t="shared" si="245"/>
        <v>5636.45</v>
      </c>
      <c r="BA518" s="481">
        <f t="shared" si="246"/>
        <v>5711.9083333333328</v>
      </c>
    </row>
    <row r="519" spans="1:53">
      <c r="A519" s="574" t="s">
        <v>273</v>
      </c>
      <c r="B519" s="549" t="s">
        <v>485</v>
      </c>
      <c r="C519" s="576"/>
      <c r="D519" s="608">
        <v>226091</v>
      </c>
      <c r="E519" s="611">
        <v>3</v>
      </c>
      <c r="F519" s="486" t="s">
        <v>41</v>
      </c>
      <c r="G519" s="529"/>
      <c r="H519" s="506"/>
      <c r="I519" s="488"/>
      <c r="J519" s="506">
        <v>100939</v>
      </c>
      <c r="K519" s="488">
        <v>100752</v>
      </c>
      <c r="L519" s="506">
        <v>25948</v>
      </c>
      <c r="M519" s="488">
        <v>27575</v>
      </c>
      <c r="N519" s="506">
        <v>108011</v>
      </c>
      <c r="O519" s="488">
        <v>102639</v>
      </c>
      <c r="P519" s="479">
        <f t="shared" si="229"/>
        <v>234898</v>
      </c>
      <c r="Q519" s="480">
        <f t="shared" si="230"/>
        <v>7829.9333333333334</v>
      </c>
      <c r="R519" s="481">
        <f t="shared" si="231"/>
        <v>230966</v>
      </c>
      <c r="S519" s="482">
        <f t="shared" si="232"/>
        <v>7698.8666666666668</v>
      </c>
      <c r="T519" s="506">
        <v>4551</v>
      </c>
      <c r="U519" s="507">
        <v>3851</v>
      </c>
      <c r="V519" s="479">
        <f t="shared" si="233"/>
        <v>234898</v>
      </c>
      <c r="W519" s="478">
        <f t="shared" si="234"/>
        <v>230966</v>
      </c>
      <c r="X519" s="506"/>
      <c r="Y519" s="488"/>
      <c r="Z519" s="506"/>
      <c r="AA519" s="488"/>
      <c r="AB519" s="506"/>
      <c r="AC519" s="488"/>
      <c r="AD519" s="506"/>
      <c r="AE519" s="507"/>
      <c r="AF519" s="479">
        <f t="shared" si="235"/>
        <v>0</v>
      </c>
      <c r="AG519" s="480">
        <f t="shared" si="236"/>
        <v>0</v>
      </c>
      <c r="AH519" s="481">
        <f t="shared" si="237"/>
        <v>0</v>
      </c>
      <c r="AI519" s="481">
        <f t="shared" si="238"/>
        <v>0</v>
      </c>
      <c r="AJ519" s="487"/>
      <c r="AK519" s="507"/>
      <c r="AL519" s="479">
        <f t="shared" si="239"/>
        <v>0</v>
      </c>
      <c r="AM519" s="482">
        <f t="shared" si="240"/>
        <v>0</v>
      </c>
      <c r="AN519" s="487"/>
      <c r="AO519" s="488"/>
      <c r="AP519" s="487">
        <v>33798</v>
      </c>
      <c r="AQ519" s="488">
        <v>37653</v>
      </c>
      <c r="AR519" s="487">
        <v>30578</v>
      </c>
      <c r="AS519" s="488">
        <v>32977</v>
      </c>
      <c r="AT519" s="487">
        <v>27457</v>
      </c>
      <c r="AU519" s="488">
        <v>26889</v>
      </c>
      <c r="AV519" s="479">
        <f t="shared" si="241"/>
        <v>91833</v>
      </c>
      <c r="AW519" s="483">
        <f t="shared" si="242"/>
        <v>3826.375</v>
      </c>
      <c r="AX519" s="481">
        <f t="shared" si="243"/>
        <v>97519</v>
      </c>
      <c r="AY519" s="484">
        <f t="shared" si="244"/>
        <v>4063.2916666666665</v>
      </c>
      <c r="AZ519" s="485">
        <f t="shared" si="245"/>
        <v>11656.308333333334</v>
      </c>
      <c r="BA519" s="481">
        <f t="shared" si="246"/>
        <v>11762.158333333333</v>
      </c>
    </row>
    <row r="520" spans="1:53">
      <c r="A520" s="574" t="s">
        <v>273</v>
      </c>
      <c r="B520" s="549" t="s">
        <v>486</v>
      </c>
      <c r="C520" s="576"/>
      <c r="D520" s="608">
        <v>226833</v>
      </c>
      <c r="E520" s="611">
        <v>3</v>
      </c>
      <c r="F520" s="486" t="s">
        <v>41</v>
      </c>
      <c r="G520" s="529"/>
      <c r="H520" s="506"/>
      <c r="I520" s="488"/>
      <c r="J520" s="506">
        <v>57294</v>
      </c>
      <c r="K520" s="488">
        <v>53807</v>
      </c>
      <c r="L520" s="506">
        <v>13394</v>
      </c>
      <c r="M520" s="488">
        <v>11855</v>
      </c>
      <c r="N520" s="506">
        <v>59232</v>
      </c>
      <c r="O520" s="488">
        <v>59631</v>
      </c>
      <c r="P520" s="479">
        <f t="shared" ref="P520:P583" si="247">SUM(H520,J520,L520,N520)</f>
        <v>129920</v>
      </c>
      <c r="Q520" s="480">
        <f t="shared" ref="Q520:Q583" si="248">+P520/30</f>
        <v>4330.666666666667</v>
      </c>
      <c r="R520" s="481">
        <f t="shared" ref="R520:R583" si="249">SUM(I520,K520,M520,O520)</f>
        <v>125293</v>
      </c>
      <c r="S520" s="482">
        <f t="shared" ref="S520:S583" si="250">+R520/30</f>
        <v>4176.4333333333334</v>
      </c>
      <c r="T520" s="506">
        <v>229</v>
      </c>
      <c r="U520" s="507">
        <v>150</v>
      </c>
      <c r="V520" s="479">
        <f t="shared" ref="V520:V583" si="251">IF(ISBLANK(T520),0,P520)</f>
        <v>129920</v>
      </c>
      <c r="W520" s="478">
        <f t="shared" ref="W520:W583" si="252">IF(ISBLANK(U520),0,R520)</f>
        <v>125293</v>
      </c>
      <c r="X520" s="506"/>
      <c r="Y520" s="488"/>
      <c r="Z520" s="506"/>
      <c r="AA520" s="488"/>
      <c r="AB520" s="506"/>
      <c r="AC520" s="488"/>
      <c r="AD520" s="506"/>
      <c r="AE520" s="507"/>
      <c r="AF520" s="479">
        <f t="shared" ref="AF520:AF583" si="253">SUM(X520,Z520,AB520,AD520)</f>
        <v>0</v>
      </c>
      <c r="AG520" s="480">
        <f t="shared" ref="AG520:AG583" si="254">+AF520/900</f>
        <v>0</v>
      </c>
      <c r="AH520" s="481">
        <f t="shared" ref="AH520:AH583" si="255">SUM(Y520,AA520,AC520,AE520)</f>
        <v>0</v>
      </c>
      <c r="AI520" s="481">
        <f t="shared" ref="AI520:AI583" si="256">+AH520/900</f>
        <v>0</v>
      </c>
      <c r="AJ520" s="487"/>
      <c r="AK520" s="507"/>
      <c r="AL520" s="479">
        <f t="shared" ref="AL520:AL583" si="257">IF(ISBLANK(AJ520),0,AF520)</f>
        <v>0</v>
      </c>
      <c r="AM520" s="482">
        <f t="shared" ref="AM520:AM583" si="258">IF(ISBLANK(AK520),0,AH520)</f>
        <v>0</v>
      </c>
      <c r="AN520" s="487"/>
      <c r="AO520" s="488"/>
      <c r="AP520" s="487">
        <v>2958</v>
      </c>
      <c r="AQ520" s="488">
        <v>2956</v>
      </c>
      <c r="AR520" s="487">
        <v>1912</v>
      </c>
      <c r="AS520" s="488">
        <v>1897</v>
      </c>
      <c r="AT520" s="487">
        <v>3156</v>
      </c>
      <c r="AU520" s="488">
        <v>3125</v>
      </c>
      <c r="AV520" s="479">
        <f t="shared" ref="AV520:AV583" si="259">SUM(AN520,AP520,AR520,AT520)</f>
        <v>8026</v>
      </c>
      <c r="AW520" s="483">
        <f t="shared" ref="AW520:AW583" si="260">+AV520/24</f>
        <v>334.41666666666669</v>
      </c>
      <c r="AX520" s="481">
        <f t="shared" ref="AX520:AX583" si="261">SUM(AO520,AQ520,AS520,AU520)</f>
        <v>7978</v>
      </c>
      <c r="AY520" s="484">
        <f t="shared" ref="AY520:AY583" si="262">+AX520/24</f>
        <v>332.41666666666669</v>
      </c>
      <c r="AZ520" s="485">
        <f t="shared" ref="AZ520:AZ583" si="263">SUM(Q520,AG520,AW520)</f>
        <v>4665.0833333333339</v>
      </c>
      <c r="BA520" s="481">
        <f t="shared" ref="BA520:BA583" si="264">SUM(S520,AI520,AY520)</f>
        <v>4508.8500000000004</v>
      </c>
    </row>
    <row r="521" spans="1:53">
      <c r="A521" s="574" t="s">
        <v>273</v>
      </c>
      <c r="B521" s="549" t="s">
        <v>487</v>
      </c>
      <c r="C521" s="576"/>
      <c r="D521" s="608">
        <v>227526</v>
      </c>
      <c r="E521" s="611">
        <v>3</v>
      </c>
      <c r="F521" s="486" t="s">
        <v>41</v>
      </c>
      <c r="G521" s="529"/>
      <c r="H521" s="506"/>
      <c r="I521" s="488"/>
      <c r="J521" s="506">
        <v>80259</v>
      </c>
      <c r="K521" s="488">
        <v>82733</v>
      </c>
      <c r="L521" s="506">
        <v>14211</v>
      </c>
      <c r="M521" s="488">
        <v>13550</v>
      </c>
      <c r="N521" s="506">
        <v>89083</v>
      </c>
      <c r="O521" s="488">
        <v>89027</v>
      </c>
      <c r="P521" s="479">
        <f t="shared" si="247"/>
        <v>183553</v>
      </c>
      <c r="Q521" s="480">
        <f t="shared" si="248"/>
        <v>6118.4333333333334</v>
      </c>
      <c r="R521" s="481">
        <f t="shared" si="249"/>
        <v>185310</v>
      </c>
      <c r="S521" s="482">
        <f t="shared" si="250"/>
        <v>6177</v>
      </c>
      <c r="T521" s="506">
        <v>0</v>
      </c>
      <c r="U521" s="507">
        <v>0</v>
      </c>
      <c r="V521" s="479">
        <f t="shared" si="251"/>
        <v>183553</v>
      </c>
      <c r="W521" s="478">
        <f t="shared" si="252"/>
        <v>185310</v>
      </c>
      <c r="X521" s="506"/>
      <c r="Y521" s="488"/>
      <c r="Z521" s="506"/>
      <c r="AA521" s="488"/>
      <c r="AB521" s="506"/>
      <c r="AC521" s="488"/>
      <c r="AD521" s="506"/>
      <c r="AE521" s="507"/>
      <c r="AF521" s="479">
        <f t="shared" si="253"/>
        <v>0</v>
      </c>
      <c r="AG521" s="480">
        <f t="shared" si="254"/>
        <v>0</v>
      </c>
      <c r="AH521" s="481">
        <f t="shared" si="255"/>
        <v>0</v>
      </c>
      <c r="AI521" s="481">
        <f t="shared" si="256"/>
        <v>0</v>
      </c>
      <c r="AJ521" s="487"/>
      <c r="AK521" s="507"/>
      <c r="AL521" s="479">
        <f t="shared" si="257"/>
        <v>0</v>
      </c>
      <c r="AM521" s="482">
        <f t="shared" si="258"/>
        <v>0</v>
      </c>
      <c r="AN521" s="487"/>
      <c r="AO521" s="488"/>
      <c r="AP521" s="487">
        <v>10809</v>
      </c>
      <c r="AQ521" s="488">
        <v>10746</v>
      </c>
      <c r="AR521" s="487">
        <v>5250</v>
      </c>
      <c r="AS521" s="488">
        <v>4868</v>
      </c>
      <c r="AT521" s="487">
        <v>10718</v>
      </c>
      <c r="AU521" s="488">
        <v>10296</v>
      </c>
      <c r="AV521" s="479">
        <f t="shared" si="259"/>
        <v>26777</v>
      </c>
      <c r="AW521" s="483">
        <f t="shared" si="260"/>
        <v>1115.7083333333333</v>
      </c>
      <c r="AX521" s="481">
        <f t="shared" si="261"/>
        <v>25910</v>
      </c>
      <c r="AY521" s="484">
        <f t="shared" si="262"/>
        <v>1079.5833333333333</v>
      </c>
      <c r="AZ521" s="485">
        <f t="shared" si="263"/>
        <v>7234.1416666666664</v>
      </c>
      <c r="BA521" s="481">
        <f t="shared" si="264"/>
        <v>7256.583333333333</v>
      </c>
    </row>
    <row r="522" spans="1:53">
      <c r="A522" s="574" t="s">
        <v>273</v>
      </c>
      <c r="B522" s="549" t="s">
        <v>488</v>
      </c>
      <c r="C522" s="576"/>
      <c r="D522" s="608">
        <v>227881</v>
      </c>
      <c r="E522" s="611">
        <v>3</v>
      </c>
      <c r="F522" s="486" t="s">
        <v>41</v>
      </c>
      <c r="G522" s="529"/>
      <c r="H522" s="506"/>
      <c r="I522" s="488"/>
      <c r="J522" s="506">
        <v>176959</v>
      </c>
      <c r="K522" s="488">
        <v>182813</v>
      </c>
      <c r="L522" s="506">
        <v>34348</v>
      </c>
      <c r="M522" s="488">
        <v>35265</v>
      </c>
      <c r="N522" s="506">
        <v>197545</v>
      </c>
      <c r="O522" s="488">
        <v>203570</v>
      </c>
      <c r="P522" s="479">
        <f t="shared" si="247"/>
        <v>408852</v>
      </c>
      <c r="Q522" s="480">
        <f t="shared" si="248"/>
        <v>13628.4</v>
      </c>
      <c r="R522" s="481">
        <f t="shared" si="249"/>
        <v>421648</v>
      </c>
      <c r="S522" s="482">
        <f t="shared" si="250"/>
        <v>14054.933333333332</v>
      </c>
      <c r="T522" s="506">
        <v>0</v>
      </c>
      <c r="U522" s="507">
        <v>7</v>
      </c>
      <c r="V522" s="479">
        <f t="shared" si="251"/>
        <v>408852</v>
      </c>
      <c r="W522" s="478">
        <f t="shared" si="252"/>
        <v>421648</v>
      </c>
      <c r="X522" s="506"/>
      <c r="Y522" s="488"/>
      <c r="Z522" s="506"/>
      <c r="AA522" s="488"/>
      <c r="AB522" s="506"/>
      <c r="AC522" s="488"/>
      <c r="AD522" s="506"/>
      <c r="AE522" s="507"/>
      <c r="AF522" s="479">
        <f t="shared" si="253"/>
        <v>0</v>
      </c>
      <c r="AG522" s="480">
        <f t="shared" si="254"/>
        <v>0</v>
      </c>
      <c r="AH522" s="481">
        <f t="shared" si="255"/>
        <v>0</v>
      </c>
      <c r="AI522" s="481">
        <f t="shared" si="256"/>
        <v>0</v>
      </c>
      <c r="AJ522" s="487"/>
      <c r="AK522" s="507"/>
      <c r="AL522" s="479">
        <f t="shared" si="257"/>
        <v>0</v>
      </c>
      <c r="AM522" s="482">
        <f t="shared" si="258"/>
        <v>0</v>
      </c>
      <c r="AN522" s="487"/>
      <c r="AO522" s="488"/>
      <c r="AP522" s="487">
        <v>15307</v>
      </c>
      <c r="AQ522" s="488">
        <v>16339</v>
      </c>
      <c r="AR522" s="487">
        <v>13335</v>
      </c>
      <c r="AS522" s="488">
        <v>13267</v>
      </c>
      <c r="AT522" s="487">
        <v>16186</v>
      </c>
      <c r="AU522" s="488">
        <v>17477</v>
      </c>
      <c r="AV522" s="479">
        <f t="shared" si="259"/>
        <v>44828</v>
      </c>
      <c r="AW522" s="483">
        <f t="shared" si="260"/>
        <v>1867.8333333333333</v>
      </c>
      <c r="AX522" s="481">
        <f t="shared" si="261"/>
        <v>47083</v>
      </c>
      <c r="AY522" s="484">
        <f t="shared" si="262"/>
        <v>1961.7916666666667</v>
      </c>
      <c r="AZ522" s="485">
        <f t="shared" si="263"/>
        <v>15496.233333333334</v>
      </c>
      <c r="BA522" s="481">
        <f t="shared" si="264"/>
        <v>16016.724999999999</v>
      </c>
    </row>
    <row r="523" spans="1:53">
      <c r="A523" s="574" t="s">
        <v>273</v>
      </c>
      <c r="B523" s="549" t="s">
        <v>489</v>
      </c>
      <c r="C523" s="576"/>
      <c r="D523" s="608">
        <v>228431</v>
      </c>
      <c r="E523" s="611">
        <v>3</v>
      </c>
      <c r="F523" s="486" t="s">
        <v>41</v>
      </c>
      <c r="G523" s="529"/>
      <c r="H523" s="506"/>
      <c r="I523" s="488"/>
      <c r="J523" s="506">
        <v>131478</v>
      </c>
      <c r="K523" s="488">
        <v>129115</v>
      </c>
      <c r="L523" s="506">
        <v>29548</v>
      </c>
      <c r="M523" s="488">
        <v>26647</v>
      </c>
      <c r="N523" s="506">
        <v>141922</v>
      </c>
      <c r="O523" s="488">
        <v>136024</v>
      </c>
      <c r="P523" s="479">
        <f t="shared" si="247"/>
        <v>302948</v>
      </c>
      <c r="Q523" s="480">
        <f t="shared" si="248"/>
        <v>10098.266666666666</v>
      </c>
      <c r="R523" s="481">
        <f t="shared" si="249"/>
        <v>291786</v>
      </c>
      <c r="S523" s="482">
        <f t="shared" si="250"/>
        <v>9726.2000000000007</v>
      </c>
      <c r="T523" s="506">
        <v>1892</v>
      </c>
      <c r="U523" s="507">
        <v>2425</v>
      </c>
      <c r="V523" s="479">
        <f t="shared" si="251"/>
        <v>302948</v>
      </c>
      <c r="W523" s="478">
        <f t="shared" si="252"/>
        <v>291786</v>
      </c>
      <c r="X523" s="506"/>
      <c r="Y523" s="488"/>
      <c r="Z523" s="506"/>
      <c r="AA523" s="488"/>
      <c r="AB523" s="506"/>
      <c r="AC523" s="488"/>
      <c r="AD523" s="506"/>
      <c r="AE523" s="507"/>
      <c r="AF523" s="479">
        <f t="shared" si="253"/>
        <v>0</v>
      </c>
      <c r="AG523" s="480">
        <f t="shared" si="254"/>
        <v>0</v>
      </c>
      <c r="AH523" s="481">
        <f t="shared" si="255"/>
        <v>0</v>
      </c>
      <c r="AI523" s="481">
        <f t="shared" si="256"/>
        <v>0</v>
      </c>
      <c r="AJ523" s="487"/>
      <c r="AK523" s="507"/>
      <c r="AL523" s="479">
        <f t="shared" si="257"/>
        <v>0</v>
      </c>
      <c r="AM523" s="482">
        <f t="shared" si="258"/>
        <v>0</v>
      </c>
      <c r="AN523" s="487"/>
      <c r="AO523" s="488"/>
      <c r="AP523" s="487">
        <v>9666</v>
      </c>
      <c r="AQ523" s="488">
        <v>10280</v>
      </c>
      <c r="AR523" s="487">
        <v>7147</v>
      </c>
      <c r="AS523" s="488">
        <v>7842</v>
      </c>
      <c r="AT523" s="487">
        <v>10261</v>
      </c>
      <c r="AU523" s="488">
        <v>9877</v>
      </c>
      <c r="AV523" s="479">
        <f t="shared" si="259"/>
        <v>27074</v>
      </c>
      <c r="AW523" s="483">
        <f t="shared" si="260"/>
        <v>1128.0833333333333</v>
      </c>
      <c r="AX523" s="481">
        <f t="shared" si="261"/>
        <v>27999</v>
      </c>
      <c r="AY523" s="484">
        <f t="shared" si="262"/>
        <v>1166.625</v>
      </c>
      <c r="AZ523" s="485">
        <f t="shared" si="263"/>
        <v>11226.35</v>
      </c>
      <c r="BA523" s="481">
        <f t="shared" si="264"/>
        <v>10892.825000000001</v>
      </c>
    </row>
    <row r="524" spans="1:53">
      <c r="A524" s="574" t="s">
        <v>273</v>
      </c>
      <c r="B524" s="549" t="s">
        <v>490</v>
      </c>
      <c r="C524" s="576"/>
      <c r="D524" s="616">
        <v>228501</v>
      </c>
      <c r="E524" s="606">
        <v>3</v>
      </c>
      <c r="F524" s="486" t="s">
        <v>41</v>
      </c>
      <c r="G524" s="529"/>
      <c r="H524" s="506"/>
      <c r="I524" s="488"/>
      <c r="J524" s="506">
        <v>15958</v>
      </c>
      <c r="K524" s="488">
        <v>14162</v>
      </c>
      <c r="L524" s="506">
        <v>2831</v>
      </c>
      <c r="M524" s="488">
        <v>2699</v>
      </c>
      <c r="N524" s="506">
        <v>15518</v>
      </c>
      <c r="O524" s="488">
        <v>15877</v>
      </c>
      <c r="P524" s="479">
        <f t="shared" si="247"/>
        <v>34307</v>
      </c>
      <c r="Q524" s="480">
        <f t="shared" si="248"/>
        <v>1143.5666666666666</v>
      </c>
      <c r="R524" s="481">
        <f t="shared" si="249"/>
        <v>32738</v>
      </c>
      <c r="S524" s="482">
        <f t="shared" si="250"/>
        <v>1091.2666666666667</v>
      </c>
      <c r="T524" s="506">
        <v>604</v>
      </c>
      <c r="U524" s="507">
        <v>807</v>
      </c>
      <c r="V524" s="479">
        <f t="shared" si="251"/>
        <v>34307</v>
      </c>
      <c r="W524" s="478">
        <f t="shared" si="252"/>
        <v>32738</v>
      </c>
      <c r="X524" s="506"/>
      <c r="Y524" s="488"/>
      <c r="Z524" s="506"/>
      <c r="AA524" s="488"/>
      <c r="AB524" s="506"/>
      <c r="AC524" s="488"/>
      <c r="AD524" s="506"/>
      <c r="AE524" s="507"/>
      <c r="AF524" s="479">
        <f t="shared" si="253"/>
        <v>0</v>
      </c>
      <c r="AG524" s="480">
        <f t="shared" si="254"/>
        <v>0</v>
      </c>
      <c r="AH524" s="481">
        <f t="shared" si="255"/>
        <v>0</v>
      </c>
      <c r="AI524" s="481">
        <f t="shared" si="256"/>
        <v>0</v>
      </c>
      <c r="AJ524" s="487"/>
      <c r="AK524" s="507"/>
      <c r="AL524" s="479">
        <f t="shared" si="257"/>
        <v>0</v>
      </c>
      <c r="AM524" s="482">
        <f t="shared" si="258"/>
        <v>0</v>
      </c>
      <c r="AN524" s="487"/>
      <c r="AO524" s="488"/>
      <c r="AP524" s="487">
        <v>3121</v>
      </c>
      <c r="AQ524" s="488">
        <v>3102</v>
      </c>
      <c r="AR524" s="487">
        <v>2553</v>
      </c>
      <c r="AS524" s="488">
        <v>2900</v>
      </c>
      <c r="AT524" s="487">
        <v>3071</v>
      </c>
      <c r="AU524" s="488">
        <v>3166</v>
      </c>
      <c r="AV524" s="479">
        <f t="shared" si="259"/>
        <v>8745</v>
      </c>
      <c r="AW524" s="483">
        <f t="shared" si="260"/>
        <v>364.375</v>
      </c>
      <c r="AX524" s="481">
        <f t="shared" si="261"/>
        <v>9168</v>
      </c>
      <c r="AY524" s="484">
        <f t="shared" si="262"/>
        <v>382</v>
      </c>
      <c r="AZ524" s="485">
        <f t="shared" si="263"/>
        <v>1507.9416666666666</v>
      </c>
      <c r="BA524" s="481">
        <f t="shared" si="264"/>
        <v>1473.2666666666667</v>
      </c>
    </row>
    <row r="525" spans="1:53">
      <c r="A525" s="574" t="s">
        <v>273</v>
      </c>
      <c r="B525" s="549" t="s">
        <v>491</v>
      </c>
      <c r="C525" s="576"/>
      <c r="D525" s="616">
        <v>228529</v>
      </c>
      <c r="E525" s="606">
        <v>3</v>
      </c>
      <c r="F525" s="486" t="s">
        <v>41</v>
      </c>
      <c r="G525" s="529"/>
      <c r="H525" s="506"/>
      <c r="I525" s="488"/>
      <c r="J525" s="506">
        <v>95400</v>
      </c>
      <c r="K525" s="488">
        <v>102680</v>
      </c>
      <c r="L525" s="506">
        <v>24025</v>
      </c>
      <c r="M525" s="488">
        <v>24669</v>
      </c>
      <c r="N525" s="506">
        <v>108102</v>
      </c>
      <c r="O525" s="488">
        <v>114938</v>
      </c>
      <c r="P525" s="479">
        <f t="shared" si="247"/>
        <v>227527</v>
      </c>
      <c r="Q525" s="480">
        <f t="shared" si="248"/>
        <v>7584.2333333333336</v>
      </c>
      <c r="R525" s="481">
        <f t="shared" si="249"/>
        <v>242287</v>
      </c>
      <c r="S525" s="482">
        <f t="shared" si="250"/>
        <v>8076.2333333333336</v>
      </c>
      <c r="T525" s="506">
        <v>0</v>
      </c>
      <c r="U525" s="507">
        <v>0</v>
      </c>
      <c r="V525" s="479">
        <f t="shared" si="251"/>
        <v>227527</v>
      </c>
      <c r="W525" s="478">
        <f t="shared" si="252"/>
        <v>242287</v>
      </c>
      <c r="X525" s="506"/>
      <c r="Y525" s="488"/>
      <c r="Z525" s="506"/>
      <c r="AA525" s="488"/>
      <c r="AB525" s="506"/>
      <c r="AC525" s="488"/>
      <c r="AD525" s="506"/>
      <c r="AE525" s="507"/>
      <c r="AF525" s="479">
        <f t="shared" si="253"/>
        <v>0</v>
      </c>
      <c r="AG525" s="480">
        <f t="shared" si="254"/>
        <v>0</v>
      </c>
      <c r="AH525" s="481">
        <f t="shared" si="255"/>
        <v>0</v>
      </c>
      <c r="AI525" s="481">
        <f t="shared" si="256"/>
        <v>0</v>
      </c>
      <c r="AJ525" s="487"/>
      <c r="AK525" s="507"/>
      <c r="AL525" s="479">
        <f t="shared" si="257"/>
        <v>0</v>
      </c>
      <c r="AM525" s="482">
        <f t="shared" si="258"/>
        <v>0</v>
      </c>
      <c r="AN525" s="487"/>
      <c r="AO525" s="488"/>
      <c r="AP525" s="487">
        <v>8078</v>
      </c>
      <c r="AQ525" s="488">
        <v>7698</v>
      </c>
      <c r="AR525" s="487">
        <v>6113</v>
      </c>
      <c r="AS525" s="488">
        <v>5775</v>
      </c>
      <c r="AT525" s="487">
        <v>7981</v>
      </c>
      <c r="AU525" s="488">
        <v>8009</v>
      </c>
      <c r="AV525" s="479">
        <f t="shared" si="259"/>
        <v>22172</v>
      </c>
      <c r="AW525" s="483">
        <f t="shared" si="260"/>
        <v>923.83333333333337</v>
      </c>
      <c r="AX525" s="481">
        <f t="shared" si="261"/>
        <v>21482</v>
      </c>
      <c r="AY525" s="484">
        <f t="shared" si="262"/>
        <v>895.08333333333337</v>
      </c>
      <c r="AZ525" s="485">
        <f t="shared" si="263"/>
        <v>8508.0666666666675</v>
      </c>
      <c r="BA525" s="481">
        <f t="shared" si="264"/>
        <v>8971.3166666666675</v>
      </c>
    </row>
    <row r="526" spans="1:53">
      <c r="A526" s="574" t="s">
        <v>273</v>
      </c>
      <c r="B526" s="549" t="s">
        <v>492</v>
      </c>
      <c r="C526" s="576"/>
      <c r="D526" s="616">
        <v>226152</v>
      </c>
      <c r="E526" s="606">
        <v>3</v>
      </c>
      <c r="F526" s="486" t="s">
        <v>41</v>
      </c>
      <c r="G526" s="529"/>
      <c r="H526" s="506"/>
      <c r="I526" s="488"/>
      <c r="J526" s="506">
        <v>60213</v>
      </c>
      <c r="K526" s="488">
        <v>61336</v>
      </c>
      <c r="L526" s="506">
        <v>13241</v>
      </c>
      <c r="M526" s="488">
        <v>12278</v>
      </c>
      <c r="N526" s="506">
        <v>65955</v>
      </c>
      <c r="O526" s="488">
        <v>68009</v>
      </c>
      <c r="P526" s="479">
        <f t="shared" si="247"/>
        <v>139409</v>
      </c>
      <c r="Q526" s="480">
        <f t="shared" si="248"/>
        <v>4646.9666666666662</v>
      </c>
      <c r="R526" s="481">
        <f t="shared" si="249"/>
        <v>141623</v>
      </c>
      <c r="S526" s="482">
        <f t="shared" si="250"/>
        <v>4720.7666666666664</v>
      </c>
      <c r="T526" s="506">
        <v>9092</v>
      </c>
      <c r="U526" s="507">
        <v>8543</v>
      </c>
      <c r="V526" s="479">
        <f t="shared" si="251"/>
        <v>139409</v>
      </c>
      <c r="W526" s="478">
        <f t="shared" si="252"/>
        <v>141623</v>
      </c>
      <c r="X526" s="506"/>
      <c r="Y526" s="488"/>
      <c r="Z526" s="506"/>
      <c r="AA526" s="488"/>
      <c r="AB526" s="506"/>
      <c r="AC526" s="488"/>
      <c r="AD526" s="506"/>
      <c r="AE526" s="507"/>
      <c r="AF526" s="479">
        <f t="shared" si="253"/>
        <v>0</v>
      </c>
      <c r="AG526" s="480">
        <f t="shared" si="254"/>
        <v>0</v>
      </c>
      <c r="AH526" s="481">
        <f t="shared" si="255"/>
        <v>0</v>
      </c>
      <c r="AI526" s="481">
        <f t="shared" si="256"/>
        <v>0</v>
      </c>
      <c r="AJ526" s="487"/>
      <c r="AK526" s="507"/>
      <c r="AL526" s="479">
        <f t="shared" si="257"/>
        <v>0</v>
      </c>
      <c r="AM526" s="482">
        <f t="shared" si="258"/>
        <v>0</v>
      </c>
      <c r="AN526" s="487"/>
      <c r="AO526" s="488"/>
      <c r="AP526" s="487">
        <v>4602</v>
      </c>
      <c r="AQ526" s="488">
        <v>4236</v>
      </c>
      <c r="AR526" s="487">
        <v>1914</v>
      </c>
      <c r="AS526" s="488">
        <v>2158</v>
      </c>
      <c r="AT526" s="487">
        <v>4258</v>
      </c>
      <c r="AU526" s="488">
        <v>4879</v>
      </c>
      <c r="AV526" s="479">
        <f t="shared" si="259"/>
        <v>10774</v>
      </c>
      <c r="AW526" s="483">
        <f t="shared" si="260"/>
        <v>448.91666666666669</v>
      </c>
      <c r="AX526" s="481">
        <f t="shared" si="261"/>
        <v>11273</v>
      </c>
      <c r="AY526" s="484">
        <f t="shared" si="262"/>
        <v>469.70833333333331</v>
      </c>
      <c r="AZ526" s="485">
        <f t="shared" si="263"/>
        <v>5095.8833333333332</v>
      </c>
      <c r="BA526" s="481">
        <f t="shared" si="264"/>
        <v>5190.4749999999995</v>
      </c>
    </row>
    <row r="527" spans="1:53">
      <c r="A527" s="574" t="s">
        <v>273</v>
      </c>
      <c r="B527" s="549" t="s">
        <v>493</v>
      </c>
      <c r="C527" s="576"/>
      <c r="D527" s="616">
        <v>224554</v>
      </c>
      <c r="E527" s="606">
        <v>3</v>
      </c>
      <c r="F527" s="486" t="s">
        <v>41</v>
      </c>
      <c r="G527" s="529"/>
      <c r="H527" s="506"/>
      <c r="I527" s="488"/>
      <c r="J527" s="506">
        <v>69494</v>
      </c>
      <c r="K527" s="488">
        <v>72497</v>
      </c>
      <c r="L527" s="506">
        <v>16728</v>
      </c>
      <c r="M527" s="488">
        <v>13384</v>
      </c>
      <c r="N527" s="506">
        <v>78226</v>
      </c>
      <c r="O527" s="488">
        <v>79788</v>
      </c>
      <c r="P527" s="479">
        <f t="shared" si="247"/>
        <v>164448</v>
      </c>
      <c r="Q527" s="480">
        <f t="shared" si="248"/>
        <v>5481.6</v>
      </c>
      <c r="R527" s="481">
        <f t="shared" si="249"/>
        <v>165669</v>
      </c>
      <c r="S527" s="482">
        <f t="shared" si="250"/>
        <v>5522.3</v>
      </c>
      <c r="T527" s="506">
        <v>1509</v>
      </c>
      <c r="U527" s="507">
        <v>2020</v>
      </c>
      <c r="V527" s="479">
        <f t="shared" si="251"/>
        <v>164448</v>
      </c>
      <c r="W527" s="478">
        <f t="shared" si="252"/>
        <v>165669</v>
      </c>
      <c r="X527" s="506"/>
      <c r="Y527" s="488"/>
      <c r="Z527" s="506"/>
      <c r="AA527" s="488"/>
      <c r="AB527" s="506"/>
      <c r="AC527" s="488"/>
      <c r="AD527" s="506"/>
      <c r="AE527" s="507"/>
      <c r="AF527" s="479">
        <f t="shared" si="253"/>
        <v>0</v>
      </c>
      <c r="AG527" s="480">
        <f t="shared" si="254"/>
        <v>0</v>
      </c>
      <c r="AH527" s="481">
        <f t="shared" si="255"/>
        <v>0</v>
      </c>
      <c r="AI527" s="481">
        <f t="shared" si="256"/>
        <v>0</v>
      </c>
      <c r="AJ527" s="487"/>
      <c r="AK527" s="507"/>
      <c r="AL527" s="479">
        <f t="shared" si="257"/>
        <v>0</v>
      </c>
      <c r="AM527" s="482">
        <f t="shared" si="258"/>
        <v>0</v>
      </c>
      <c r="AN527" s="487"/>
      <c r="AO527" s="488"/>
      <c r="AP527" s="487">
        <v>22939</v>
      </c>
      <c r="AQ527" s="488">
        <v>31646</v>
      </c>
      <c r="AR527" s="487">
        <v>25705</v>
      </c>
      <c r="AS527" s="488">
        <v>23353</v>
      </c>
      <c r="AT527" s="487">
        <v>26391</v>
      </c>
      <c r="AU527" s="488">
        <v>24448</v>
      </c>
      <c r="AV527" s="479">
        <f t="shared" si="259"/>
        <v>75035</v>
      </c>
      <c r="AW527" s="483">
        <f t="shared" si="260"/>
        <v>3126.4583333333335</v>
      </c>
      <c r="AX527" s="481">
        <f t="shared" si="261"/>
        <v>79447</v>
      </c>
      <c r="AY527" s="484">
        <f t="shared" si="262"/>
        <v>3310.2916666666665</v>
      </c>
      <c r="AZ527" s="485">
        <f t="shared" si="263"/>
        <v>8608.0583333333343</v>
      </c>
      <c r="BA527" s="481">
        <f t="shared" si="264"/>
        <v>8832.5916666666672</v>
      </c>
    </row>
    <row r="528" spans="1:53">
      <c r="A528" s="574" t="s">
        <v>273</v>
      </c>
      <c r="B528" s="549" t="s">
        <v>494</v>
      </c>
      <c r="C528" s="576"/>
      <c r="D528" s="616">
        <v>224147</v>
      </c>
      <c r="E528" s="606">
        <v>3</v>
      </c>
      <c r="F528" s="486" t="s">
        <v>41</v>
      </c>
      <c r="G528" s="529"/>
      <c r="H528" s="506"/>
      <c r="I528" s="488"/>
      <c r="J528" s="506">
        <v>94638</v>
      </c>
      <c r="K528" s="488">
        <v>99252</v>
      </c>
      <c r="L528" s="506">
        <v>26068</v>
      </c>
      <c r="M528" s="488">
        <v>24582</v>
      </c>
      <c r="N528" s="506">
        <v>106847</v>
      </c>
      <c r="O528" s="488">
        <v>109897</v>
      </c>
      <c r="P528" s="479">
        <f t="shared" si="247"/>
        <v>227553</v>
      </c>
      <c r="Q528" s="480">
        <f t="shared" si="248"/>
        <v>7585.1</v>
      </c>
      <c r="R528" s="481">
        <f t="shared" si="249"/>
        <v>233731</v>
      </c>
      <c r="S528" s="482">
        <f t="shared" si="250"/>
        <v>7791.0333333333338</v>
      </c>
      <c r="T528" s="506">
        <v>951</v>
      </c>
      <c r="U528" s="507">
        <v>0</v>
      </c>
      <c r="V528" s="479">
        <f t="shared" si="251"/>
        <v>227553</v>
      </c>
      <c r="W528" s="478">
        <f t="shared" si="252"/>
        <v>233731</v>
      </c>
      <c r="X528" s="506"/>
      <c r="Y528" s="488"/>
      <c r="Z528" s="506"/>
      <c r="AA528" s="488"/>
      <c r="AB528" s="506"/>
      <c r="AC528" s="488"/>
      <c r="AD528" s="506"/>
      <c r="AE528" s="507"/>
      <c r="AF528" s="479">
        <f t="shared" si="253"/>
        <v>0</v>
      </c>
      <c r="AG528" s="480">
        <f t="shared" si="254"/>
        <v>0</v>
      </c>
      <c r="AH528" s="481">
        <f t="shared" si="255"/>
        <v>0</v>
      </c>
      <c r="AI528" s="481">
        <f t="shared" si="256"/>
        <v>0</v>
      </c>
      <c r="AJ528" s="487"/>
      <c r="AK528" s="507"/>
      <c r="AL528" s="479">
        <f t="shared" si="257"/>
        <v>0</v>
      </c>
      <c r="AM528" s="482">
        <f t="shared" si="258"/>
        <v>0</v>
      </c>
      <c r="AN528" s="487"/>
      <c r="AO528" s="488"/>
      <c r="AP528" s="487">
        <v>10807</v>
      </c>
      <c r="AQ528" s="488">
        <v>10686</v>
      </c>
      <c r="AR528" s="487">
        <v>6629</v>
      </c>
      <c r="AS528" s="488">
        <v>6090</v>
      </c>
      <c r="AT528" s="487">
        <v>11077</v>
      </c>
      <c r="AU528" s="488">
        <v>10904</v>
      </c>
      <c r="AV528" s="479">
        <f t="shared" si="259"/>
        <v>28513</v>
      </c>
      <c r="AW528" s="483">
        <f t="shared" si="260"/>
        <v>1188.0416666666667</v>
      </c>
      <c r="AX528" s="481">
        <f t="shared" si="261"/>
        <v>27680</v>
      </c>
      <c r="AY528" s="484">
        <f t="shared" si="262"/>
        <v>1153.3333333333333</v>
      </c>
      <c r="AZ528" s="485">
        <f t="shared" si="263"/>
        <v>8773.1416666666664</v>
      </c>
      <c r="BA528" s="481">
        <f t="shared" si="264"/>
        <v>8944.3666666666668</v>
      </c>
    </row>
    <row r="529" spans="1:53">
      <c r="A529" s="574" t="s">
        <v>273</v>
      </c>
      <c r="B529" s="549" t="s">
        <v>495</v>
      </c>
      <c r="C529" s="576"/>
      <c r="D529" s="616">
        <v>228705</v>
      </c>
      <c r="E529" s="606">
        <v>3</v>
      </c>
      <c r="F529" s="486" t="s">
        <v>41</v>
      </c>
      <c r="G529" s="529"/>
      <c r="H529" s="506"/>
      <c r="I529" s="488"/>
      <c r="J529" s="506">
        <v>63861</v>
      </c>
      <c r="K529" s="488">
        <v>67470</v>
      </c>
      <c r="L529" s="506">
        <v>11924</v>
      </c>
      <c r="M529" s="488">
        <v>6807</v>
      </c>
      <c r="N529" s="506">
        <v>74102</v>
      </c>
      <c r="O529" s="488">
        <v>80012</v>
      </c>
      <c r="P529" s="479">
        <f t="shared" si="247"/>
        <v>149887</v>
      </c>
      <c r="Q529" s="480">
        <f t="shared" si="248"/>
        <v>4996.2333333333336</v>
      </c>
      <c r="R529" s="481">
        <f t="shared" si="249"/>
        <v>154289</v>
      </c>
      <c r="S529" s="482">
        <f t="shared" si="250"/>
        <v>5142.9666666666662</v>
      </c>
      <c r="T529" s="506">
        <v>3179</v>
      </c>
      <c r="U529" s="507">
        <v>4285</v>
      </c>
      <c r="V529" s="479">
        <f t="shared" si="251"/>
        <v>149887</v>
      </c>
      <c r="W529" s="478">
        <f t="shared" si="252"/>
        <v>154289</v>
      </c>
      <c r="X529" s="506"/>
      <c r="Y529" s="488"/>
      <c r="Z529" s="506"/>
      <c r="AA529" s="488"/>
      <c r="AB529" s="506"/>
      <c r="AC529" s="488"/>
      <c r="AD529" s="506"/>
      <c r="AE529" s="507"/>
      <c r="AF529" s="479">
        <f t="shared" si="253"/>
        <v>0</v>
      </c>
      <c r="AG529" s="480">
        <f t="shared" si="254"/>
        <v>0</v>
      </c>
      <c r="AH529" s="481">
        <f t="shared" si="255"/>
        <v>0</v>
      </c>
      <c r="AI529" s="481">
        <f t="shared" si="256"/>
        <v>0</v>
      </c>
      <c r="AJ529" s="487"/>
      <c r="AK529" s="507"/>
      <c r="AL529" s="479">
        <f t="shared" si="257"/>
        <v>0</v>
      </c>
      <c r="AM529" s="482">
        <f t="shared" si="258"/>
        <v>0</v>
      </c>
      <c r="AN529" s="487"/>
      <c r="AO529" s="488"/>
      <c r="AP529" s="487">
        <v>8365</v>
      </c>
      <c r="AQ529" s="488">
        <v>9966</v>
      </c>
      <c r="AR529" s="487">
        <v>5100</v>
      </c>
      <c r="AS529" s="488">
        <v>3628</v>
      </c>
      <c r="AT529" s="487">
        <v>9280</v>
      </c>
      <c r="AU529" s="488">
        <v>14791</v>
      </c>
      <c r="AV529" s="479">
        <f t="shared" si="259"/>
        <v>22745</v>
      </c>
      <c r="AW529" s="483">
        <f t="shared" si="260"/>
        <v>947.70833333333337</v>
      </c>
      <c r="AX529" s="481">
        <f t="shared" si="261"/>
        <v>28385</v>
      </c>
      <c r="AY529" s="484">
        <f t="shared" si="262"/>
        <v>1182.7083333333333</v>
      </c>
      <c r="AZ529" s="485">
        <f t="shared" si="263"/>
        <v>5943.9416666666666</v>
      </c>
      <c r="BA529" s="481">
        <f t="shared" si="264"/>
        <v>6325.6749999999993</v>
      </c>
    </row>
    <row r="530" spans="1:53">
      <c r="A530" s="574" t="s">
        <v>273</v>
      </c>
      <c r="B530" s="549" t="s">
        <v>496</v>
      </c>
      <c r="C530" s="576"/>
      <c r="D530" s="616">
        <v>229063</v>
      </c>
      <c r="E530" s="606">
        <v>3</v>
      </c>
      <c r="F530" s="486" t="s">
        <v>41</v>
      </c>
      <c r="G530" s="529"/>
      <c r="H530" s="506"/>
      <c r="I530" s="488"/>
      <c r="J530" s="506">
        <v>79510</v>
      </c>
      <c r="K530" s="488">
        <v>76061</v>
      </c>
      <c r="L530" s="506">
        <v>10554</v>
      </c>
      <c r="M530" s="488">
        <v>8650</v>
      </c>
      <c r="N530" s="506">
        <v>90474</v>
      </c>
      <c r="O530" s="488">
        <v>82587</v>
      </c>
      <c r="P530" s="479">
        <f t="shared" si="247"/>
        <v>180538</v>
      </c>
      <c r="Q530" s="480">
        <f t="shared" si="248"/>
        <v>6017.9333333333334</v>
      </c>
      <c r="R530" s="481">
        <f t="shared" si="249"/>
        <v>167298</v>
      </c>
      <c r="S530" s="482">
        <f t="shared" si="250"/>
        <v>5576.6</v>
      </c>
      <c r="T530" s="506">
        <v>0</v>
      </c>
      <c r="U530" s="507">
        <v>0</v>
      </c>
      <c r="V530" s="479">
        <f t="shared" si="251"/>
        <v>180538</v>
      </c>
      <c r="W530" s="478">
        <f t="shared" si="252"/>
        <v>167298</v>
      </c>
      <c r="X530" s="506"/>
      <c r="Y530" s="488"/>
      <c r="Z530" s="506"/>
      <c r="AA530" s="488"/>
      <c r="AB530" s="506"/>
      <c r="AC530" s="488"/>
      <c r="AD530" s="506"/>
      <c r="AE530" s="507"/>
      <c r="AF530" s="479">
        <f t="shared" si="253"/>
        <v>0</v>
      </c>
      <c r="AG530" s="480">
        <f t="shared" si="254"/>
        <v>0</v>
      </c>
      <c r="AH530" s="481">
        <f t="shared" si="255"/>
        <v>0</v>
      </c>
      <c r="AI530" s="481">
        <f t="shared" si="256"/>
        <v>0</v>
      </c>
      <c r="AJ530" s="487"/>
      <c r="AK530" s="507"/>
      <c r="AL530" s="479">
        <f t="shared" si="257"/>
        <v>0</v>
      </c>
      <c r="AM530" s="482">
        <f t="shared" si="258"/>
        <v>0</v>
      </c>
      <c r="AN530" s="487"/>
      <c r="AO530" s="488"/>
      <c r="AP530" s="487">
        <v>26383</v>
      </c>
      <c r="AQ530" s="488">
        <v>24135</v>
      </c>
      <c r="AR530" s="487">
        <v>6443</v>
      </c>
      <c r="AS530" s="488">
        <v>5200</v>
      </c>
      <c r="AT530" s="487">
        <v>25778</v>
      </c>
      <c r="AU530" s="488">
        <v>24049</v>
      </c>
      <c r="AV530" s="479">
        <f t="shared" si="259"/>
        <v>58604</v>
      </c>
      <c r="AW530" s="483">
        <f t="shared" si="260"/>
        <v>2441.8333333333335</v>
      </c>
      <c r="AX530" s="481">
        <f t="shared" si="261"/>
        <v>53384</v>
      </c>
      <c r="AY530" s="484">
        <f t="shared" si="262"/>
        <v>2224.3333333333335</v>
      </c>
      <c r="AZ530" s="485">
        <f t="shared" si="263"/>
        <v>8459.7666666666664</v>
      </c>
      <c r="BA530" s="481">
        <f t="shared" si="264"/>
        <v>7800.9333333333343</v>
      </c>
    </row>
    <row r="531" spans="1:53">
      <c r="A531" s="574" t="s">
        <v>273</v>
      </c>
      <c r="B531" s="549" t="s">
        <v>497</v>
      </c>
      <c r="C531" s="661"/>
      <c r="D531" s="616">
        <v>228459</v>
      </c>
      <c r="E531" s="606">
        <v>3</v>
      </c>
      <c r="F531" s="486" t="s">
        <v>41</v>
      </c>
      <c r="G531" s="529"/>
      <c r="H531" s="506"/>
      <c r="I531" s="488"/>
      <c r="J531" s="506">
        <v>337603</v>
      </c>
      <c r="K531" s="488">
        <v>341423</v>
      </c>
      <c r="L531" s="506">
        <v>61868</v>
      </c>
      <c r="M531" s="488">
        <v>61042</v>
      </c>
      <c r="N531" s="506">
        <v>370796</v>
      </c>
      <c r="O531" s="488">
        <v>389625</v>
      </c>
      <c r="P531" s="479">
        <f t="shared" si="247"/>
        <v>770267</v>
      </c>
      <c r="Q531" s="480">
        <f t="shared" si="248"/>
        <v>25675.566666666666</v>
      </c>
      <c r="R531" s="481">
        <f t="shared" si="249"/>
        <v>792090</v>
      </c>
      <c r="S531" s="482">
        <f t="shared" si="250"/>
        <v>26403</v>
      </c>
      <c r="T531" s="506">
        <v>0</v>
      </c>
      <c r="U531" s="507">
        <v>0</v>
      </c>
      <c r="V531" s="479">
        <f t="shared" si="251"/>
        <v>770267</v>
      </c>
      <c r="W531" s="478">
        <f t="shared" si="252"/>
        <v>792090</v>
      </c>
      <c r="X531" s="506"/>
      <c r="Y531" s="488"/>
      <c r="Z531" s="506"/>
      <c r="AA531" s="488"/>
      <c r="AB531" s="506"/>
      <c r="AC531" s="488"/>
      <c r="AD531" s="506"/>
      <c r="AE531" s="507"/>
      <c r="AF531" s="479">
        <f t="shared" si="253"/>
        <v>0</v>
      </c>
      <c r="AG531" s="480">
        <f t="shared" si="254"/>
        <v>0</v>
      </c>
      <c r="AH531" s="481">
        <f t="shared" si="255"/>
        <v>0</v>
      </c>
      <c r="AI531" s="481">
        <f t="shared" si="256"/>
        <v>0</v>
      </c>
      <c r="AJ531" s="487"/>
      <c r="AK531" s="507"/>
      <c r="AL531" s="479">
        <f t="shared" si="257"/>
        <v>0</v>
      </c>
      <c r="AM531" s="482">
        <f t="shared" si="258"/>
        <v>0</v>
      </c>
      <c r="AN531" s="487"/>
      <c r="AO531" s="488"/>
      <c r="AP531" s="487">
        <v>31807</v>
      </c>
      <c r="AQ531" s="488">
        <v>30398</v>
      </c>
      <c r="AR531" s="487">
        <v>13620</v>
      </c>
      <c r="AS531" s="488">
        <v>12543</v>
      </c>
      <c r="AT531" s="487">
        <v>32060</v>
      </c>
      <c r="AU531" s="488">
        <v>31296</v>
      </c>
      <c r="AV531" s="479">
        <f t="shared" si="259"/>
        <v>77487</v>
      </c>
      <c r="AW531" s="483">
        <f t="shared" si="260"/>
        <v>3228.625</v>
      </c>
      <c r="AX531" s="481">
        <f t="shared" si="261"/>
        <v>74237</v>
      </c>
      <c r="AY531" s="484">
        <f t="shared" si="262"/>
        <v>3093.2083333333335</v>
      </c>
      <c r="AZ531" s="485">
        <f t="shared" si="263"/>
        <v>28904.191666666666</v>
      </c>
      <c r="BA531" s="481">
        <f t="shared" si="264"/>
        <v>29496.208333333332</v>
      </c>
    </row>
    <row r="532" spans="1:53">
      <c r="A532" s="574" t="s">
        <v>273</v>
      </c>
      <c r="B532" s="549" t="s">
        <v>498</v>
      </c>
      <c r="C532" s="576"/>
      <c r="D532" s="616">
        <v>225414</v>
      </c>
      <c r="E532" s="606">
        <v>3</v>
      </c>
      <c r="F532" s="486" t="s">
        <v>41</v>
      </c>
      <c r="G532" s="529"/>
      <c r="H532" s="506"/>
      <c r="I532" s="488"/>
      <c r="J532" s="506">
        <v>45631</v>
      </c>
      <c r="K532" s="488">
        <v>44868</v>
      </c>
      <c r="L532" s="506">
        <v>13246</v>
      </c>
      <c r="M532" s="488">
        <v>12976</v>
      </c>
      <c r="N532" s="506">
        <v>45352</v>
      </c>
      <c r="O532" s="488">
        <v>45752</v>
      </c>
      <c r="P532" s="479">
        <f t="shared" si="247"/>
        <v>104229</v>
      </c>
      <c r="Q532" s="480">
        <f t="shared" si="248"/>
        <v>3474.3</v>
      </c>
      <c r="R532" s="481">
        <f t="shared" si="249"/>
        <v>103596</v>
      </c>
      <c r="S532" s="482">
        <f t="shared" si="250"/>
        <v>3453.2</v>
      </c>
      <c r="T532" s="506">
        <v>0</v>
      </c>
      <c r="U532" s="507">
        <v>0</v>
      </c>
      <c r="V532" s="479">
        <f t="shared" si="251"/>
        <v>104229</v>
      </c>
      <c r="W532" s="478">
        <f t="shared" si="252"/>
        <v>103596</v>
      </c>
      <c r="X532" s="506"/>
      <c r="Y532" s="488"/>
      <c r="Z532" s="506"/>
      <c r="AA532" s="488"/>
      <c r="AB532" s="506"/>
      <c r="AC532" s="488"/>
      <c r="AD532" s="506"/>
      <c r="AE532" s="507"/>
      <c r="AF532" s="479">
        <f t="shared" si="253"/>
        <v>0</v>
      </c>
      <c r="AG532" s="480">
        <f t="shared" si="254"/>
        <v>0</v>
      </c>
      <c r="AH532" s="481">
        <f t="shared" si="255"/>
        <v>0</v>
      </c>
      <c r="AI532" s="481">
        <f t="shared" si="256"/>
        <v>0</v>
      </c>
      <c r="AJ532" s="487"/>
      <c r="AK532" s="507"/>
      <c r="AL532" s="479">
        <f t="shared" si="257"/>
        <v>0</v>
      </c>
      <c r="AM532" s="482">
        <f t="shared" si="258"/>
        <v>0</v>
      </c>
      <c r="AN532" s="487"/>
      <c r="AO532" s="488"/>
      <c r="AP532" s="487">
        <v>22085</v>
      </c>
      <c r="AQ532" s="488">
        <v>21314</v>
      </c>
      <c r="AR532" s="487">
        <v>9537</v>
      </c>
      <c r="AS532" s="488">
        <v>9240</v>
      </c>
      <c r="AT532" s="487">
        <v>22237</v>
      </c>
      <c r="AU532" s="488">
        <v>22992</v>
      </c>
      <c r="AV532" s="479">
        <f t="shared" si="259"/>
        <v>53859</v>
      </c>
      <c r="AW532" s="483">
        <f t="shared" si="260"/>
        <v>2244.125</v>
      </c>
      <c r="AX532" s="481">
        <f t="shared" si="261"/>
        <v>53546</v>
      </c>
      <c r="AY532" s="484">
        <f t="shared" si="262"/>
        <v>2231.0833333333335</v>
      </c>
      <c r="AZ532" s="485">
        <f t="shared" si="263"/>
        <v>5718.4250000000002</v>
      </c>
      <c r="BA532" s="481">
        <f t="shared" si="264"/>
        <v>5684.2833333333328</v>
      </c>
    </row>
    <row r="533" spans="1:53">
      <c r="A533" s="574" t="s">
        <v>273</v>
      </c>
      <c r="B533" s="605" t="s">
        <v>499</v>
      </c>
      <c r="C533" s="576"/>
      <c r="D533" s="616">
        <v>227377</v>
      </c>
      <c r="E533" s="606">
        <v>3</v>
      </c>
      <c r="F533" s="486" t="s">
        <v>41</v>
      </c>
      <c r="G533" s="529"/>
      <c r="H533" s="506"/>
      <c r="I533" s="488"/>
      <c r="J533" s="506">
        <v>34052</v>
      </c>
      <c r="K533" s="488">
        <v>76841</v>
      </c>
      <c r="L533" s="506">
        <v>16988</v>
      </c>
      <c r="M533" s="488">
        <v>15680</v>
      </c>
      <c r="N533" s="506">
        <v>74854</v>
      </c>
      <c r="O533" s="488">
        <v>80700</v>
      </c>
      <c r="P533" s="479">
        <f t="shared" si="247"/>
        <v>125894</v>
      </c>
      <c r="Q533" s="480">
        <f t="shared" si="248"/>
        <v>4196.4666666666662</v>
      </c>
      <c r="R533" s="481">
        <f t="shared" si="249"/>
        <v>173221</v>
      </c>
      <c r="S533" s="482">
        <f t="shared" si="250"/>
        <v>5774.0333333333338</v>
      </c>
      <c r="T533" s="506">
        <v>2638</v>
      </c>
      <c r="U533" s="507">
        <v>4199</v>
      </c>
      <c r="V533" s="479">
        <f t="shared" si="251"/>
        <v>125894</v>
      </c>
      <c r="W533" s="478">
        <f t="shared" si="252"/>
        <v>173221</v>
      </c>
      <c r="X533" s="506"/>
      <c r="Y533" s="488"/>
      <c r="Z533" s="506"/>
      <c r="AA533" s="488"/>
      <c r="AB533" s="506"/>
      <c r="AC533" s="488"/>
      <c r="AD533" s="506"/>
      <c r="AE533" s="507"/>
      <c r="AF533" s="479">
        <f t="shared" si="253"/>
        <v>0</v>
      </c>
      <c r="AG533" s="480">
        <f t="shared" si="254"/>
        <v>0</v>
      </c>
      <c r="AH533" s="481">
        <f t="shared" si="255"/>
        <v>0</v>
      </c>
      <c r="AI533" s="481">
        <f t="shared" si="256"/>
        <v>0</v>
      </c>
      <c r="AJ533" s="487"/>
      <c r="AK533" s="507"/>
      <c r="AL533" s="479">
        <f t="shared" si="257"/>
        <v>0</v>
      </c>
      <c r="AM533" s="482">
        <f t="shared" si="258"/>
        <v>0</v>
      </c>
      <c r="AN533" s="487"/>
      <c r="AO533" s="488"/>
      <c r="AP533" s="487">
        <v>5855</v>
      </c>
      <c r="AQ533" s="488">
        <v>6049</v>
      </c>
      <c r="AR533" s="487">
        <v>2757</v>
      </c>
      <c r="AS533" s="488">
        <v>2366</v>
      </c>
      <c r="AT533" s="487">
        <v>6258</v>
      </c>
      <c r="AU533" s="488">
        <v>6104</v>
      </c>
      <c r="AV533" s="479">
        <f t="shared" si="259"/>
        <v>14870</v>
      </c>
      <c r="AW533" s="483">
        <f t="shared" si="260"/>
        <v>619.58333333333337</v>
      </c>
      <c r="AX533" s="481">
        <f t="shared" si="261"/>
        <v>14519</v>
      </c>
      <c r="AY533" s="484">
        <f t="shared" si="262"/>
        <v>604.95833333333337</v>
      </c>
      <c r="AZ533" s="485">
        <f t="shared" si="263"/>
        <v>4816.0499999999993</v>
      </c>
      <c r="BA533" s="481">
        <f t="shared" si="264"/>
        <v>6378.9916666666668</v>
      </c>
    </row>
    <row r="534" spans="1:53">
      <c r="A534" s="574" t="s">
        <v>273</v>
      </c>
      <c r="B534" s="549" t="s">
        <v>500</v>
      </c>
      <c r="C534" s="576"/>
      <c r="D534" s="616">
        <v>228802</v>
      </c>
      <c r="E534" s="606">
        <v>3</v>
      </c>
      <c r="F534" s="486" t="s">
        <v>41</v>
      </c>
      <c r="G534" s="529"/>
      <c r="H534" s="506"/>
      <c r="I534" s="488"/>
      <c r="J534" s="506">
        <v>57825</v>
      </c>
      <c r="K534" s="488">
        <v>59884</v>
      </c>
      <c r="L534" s="506">
        <v>10180</v>
      </c>
      <c r="M534" s="488">
        <v>10867</v>
      </c>
      <c r="N534" s="506">
        <v>63891</v>
      </c>
      <c r="O534" s="488">
        <v>64575</v>
      </c>
      <c r="P534" s="479">
        <f t="shared" si="247"/>
        <v>131896</v>
      </c>
      <c r="Q534" s="480">
        <f t="shared" si="248"/>
        <v>4396.5333333333338</v>
      </c>
      <c r="R534" s="481">
        <f t="shared" si="249"/>
        <v>135326</v>
      </c>
      <c r="S534" s="482">
        <f t="shared" si="250"/>
        <v>4510.8666666666668</v>
      </c>
      <c r="T534" s="506">
        <v>0</v>
      </c>
      <c r="U534" s="507">
        <v>1065</v>
      </c>
      <c r="V534" s="479">
        <f t="shared" si="251"/>
        <v>131896</v>
      </c>
      <c r="W534" s="478">
        <f t="shared" si="252"/>
        <v>135326</v>
      </c>
      <c r="X534" s="506"/>
      <c r="Y534" s="488"/>
      <c r="Z534" s="506"/>
      <c r="AA534" s="488"/>
      <c r="AB534" s="506"/>
      <c r="AC534" s="488"/>
      <c r="AD534" s="506"/>
      <c r="AE534" s="507"/>
      <c r="AF534" s="479">
        <f t="shared" si="253"/>
        <v>0</v>
      </c>
      <c r="AG534" s="480">
        <f t="shared" si="254"/>
        <v>0</v>
      </c>
      <c r="AH534" s="481">
        <f t="shared" si="255"/>
        <v>0</v>
      </c>
      <c r="AI534" s="481">
        <f t="shared" si="256"/>
        <v>0</v>
      </c>
      <c r="AJ534" s="487"/>
      <c r="AK534" s="507"/>
      <c r="AL534" s="479">
        <f t="shared" si="257"/>
        <v>0</v>
      </c>
      <c r="AM534" s="482">
        <f t="shared" si="258"/>
        <v>0</v>
      </c>
      <c r="AN534" s="487"/>
      <c r="AO534" s="488"/>
      <c r="AP534" s="487">
        <v>9411</v>
      </c>
      <c r="AQ534" s="488">
        <v>10443</v>
      </c>
      <c r="AR534" s="487">
        <v>5980</v>
      </c>
      <c r="AS534" s="488">
        <v>7369</v>
      </c>
      <c r="AT534" s="487">
        <v>9948</v>
      </c>
      <c r="AU534" s="488">
        <v>11330</v>
      </c>
      <c r="AV534" s="479">
        <f t="shared" si="259"/>
        <v>25339</v>
      </c>
      <c r="AW534" s="483">
        <f t="shared" si="260"/>
        <v>1055.7916666666667</v>
      </c>
      <c r="AX534" s="481">
        <f t="shared" si="261"/>
        <v>29142</v>
      </c>
      <c r="AY534" s="484">
        <f t="shared" si="262"/>
        <v>1214.25</v>
      </c>
      <c r="AZ534" s="485">
        <f t="shared" si="263"/>
        <v>5452.3250000000007</v>
      </c>
      <c r="BA534" s="481">
        <f t="shared" si="264"/>
        <v>5725.1166666666668</v>
      </c>
    </row>
    <row r="535" spans="1:53">
      <c r="A535" s="574" t="s">
        <v>273</v>
      </c>
      <c r="B535" s="605" t="s">
        <v>501</v>
      </c>
      <c r="C535" s="607"/>
      <c r="D535" s="616">
        <v>229018</v>
      </c>
      <c r="E535" s="606">
        <v>3</v>
      </c>
      <c r="F535" s="486" t="s">
        <v>41</v>
      </c>
      <c r="G535" s="529"/>
      <c r="H535" s="506"/>
      <c r="I535" s="488"/>
      <c r="J535" s="506">
        <v>32385</v>
      </c>
      <c r="K535" s="488">
        <v>34742</v>
      </c>
      <c r="L535" s="506">
        <v>6714</v>
      </c>
      <c r="M535" s="488">
        <v>9232</v>
      </c>
      <c r="N535" s="506">
        <v>36364</v>
      </c>
      <c r="O535" s="488">
        <v>42010</v>
      </c>
      <c r="P535" s="479">
        <f t="shared" si="247"/>
        <v>75463</v>
      </c>
      <c r="Q535" s="480">
        <f t="shared" si="248"/>
        <v>2515.4333333333334</v>
      </c>
      <c r="R535" s="481">
        <f t="shared" si="249"/>
        <v>85984</v>
      </c>
      <c r="S535" s="482">
        <f t="shared" si="250"/>
        <v>2866.1333333333332</v>
      </c>
      <c r="T535" s="506">
        <v>3777</v>
      </c>
      <c r="U535" s="507">
        <v>7420</v>
      </c>
      <c r="V535" s="479">
        <f t="shared" si="251"/>
        <v>75463</v>
      </c>
      <c r="W535" s="478">
        <f t="shared" si="252"/>
        <v>85984</v>
      </c>
      <c r="X535" s="506"/>
      <c r="Y535" s="488"/>
      <c r="Z535" s="506"/>
      <c r="AA535" s="488"/>
      <c r="AB535" s="506"/>
      <c r="AC535" s="488"/>
      <c r="AD535" s="506"/>
      <c r="AE535" s="507"/>
      <c r="AF535" s="479">
        <f t="shared" si="253"/>
        <v>0</v>
      </c>
      <c r="AG535" s="480">
        <f t="shared" si="254"/>
        <v>0</v>
      </c>
      <c r="AH535" s="481">
        <f t="shared" si="255"/>
        <v>0</v>
      </c>
      <c r="AI535" s="481">
        <f t="shared" si="256"/>
        <v>0</v>
      </c>
      <c r="AJ535" s="487"/>
      <c r="AK535" s="507"/>
      <c r="AL535" s="479">
        <f t="shared" si="257"/>
        <v>0</v>
      </c>
      <c r="AM535" s="482">
        <f t="shared" si="258"/>
        <v>0</v>
      </c>
      <c r="AN535" s="487"/>
      <c r="AO535" s="488"/>
      <c r="AP535" s="487">
        <v>3153</v>
      </c>
      <c r="AQ535" s="488">
        <v>3446</v>
      </c>
      <c r="AR535" s="487">
        <v>2031</v>
      </c>
      <c r="AS535" s="488">
        <v>2537</v>
      </c>
      <c r="AT535" s="487">
        <v>3097</v>
      </c>
      <c r="AU535" s="488">
        <v>3976</v>
      </c>
      <c r="AV535" s="479">
        <f t="shared" si="259"/>
        <v>8281</v>
      </c>
      <c r="AW535" s="483">
        <f t="shared" si="260"/>
        <v>345.04166666666669</v>
      </c>
      <c r="AX535" s="481">
        <f t="shared" si="261"/>
        <v>9959</v>
      </c>
      <c r="AY535" s="484">
        <f t="shared" si="262"/>
        <v>414.95833333333331</v>
      </c>
      <c r="AZ535" s="485">
        <f t="shared" si="263"/>
        <v>2860.4749999999999</v>
      </c>
      <c r="BA535" s="481">
        <f t="shared" si="264"/>
        <v>3281.0916666666667</v>
      </c>
    </row>
    <row r="536" spans="1:53">
      <c r="A536" s="574" t="s">
        <v>273</v>
      </c>
      <c r="B536" s="549" t="s">
        <v>502</v>
      </c>
      <c r="C536" s="576"/>
      <c r="D536" s="616">
        <v>227368</v>
      </c>
      <c r="E536" s="606">
        <v>3</v>
      </c>
      <c r="F536" s="486" t="s">
        <v>41</v>
      </c>
      <c r="G536" s="529"/>
      <c r="H536" s="506"/>
      <c r="I536" s="488"/>
      <c r="J536" s="506">
        <v>176048</v>
      </c>
      <c r="K536" s="488">
        <v>180503</v>
      </c>
      <c r="L536" s="506">
        <v>60103</v>
      </c>
      <c r="M536" s="488">
        <v>56282</v>
      </c>
      <c r="N536" s="506">
        <v>195825</v>
      </c>
      <c r="O536" s="488">
        <v>205768</v>
      </c>
      <c r="P536" s="479">
        <f t="shared" si="247"/>
        <v>431976</v>
      </c>
      <c r="Q536" s="480">
        <f t="shared" si="248"/>
        <v>14399.2</v>
      </c>
      <c r="R536" s="481">
        <f t="shared" si="249"/>
        <v>442553</v>
      </c>
      <c r="S536" s="482">
        <f t="shared" si="250"/>
        <v>14751.766666666666</v>
      </c>
      <c r="T536" s="506">
        <v>5042</v>
      </c>
      <c r="U536" s="507">
        <v>4320</v>
      </c>
      <c r="V536" s="479">
        <f t="shared" si="251"/>
        <v>431976</v>
      </c>
      <c r="W536" s="478">
        <f t="shared" si="252"/>
        <v>442553</v>
      </c>
      <c r="X536" s="506"/>
      <c r="Y536" s="488"/>
      <c r="Z536" s="506"/>
      <c r="AA536" s="488"/>
      <c r="AB536" s="506"/>
      <c r="AC536" s="488"/>
      <c r="AD536" s="506"/>
      <c r="AE536" s="507"/>
      <c r="AF536" s="479">
        <f t="shared" si="253"/>
        <v>0</v>
      </c>
      <c r="AG536" s="480">
        <f t="shared" si="254"/>
        <v>0</v>
      </c>
      <c r="AH536" s="481">
        <f t="shared" si="255"/>
        <v>0</v>
      </c>
      <c r="AI536" s="481">
        <f t="shared" si="256"/>
        <v>0</v>
      </c>
      <c r="AJ536" s="487"/>
      <c r="AK536" s="507"/>
      <c r="AL536" s="479">
        <f t="shared" si="257"/>
        <v>0</v>
      </c>
      <c r="AM536" s="482">
        <f t="shared" si="258"/>
        <v>0</v>
      </c>
      <c r="AN536" s="487"/>
      <c r="AO536" s="488"/>
      <c r="AP536" s="487">
        <v>16375</v>
      </c>
      <c r="AQ536" s="488">
        <v>15809</v>
      </c>
      <c r="AR536" s="487">
        <v>8988</v>
      </c>
      <c r="AS536" s="488">
        <v>8601</v>
      </c>
      <c r="AT536" s="487">
        <v>17038</v>
      </c>
      <c r="AU536" s="488">
        <v>17447</v>
      </c>
      <c r="AV536" s="479">
        <f t="shared" si="259"/>
        <v>42401</v>
      </c>
      <c r="AW536" s="483">
        <f t="shared" si="260"/>
        <v>1766.7083333333333</v>
      </c>
      <c r="AX536" s="481">
        <f t="shared" si="261"/>
        <v>41857</v>
      </c>
      <c r="AY536" s="484">
        <f t="shared" si="262"/>
        <v>1744.0416666666667</v>
      </c>
      <c r="AZ536" s="485">
        <f t="shared" si="263"/>
        <v>16165.908333333335</v>
      </c>
      <c r="BA536" s="481">
        <f t="shared" si="264"/>
        <v>16495.808333333334</v>
      </c>
    </row>
    <row r="537" spans="1:53">
      <c r="A537" s="574" t="s">
        <v>273</v>
      </c>
      <c r="B537" s="549" t="s">
        <v>503</v>
      </c>
      <c r="C537" s="576"/>
      <c r="D537" s="616">
        <v>229814</v>
      </c>
      <c r="E537" s="606">
        <v>3</v>
      </c>
      <c r="F537" s="486" t="s">
        <v>41</v>
      </c>
      <c r="G537" s="529"/>
      <c r="H537" s="506"/>
      <c r="I537" s="488"/>
      <c r="J537" s="506">
        <v>76311</v>
      </c>
      <c r="K537" s="488">
        <v>78021</v>
      </c>
      <c r="L537" s="506">
        <v>13194</v>
      </c>
      <c r="M537" s="488">
        <v>13929</v>
      </c>
      <c r="N537" s="506">
        <v>83753</v>
      </c>
      <c r="O537" s="488">
        <v>88111</v>
      </c>
      <c r="P537" s="479">
        <f t="shared" si="247"/>
        <v>173258</v>
      </c>
      <c r="Q537" s="480">
        <f t="shared" si="248"/>
        <v>5775.2666666666664</v>
      </c>
      <c r="R537" s="481">
        <f t="shared" si="249"/>
        <v>180061</v>
      </c>
      <c r="S537" s="482">
        <f t="shared" si="250"/>
        <v>6002.0333333333338</v>
      </c>
      <c r="T537" s="506">
        <v>0</v>
      </c>
      <c r="U537" s="507">
        <v>0</v>
      </c>
      <c r="V537" s="479">
        <f t="shared" si="251"/>
        <v>173258</v>
      </c>
      <c r="W537" s="478">
        <f t="shared" si="252"/>
        <v>180061</v>
      </c>
      <c r="X537" s="506"/>
      <c r="Y537" s="488"/>
      <c r="Z537" s="506"/>
      <c r="AA537" s="488"/>
      <c r="AB537" s="506"/>
      <c r="AC537" s="488"/>
      <c r="AD537" s="506"/>
      <c r="AE537" s="507"/>
      <c r="AF537" s="479">
        <f t="shared" si="253"/>
        <v>0</v>
      </c>
      <c r="AG537" s="480">
        <f t="shared" si="254"/>
        <v>0</v>
      </c>
      <c r="AH537" s="481">
        <f t="shared" si="255"/>
        <v>0</v>
      </c>
      <c r="AI537" s="481">
        <f t="shared" si="256"/>
        <v>0</v>
      </c>
      <c r="AJ537" s="487"/>
      <c r="AK537" s="507"/>
      <c r="AL537" s="479">
        <f t="shared" si="257"/>
        <v>0</v>
      </c>
      <c r="AM537" s="482">
        <f t="shared" si="258"/>
        <v>0</v>
      </c>
      <c r="AN537" s="487"/>
      <c r="AO537" s="488"/>
      <c r="AP537" s="487">
        <v>7682</v>
      </c>
      <c r="AQ537" s="488">
        <v>7734</v>
      </c>
      <c r="AR537" s="487">
        <v>5178</v>
      </c>
      <c r="AS537" s="488">
        <v>5408</v>
      </c>
      <c r="AT537" s="487">
        <v>8049</v>
      </c>
      <c r="AU537" s="488">
        <v>9012</v>
      </c>
      <c r="AV537" s="479">
        <f t="shared" si="259"/>
        <v>20909</v>
      </c>
      <c r="AW537" s="483">
        <f t="shared" si="260"/>
        <v>871.20833333333337</v>
      </c>
      <c r="AX537" s="481">
        <f t="shared" si="261"/>
        <v>22154</v>
      </c>
      <c r="AY537" s="484">
        <f t="shared" si="262"/>
        <v>923.08333333333337</v>
      </c>
      <c r="AZ537" s="485">
        <f t="shared" si="263"/>
        <v>6646.4749999999995</v>
      </c>
      <c r="BA537" s="481">
        <f t="shared" si="264"/>
        <v>6925.1166666666668</v>
      </c>
    </row>
    <row r="538" spans="1:53">
      <c r="A538" s="574" t="s">
        <v>273</v>
      </c>
      <c r="B538" s="605" t="s">
        <v>504</v>
      </c>
      <c r="C538" s="607"/>
      <c r="D538" s="819">
        <v>483036</v>
      </c>
      <c r="E538" s="662">
        <v>4</v>
      </c>
      <c r="F538" s="486" t="s">
        <v>41</v>
      </c>
      <c r="G538" s="529"/>
      <c r="H538" s="506"/>
      <c r="I538" s="488"/>
      <c r="J538" s="506">
        <v>13599</v>
      </c>
      <c r="K538" s="488">
        <v>14791</v>
      </c>
      <c r="L538" s="506">
        <v>8595</v>
      </c>
      <c r="M538" s="488">
        <v>8871</v>
      </c>
      <c r="N538" s="506">
        <v>11549</v>
      </c>
      <c r="O538" s="488">
        <v>13002</v>
      </c>
      <c r="P538" s="479">
        <f t="shared" si="247"/>
        <v>33743</v>
      </c>
      <c r="Q538" s="480">
        <f t="shared" si="248"/>
        <v>1124.7666666666667</v>
      </c>
      <c r="R538" s="481">
        <f t="shared" si="249"/>
        <v>36664</v>
      </c>
      <c r="S538" s="482">
        <f t="shared" si="250"/>
        <v>1222.1333333333334</v>
      </c>
      <c r="T538" s="506">
        <v>0</v>
      </c>
      <c r="U538" s="507">
        <v>0</v>
      </c>
      <c r="V538" s="479">
        <f t="shared" si="251"/>
        <v>33743</v>
      </c>
      <c r="W538" s="478">
        <f t="shared" si="252"/>
        <v>36664</v>
      </c>
      <c r="X538" s="506"/>
      <c r="Y538" s="488"/>
      <c r="Z538" s="506"/>
      <c r="AA538" s="488"/>
      <c r="AB538" s="506"/>
      <c r="AC538" s="488"/>
      <c r="AD538" s="506"/>
      <c r="AE538" s="507"/>
      <c r="AF538" s="479">
        <f t="shared" si="253"/>
        <v>0</v>
      </c>
      <c r="AG538" s="480">
        <f t="shared" si="254"/>
        <v>0</v>
      </c>
      <c r="AH538" s="481">
        <f t="shared" si="255"/>
        <v>0</v>
      </c>
      <c r="AI538" s="481">
        <f t="shared" si="256"/>
        <v>0</v>
      </c>
      <c r="AJ538" s="487"/>
      <c r="AK538" s="507"/>
      <c r="AL538" s="479">
        <f t="shared" si="257"/>
        <v>0</v>
      </c>
      <c r="AM538" s="482">
        <f t="shared" si="258"/>
        <v>0</v>
      </c>
      <c r="AN538" s="487"/>
      <c r="AO538" s="488"/>
      <c r="AP538" s="487">
        <v>4299</v>
      </c>
      <c r="AQ538" s="488">
        <v>4318</v>
      </c>
      <c r="AR538" s="487">
        <v>3624</v>
      </c>
      <c r="AS538" s="488">
        <v>3756</v>
      </c>
      <c r="AT538" s="487">
        <v>4027</v>
      </c>
      <c r="AU538" s="488">
        <v>3602</v>
      </c>
      <c r="AV538" s="479">
        <f t="shared" si="259"/>
        <v>11950</v>
      </c>
      <c r="AW538" s="483">
        <f t="shared" si="260"/>
        <v>497.91666666666669</v>
      </c>
      <c r="AX538" s="481">
        <f t="shared" si="261"/>
        <v>11676</v>
      </c>
      <c r="AY538" s="484">
        <f t="shared" si="262"/>
        <v>486.5</v>
      </c>
      <c r="AZ538" s="485">
        <f t="shared" si="263"/>
        <v>1622.6833333333334</v>
      </c>
      <c r="BA538" s="481">
        <f t="shared" si="264"/>
        <v>1708.6333333333334</v>
      </c>
    </row>
    <row r="539" spans="1:53">
      <c r="A539" s="574" t="s">
        <v>273</v>
      </c>
      <c r="B539" s="549" t="s">
        <v>506</v>
      </c>
      <c r="C539" s="576"/>
      <c r="D539" s="616">
        <v>224545</v>
      </c>
      <c r="E539" s="606">
        <v>4</v>
      </c>
      <c r="F539" s="486" t="s">
        <v>41</v>
      </c>
      <c r="G539" s="529"/>
      <c r="H539" s="506"/>
      <c r="I539" s="488"/>
      <c r="J539" s="506">
        <v>15171</v>
      </c>
      <c r="K539" s="488">
        <v>14519</v>
      </c>
      <c r="L539" s="506">
        <v>3470</v>
      </c>
      <c r="M539" s="488">
        <v>3004</v>
      </c>
      <c r="N539" s="506">
        <v>16149</v>
      </c>
      <c r="O539" s="488">
        <v>14739</v>
      </c>
      <c r="P539" s="479">
        <f t="shared" si="247"/>
        <v>34790</v>
      </c>
      <c r="Q539" s="480">
        <f t="shared" si="248"/>
        <v>1159.6666666666667</v>
      </c>
      <c r="R539" s="481">
        <f t="shared" si="249"/>
        <v>32262</v>
      </c>
      <c r="S539" s="482">
        <f t="shared" si="250"/>
        <v>1075.4000000000001</v>
      </c>
      <c r="T539" s="506">
        <v>0</v>
      </c>
      <c r="U539" s="507">
        <v>0</v>
      </c>
      <c r="V539" s="479">
        <f t="shared" si="251"/>
        <v>34790</v>
      </c>
      <c r="W539" s="478">
        <f t="shared" si="252"/>
        <v>32262</v>
      </c>
      <c r="X539" s="506"/>
      <c r="Y539" s="488"/>
      <c r="Z539" s="506"/>
      <c r="AA539" s="488"/>
      <c r="AB539" s="506"/>
      <c r="AC539" s="488"/>
      <c r="AD539" s="506"/>
      <c r="AE539" s="507"/>
      <c r="AF539" s="479">
        <f t="shared" si="253"/>
        <v>0</v>
      </c>
      <c r="AG539" s="480">
        <f t="shared" si="254"/>
        <v>0</v>
      </c>
      <c r="AH539" s="481">
        <f t="shared" si="255"/>
        <v>0</v>
      </c>
      <c r="AI539" s="481">
        <f t="shared" si="256"/>
        <v>0</v>
      </c>
      <c r="AJ539" s="487"/>
      <c r="AK539" s="507"/>
      <c r="AL539" s="479">
        <f t="shared" si="257"/>
        <v>0</v>
      </c>
      <c r="AM539" s="482">
        <f t="shared" si="258"/>
        <v>0</v>
      </c>
      <c r="AN539" s="487"/>
      <c r="AO539" s="488"/>
      <c r="AP539" s="487">
        <v>2346</v>
      </c>
      <c r="AQ539" s="488">
        <v>2404</v>
      </c>
      <c r="AR539" s="487">
        <v>2396</v>
      </c>
      <c r="AS539" s="488">
        <v>1578</v>
      </c>
      <c r="AT539" s="487">
        <v>2565</v>
      </c>
      <c r="AU539" s="488">
        <v>2278</v>
      </c>
      <c r="AV539" s="479">
        <f t="shared" si="259"/>
        <v>7307</v>
      </c>
      <c r="AW539" s="483">
        <f t="shared" si="260"/>
        <v>304.45833333333331</v>
      </c>
      <c r="AX539" s="481">
        <f t="shared" si="261"/>
        <v>6260</v>
      </c>
      <c r="AY539" s="484">
        <f t="shared" si="262"/>
        <v>260.83333333333331</v>
      </c>
      <c r="AZ539" s="485">
        <f t="shared" si="263"/>
        <v>1464.125</v>
      </c>
      <c r="BA539" s="481">
        <f t="shared" si="264"/>
        <v>1336.2333333333333</v>
      </c>
    </row>
    <row r="540" spans="1:53">
      <c r="A540" s="574" t="s">
        <v>273</v>
      </c>
      <c r="B540" s="549" t="s">
        <v>507</v>
      </c>
      <c r="C540" s="576"/>
      <c r="D540" s="616">
        <v>225502</v>
      </c>
      <c r="E540" s="606">
        <v>4</v>
      </c>
      <c r="F540" s="486" t="s">
        <v>41</v>
      </c>
      <c r="G540" s="529"/>
      <c r="H540" s="506"/>
      <c r="I540" s="488"/>
      <c r="J540" s="506">
        <v>24503</v>
      </c>
      <c r="K540" s="488">
        <v>25627</v>
      </c>
      <c r="L540" s="506">
        <v>9014</v>
      </c>
      <c r="M540" s="488">
        <v>8721</v>
      </c>
      <c r="N540" s="506">
        <v>26009</v>
      </c>
      <c r="O540" s="488">
        <v>28724</v>
      </c>
      <c r="P540" s="479">
        <f t="shared" si="247"/>
        <v>59526</v>
      </c>
      <c r="Q540" s="480">
        <f t="shared" si="248"/>
        <v>1984.2</v>
      </c>
      <c r="R540" s="481">
        <f t="shared" si="249"/>
        <v>63072</v>
      </c>
      <c r="S540" s="482">
        <f t="shared" si="250"/>
        <v>2102.4</v>
      </c>
      <c r="T540" s="506">
        <v>0</v>
      </c>
      <c r="U540" s="507">
        <v>0</v>
      </c>
      <c r="V540" s="479">
        <f t="shared" si="251"/>
        <v>59526</v>
      </c>
      <c r="W540" s="478">
        <f t="shared" si="252"/>
        <v>63072</v>
      </c>
      <c r="X540" s="506"/>
      <c r="Y540" s="488"/>
      <c r="Z540" s="506"/>
      <c r="AA540" s="488"/>
      <c r="AB540" s="506"/>
      <c r="AC540" s="488"/>
      <c r="AD540" s="506"/>
      <c r="AE540" s="507"/>
      <c r="AF540" s="479">
        <f t="shared" si="253"/>
        <v>0</v>
      </c>
      <c r="AG540" s="480">
        <f t="shared" si="254"/>
        <v>0</v>
      </c>
      <c r="AH540" s="481">
        <f t="shared" si="255"/>
        <v>0</v>
      </c>
      <c r="AI540" s="481">
        <f t="shared" si="256"/>
        <v>0</v>
      </c>
      <c r="AJ540" s="487"/>
      <c r="AK540" s="507"/>
      <c r="AL540" s="479">
        <f t="shared" si="257"/>
        <v>0</v>
      </c>
      <c r="AM540" s="482">
        <f t="shared" si="258"/>
        <v>0</v>
      </c>
      <c r="AN540" s="487"/>
      <c r="AO540" s="488"/>
      <c r="AP540" s="487">
        <v>10302</v>
      </c>
      <c r="AQ540" s="488">
        <v>9402</v>
      </c>
      <c r="AR540" s="487">
        <v>5323</v>
      </c>
      <c r="AS540" s="488">
        <v>4617</v>
      </c>
      <c r="AT540" s="487">
        <v>10039</v>
      </c>
      <c r="AU540" s="488">
        <v>9489</v>
      </c>
      <c r="AV540" s="479">
        <f t="shared" si="259"/>
        <v>25664</v>
      </c>
      <c r="AW540" s="483">
        <f t="shared" si="260"/>
        <v>1069.3333333333333</v>
      </c>
      <c r="AX540" s="481">
        <f t="shared" si="261"/>
        <v>23508</v>
      </c>
      <c r="AY540" s="484">
        <f t="shared" si="262"/>
        <v>979.5</v>
      </c>
      <c r="AZ540" s="485">
        <f t="shared" si="263"/>
        <v>3053.5333333333333</v>
      </c>
      <c r="BA540" s="481">
        <f t="shared" si="264"/>
        <v>3081.9</v>
      </c>
    </row>
    <row r="541" spans="1:53">
      <c r="A541" s="574" t="s">
        <v>273</v>
      </c>
      <c r="B541" s="549" t="s">
        <v>508</v>
      </c>
      <c r="C541" s="576"/>
      <c r="D541" s="616" t="s">
        <v>509</v>
      </c>
      <c r="E541" s="606">
        <v>5</v>
      </c>
      <c r="F541" s="486" t="s">
        <v>41</v>
      </c>
      <c r="G541" s="529"/>
      <c r="H541" s="506"/>
      <c r="I541" s="488"/>
      <c r="J541" s="506">
        <v>6237</v>
      </c>
      <c r="K541" s="488">
        <v>5651</v>
      </c>
      <c r="L541" s="506">
        <v>3018</v>
      </c>
      <c r="M541" s="488">
        <v>2795</v>
      </c>
      <c r="N541" s="506">
        <v>6061</v>
      </c>
      <c r="O541" s="488">
        <v>5244</v>
      </c>
      <c r="P541" s="479">
        <f t="shared" si="247"/>
        <v>15316</v>
      </c>
      <c r="Q541" s="480">
        <f t="shared" si="248"/>
        <v>510.53333333333336</v>
      </c>
      <c r="R541" s="481">
        <f t="shared" si="249"/>
        <v>13690</v>
      </c>
      <c r="S541" s="482">
        <f t="shared" si="250"/>
        <v>456.33333333333331</v>
      </c>
      <c r="T541" s="506">
        <v>0</v>
      </c>
      <c r="U541" s="507">
        <v>0</v>
      </c>
      <c r="V541" s="479">
        <f t="shared" si="251"/>
        <v>15316</v>
      </c>
      <c r="W541" s="478">
        <f t="shared" si="252"/>
        <v>13690</v>
      </c>
      <c r="X541" s="506"/>
      <c r="Y541" s="488"/>
      <c r="Z541" s="506"/>
      <c r="AA541" s="488"/>
      <c r="AB541" s="506"/>
      <c r="AC541" s="488"/>
      <c r="AD541" s="506"/>
      <c r="AE541" s="507"/>
      <c r="AF541" s="479">
        <f t="shared" si="253"/>
        <v>0</v>
      </c>
      <c r="AG541" s="480">
        <f t="shared" si="254"/>
        <v>0</v>
      </c>
      <c r="AH541" s="481">
        <f t="shared" si="255"/>
        <v>0</v>
      </c>
      <c r="AI541" s="481">
        <f t="shared" si="256"/>
        <v>0</v>
      </c>
      <c r="AJ541" s="487"/>
      <c r="AK541" s="507"/>
      <c r="AL541" s="479">
        <f t="shared" si="257"/>
        <v>0</v>
      </c>
      <c r="AM541" s="482">
        <f t="shared" si="258"/>
        <v>0</v>
      </c>
      <c r="AN541" s="487"/>
      <c r="AO541" s="488"/>
      <c r="AP541" s="487">
        <v>948</v>
      </c>
      <c r="AQ541" s="488">
        <v>927</v>
      </c>
      <c r="AR541" s="487">
        <v>765</v>
      </c>
      <c r="AS541" s="488">
        <v>870</v>
      </c>
      <c r="AT541" s="487">
        <v>774</v>
      </c>
      <c r="AU541" s="488">
        <v>1032</v>
      </c>
      <c r="AV541" s="479">
        <f t="shared" si="259"/>
        <v>2487</v>
      </c>
      <c r="AW541" s="483">
        <f t="shared" si="260"/>
        <v>103.625</v>
      </c>
      <c r="AX541" s="481">
        <f t="shared" si="261"/>
        <v>2829</v>
      </c>
      <c r="AY541" s="484">
        <f t="shared" si="262"/>
        <v>117.875</v>
      </c>
      <c r="AZ541" s="485">
        <f t="shared" si="263"/>
        <v>614.1583333333333</v>
      </c>
      <c r="BA541" s="481">
        <f t="shared" si="264"/>
        <v>574.20833333333326</v>
      </c>
    </row>
    <row r="542" spans="1:53">
      <c r="A542" s="574" t="s">
        <v>273</v>
      </c>
      <c r="B542" s="605" t="s">
        <v>510</v>
      </c>
      <c r="C542" s="607"/>
      <c r="D542" s="608">
        <v>870501</v>
      </c>
      <c r="E542" s="662">
        <v>5</v>
      </c>
      <c r="F542" s="486" t="s">
        <v>41</v>
      </c>
      <c r="G542" s="529"/>
      <c r="H542" s="506"/>
      <c r="I542" s="488"/>
      <c r="J542" s="506">
        <v>25392</v>
      </c>
      <c r="K542" s="488">
        <v>27067</v>
      </c>
      <c r="L542" s="506">
        <v>6638</v>
      </c>
      <c r="M542" s="488">
        <v>7892</v>
      </c>
      <c r="N542" s="506">
        <v>28926</v>
      </c>
      <c r="O542" s="488">
        <v>31585</v>
      </c>
      <c r="P542" s="479">
        <f t="shared" si="247"/>
        <v>60956</v>
      </c>
      <c r="Q542" s="480">
        <f t="shared" si="248"/>
        <v>2031.8666666666666</v>
      </c>
      <c r="R542" s="481">
        <f t="shared" si="249"/>
        <v>66544</v>
      </c>
      <c r="S542" s="482">
        <f t="shared" si="250"/>
        <v>2218.1333333333332</v>
      </c>
      <c r="T542" s="506">
        <v>0</v>
      </c>
      <c r="U542" s="507">
        <v>0</v>
      </c>
      <c r="V542" s="479">
        <f t="shared" si="251"/>
        <v>60956</v>
      </c>
      <c r="W542" s="478">
        <f t="shared" si="252"/>
        <v>66544</v>
      </c>
      <c r="X542" s="506"/>
      <c r="Y542" s="488"/>
      <c r="Z542" s="506"/>
      <c r="AA542" s="488"/>
      <c r="AB542" s="506"/>
      <c r="AC542" s="488"/>
      <c r="AD542" s="506"/>
      <c r="AE542" s="507"/>
      <c r="AF542" s="479">
        <f t="shared" si="253"/>
        <v>0</v>
      </c>
      <c r="AG542" s="480">
        <f t="shared" si="254"/>
        <v>0</v>
      </c>
      <c r="AH542" s="481">
        <f t="shared" si="255"/>
        <v>0</v>
      </c>
      <c r="AI542" s="481">
        <f t="shared" si="256"/>
        <v>0</v>
      </c>
      <c r="AJ542" s="487"/>
      <c r="AK542" s="507"/>
      <c r="AL542" s="479">
        <f t="shared" si="257"/>
        <v>0</v>
      </c>
      <c r="AM542" s="482">
        <f t="shared" si="258"/>
        <v>0</v>
      </c>
      <c r="AN542" s="487"/>
      <c r="AO542" s="488"/>
      <c r="AP542" s="487">
        <v>6438</v>
      </c>
      <c r="AQ542" s="488">
        <v>7172</v>
      </c>
      <c r="AR542" s="487">
        <v>3413</v>
      </c>
      <c r="AS542" s="488">
        <v>3837</v>
      </c>
      <c r="AT542" s="487">
        <v>7257</v>
      </c>
      <c r="AU542" s="488">
        <v>7764</v>
      </c>
      <c r="AV542" s="479">
        <f t="shared" si="259"/>
        <v>17108</v>
      </c>
      <c r="AW542" s="483">
        <f t="shared" si="260"/>
        <v>712.83333333333337</v>
      </c>
      <c r="AX542" s="481">
        <f t="shared" si="261"/>
        <v>18773</v>
      </c>
      <c r="AY542" s="484">
        <f t="shared" si="262"/>
        <v>782.20833333333337</v>
      </c>
      <c r="AZ542" s="485">
        <f t="shared" si="263"/>
        <v>2744.7</v>
      </c>
      <c r="BA542" s="481">
        <f t="shared" si="264"/>
        <v>3000.3416666666667</v>
      </c>
    </row>
    <row r="543" spans="1:53">
      <c r="A543" s="574" t="s">
        <v>273</v>
      </c>
      <c r="B543" s="549" t="s">
        <v>511</v>
      </c>
      <c r="C543" s="576"/>
      <c r="D543" s="616">
        <v>225432</v>
      </c>
      <c r="E543" s="606">
        <v>5</v>
      </c>
      <c r="F543" s="486" t="s">
        <v>41</v>
      </c>
      <c r="G543" s="529"/>
      <c r="H543" s="506"/>
      <c r="I543" s="488"/>
      <c r="J543" s="506">
        <v>116385</v>
      </c>
      <c r="K543" s="488">
        <v>117465</v>
      </c>
      <c r="L543" s="506">
        <v>31298</v>
      </c>
      <c r="M543" s="488">
        <v>28724</v>
      </c>
      <c r="N543" s="506">
        <v>129224</v>
      </c>
      <c r="O543" s="488">
        <v>126080</v>
      </c>
      <c r="P543" s="479">
        <f t="shared" si="247"/>
        <v>276907</v>
      </c>
      <c r="Q543" s="480">
        <f t="shared" si="248"/>
        <v>9230.2333333333336</v>
      </c>
      <c r="R543" s="481">
        <f t="shared" si="249"/>
        <v>272269</v>
      </c>
      <c r="S543" s="482">
        <f t="shared" si="250"/>
        <v>9075.6333333333332</v>
      </c>
      <c r="T543" s="506">
        <v>677</v>
      </c>
      <c r="U543" s="507">
        <v>809</v>
      </c>
      <c r="V543" s="479">
        <f t="shared" si="251"/>
        <v>276907</v>
      </c>
      <c r="W543" s="478">
        <f t="shared" si="252"/>
        <v>272269</v>
      </c>
      <c r="X543" s="506"/>
      <c r="Y543" s="488"/>
      <c r="Z543" s="506"/>
      <c r="AA543" s="488"/>
      <c r="AB543" s="506"/>
      <c r="AC543" s="488"/>
      <c r="AD543" s="506"/>
      <c r="AE543" s="507"/>
      <c r="AF543" s="479">
        <f t="shared" si="253"/>
        <v>0</v>
      </c>
      <c r="AG543" s="480">
        <f t="shared" si="254"/>
        <v>0</v>
      </c>
      <c r="AH543" s="481">
        <f t="shared" si="255"/>
        <v>0</v>
      </c>
      <c r="AI543" s="481">
        <f t="shared" si="256"/>
        <v>0</v>
      </c>
      <c r="AJ543" s="487"/>
      <c r="AK543" s="507"/>
      <c r="AL543" s="479">
        <f t="shared" si="257"/>
        <v>0</v>
      </c>
      <c r="AM543" s="482">
        <f t="shared" si="258"/>
        <v>0</v>
      </c>
      <c r="AN543" s="487"/>
      <c r="AO543" s="488"/>
      <c r="AP543" s="487">
        <v>1036</v>
      </c>
      <c r="AQ543" s="488">
        <v>1334</v>
      </c>
      <c r="AR543" s="487">
        <v>742</v>
      </c>
      <c r="AS543" s="488">
        <v>958</v>
      </c>
      <c r="AT543" s="487">
        <v>1033</v>
      </c>
      <c r="AU543" s="488">
        <v>1386</v>
      </c>
      <c r="AV543" s="479">
        <f t="shared" si="259"/>
        <v>2811</v>
      </c>
      <c r="AW543" s="483">
        <f t="shared" si="260"/>
        <v>117.125</v>
      </c>
      <c r="AX543" s="481">
        <f t="shared" si="261"/>
        <v>3678</v>
      </c>
      <c r="AY543" s="484">
        <f t="shared" si="262"/>
        <v>153.25</v>
      </c>
      <c r="AZ543" s="485">
        <f t="shared" si="263"/>
        <v>9347.3583333333336</v>
      </c>
      <c r="BA543" s="481">
        <f t="shared" si="264"/>
        <v>9228.8833333333332</v>
      </c>
    </row>
    <row r="544" spans="1:53">
      <c r="A544" s="574" t="s">
        <v>273</v>
      </c>
      <c r="B544" s="549" t="s">
        <v>512</v>
      </c>
      <c r="C544" s="576"/>
      <c r="D544" s="616">
        <v>228714</v>
      </c>
      <c r="E544" s="606">
        <v>6</v>
      </c>
      <c r="F544" s="486" t="s">
        <v>41</v>
      </c>
      <c r="G544" s="529"/>
      <c r="H544" s="506"/>
      <c r="I544" s="488"/>
      <c r="J544" s="506">
        <v>24269</v>
      </c>
      <c r="K544" s="488">
        <v>23862</v>
      </c>
      <c r="L544" s="506">
        <v>3879</v>
      </c>
      <c r="M544" s="488">
        <v>4015</v>
      </c>
      <c r="N544" s="506">
        <v>25867</v>
      </c>
      <c r="O544" s="488">
        <v>27938</v>
      </c>
      <c r="P544" s="479">
        <f t="shared" si="247"/>
        <v>54015</v>
      </c>
      <c r="Q544" s="480">
        <f t="shared" si="248"/>
        <v>1800.5</v>
      </c>
      <c r="R544" s="481">
        <f t="shared" si="249"/>
        <v>55815</v>
      </c>
      <c r="S544" s="482">
        <f t="shared" si="250"/>
        <v>1860.5</v>
      </c>
      <c r="T544" s="506">
        <v>0</v>
      </c>
      <c r="U544" s="507">
        <v>0</v>
      </c>
      <c r="V544" s="479">
        <f t="shared" si="251"/>
        <v>54015</v>
      </c>
      <c r="W544" s="478">
        <f t="shared" si="252"/>
        <v>55815</v>
      </c>
      <c r="X544" s="506"/>
      <c r="Y544" s="488"/>
      <c r="Z544" s="506"/>
      <c r="AA544" s="488"/>
      <c r="AB544" s="506"/>
      <c r="AC544" s="488"/>
      <c r="AD544" s="506"/>
      <c r="AE544" s="507"/>
      <c r="AF544" s="479">
        <f t="shared" si="253"/>
        <v>0</v>
      </c>
      <c r="AG544" s="480">
        <f t="shared" si="254"/>
        <v>0</v>
      </c>
      <c r="AH544" s="481">
        <f t="shared" si="255"/>
        <v>0</v>
      </c>
      <c r="AI544" s="481">
        <f t="shared" si="256"/>
        <v>0</v>
      </c>
      <c r="AJ544" s="487"/>
      <c r="AK544" s="507"/>
      <c r="AL544" s="479">
        <f t="shared" si="257"/>
        <v>0</v>
      </c>
      <c r="AM544" s="482">
        <f t="shared" si="258"/>
        <v>0</v>
      </c>
      <c r="AN544" s="487"/>
      <c r="AO544" s="488"/>
      <c r="AP544" s="487">
        <v>572</v>
      </c>
      <c r="AQ544" s="488">
        <v>739</v>
      </c>
      <c r="AR544" s="487">
        <v>208</v>
      </c>
      <c r="AS544" s="488">
        <v>273</v>
      </c>
      <c r="AT544" s="487">
        <v>708</v>
      </c>
      <c r="AU544" s="488">
        <v>838</v>
      </c>
      <c r="AV544" s="479">
        <f t="shared" si="259"/>
        <v>1488</v>
      </c>
      <c r="AW544" s="483">
        <f t="shared" si="260"/>
        <v>62</v>
      </c>
      <c r="AX544" s="481">
        <f t="shared" si="261"/>
        <v>1850</v>
      </c>
      <c r="AY544" s="484">
        <f t="shared" si="262"/>
        <v>77.083333333333329</v>
      </c>
      <c r="AZ544" s="485">
        <f t="shared" si="263"/>
        <v>1862.5</v>
      </c>
      <c r="BA544" s="481">
        <f t="shared" si="264"/>
        <v>1937.5833333333333</v>
      </c>
    </row>
    <row r="545" spans="1:53">
      <c r="A545" s="574" t="s">
        <v>273</v>
      </c>
      <c r="B545" s="609" t="s">
        <v>513</v>
      </c>
      <c r="C545" s="610"/>
      <c r="D545" s="608">
        <v>223506</v>
      </c>
      <c r="E545" s="611">
        <v>7</v>
      </c>
      <c r="F545" s="486" t="s">
        <v>41</v>
      </c>
      <c r="G545" s="529"/>
      <c r="H545" s="506">
        <v>31950</v>
      </c>
      <c r="I545" s="488">
        <v>31295</v>
      </c>
      <c r="J545" s="506">
        <v>10328</v>
      </c>
      <c r="K545" s="488">
        <v>10050</v>
      </c>
      <c r="L545" s="506">
        <v>2800</v>
      </c>
      <c r="M545" s="488">
        <v>3174</v>
      </c>
      <c r="N545" s="506">
        <v>31524</v>
      </c>
      <c r="O545" s="488">
        <v>32125</v>
      </c>
      <c r="P545" s="479">
        <f t="shared" si="247"/>
        <v>76602</v>
      </c>
      <c r="Q545" s="480">
        <f t="shared" si="248"/>
        <v>2553.4</v>
      </c>
      <c r="R545" s="481">
        <f t="shared" si="249"/>
        <v>76644</v>
      </c>
      <c r="S545" s="482">
        <f t="shared" si="250"/>
        <v>2554.8000000000002</v>
      </c>
      <c r="T545" s="506">
        <v>12016</v>
      </c>
      <c r="U545" s="507">
        <v>10094</v>
      </c>
      <c r="V545" s="479">
        <f t="shared" si="251"/>
        <v>76602</v>
      </c>
      <c r="W545" s="478">
        <f t="shared" si="252"/>
        <v>76644</v>
      </c>
      <c r="X545" s="506">
        <v>17301</v>
      </c>
      <c r="Y545" s="488">
        <v>12362</v>
      </c>
      <c r="Z545" s="506">
        <v>14199</v>
      </c>
      <c r="AA545" s="488">
        <v>11097</v>
      </c>
      <c r="AB545" s="506">
        <v>4751</v>
      </c>
      <c r="AC545" s="488">
        <v>4616</v>
      </c>
      <c r="AD545" s="506">
        <v>12291</v>
      </c>
      <c r="AE545" s="507">
        <v>9350</v>
      </c>
      <c r="AF545" s="479">
        <f t="shared" si="253"/>
        <v>48542</v>
      </c>
      <c r="AG545" s="480">
        <f t="shared" si="254"/>
        <v>53.935555555555553</v>
      </c>
      <c r="AH545" s="481">
        <f t="shared" si="255"/>
        <v>37425</v>
      </c>
      <c r="AI545" s="481">
        <f t="shared" si="256"/>
        <v>41.583333333333336</v>
      </c>
      <c r="AJ545" s="487"/>
      <c r="AK545" s="507"/>
      <c r="AL545" s="479">
        <f t="shared" si="257"/>
        <v>0</v>
      </c>
      <c r="AM545" s="482">
        <f t="shared" si="258"/>
        <v>0</v>
      </c>
      <c r="AN545" s="487"/>
      <c r="AO545" s="488"/>
      <c r="AP545" s="487"/>
      <c r="AQ545" s="488"/>
      <c r="AR545" s="487"/>
      <c r="AS545" s="488"/>
      <c r="AT545" s="487"/>
      <c r="AU545" s="488"/>
      <c r="AV545" s="479">
        <f t="shared" si="259"/>
        <v>0</v>
      </c>
      <c r="AW545" s="483">
        <f t="shared" si="260"/>
        <v>0</v>
      </c>
      <c r="AX545" s="481">
        <f t="shared" si="261"/>
        <v>0</v>
      </c>
      <c r="AY545" s="484">
        <f t="shared" si="262"/>
        <v>0</v>
      </c>
      <c r="AZ545" s="485">
        <f t="shared" si="263"/>
        <v>2607.3355555555559</v>
      </c>
      <c r="BA545" s="481">
        <f t="shared" si="264"/>
        <v>2596.3833333333337</v>
      </c>
    </row>
    <row r="546" spans="1:53">
      <c r="A546" s="574" t="s">
        <v>273</v>
      </c>
      <c r="B546" s="609" t="s">
        <v>514</v>
      </c>
      <c r="C546" s="610"/>
      <c r="D546" s="608">
        <v>226806</v>
      </c>
      <c r="E546" s="611">
        <v>7</v>
      </c>
      <c r="F546" s="486" t="s">
        <v>41</v>
      </c>
      <c r="G546" s="529"/>
      <c r="H546" s="506">
        <v>47276</v>
      </c>
      <c r="I546" s="488">
        <v>44437</v>
      </c>
      <c r="J546" s="506">
        <v>13690</v>
      </c>
      <c r="K546" s="488">
        <v>13489</v>
      </c>
      <c r="L546" s="506">
        <v>10455</v>
      </c>
      <c r="M546" s="488">
        <v>10268</v>
      </c>
      <c r="N546" s="506">
        <v>44378</v>
      </c>
      <c r="O546" s="488">
        <v>42352</v>
      </c>
      <c r="P546" s="479">
        <f t="shared" si="247"/>
        <v>115799</v>
      </c>
      <c r="Q546" s="480">
        <f t="shared" si="248"/>
        <v>3859.9666666666667</v>
      </c>
      <c r="R546" s="481">
        <f t="shared" si="249"/>
        <v>110546</v>
      </c>
      <c r="S546" s="482">
        <f t="shared" si="250"/>
        <v>3684.8666666666668</v>
      </c>
      <c r="T546" s="506">
        <v>7820</v>
      </c>
      <c r="U546" s="507">
        <v>8468</v>
      </c>
      <c r="V546" s="479">
        <f t="shared" si="251"/>
        <v>115799</v>
      </c>
      <c r="W546" s="478">
        <f t="shared" si="252"/>
        <v>110546</v>
      </c>
      <c r="X546" s="506">
        <v>49865</v>
      </c>
      <c r="Y546" s="488">
        <v>67697</v>
      </c>
      <c r="Z546" s="506">
        <v>48781</v>
      </c>
      <c r="AA546" s="488">
        <v>49193</v>
      </c>
      <c r="AB546" s="506">
        <v>54645</v>
      </c>
      <c r="AC546" s="488">
        <v>68765</v>
      </c>
      <c r="AD546" s="506">
        <v>81586</v>
      </c>
      <c r="AE546" s="507">
        <v>77176</v>
      </c>
      <c r="AF546" s="479">
        <f t="shared" si="253"/>
        <v>234877</v>
      </c>
      <c r="AG546" s="480">
        <f t="shared" si="254"/>
        <v>260.97444444444443</v>
      </c>
      <c r="AH546" s="481">
        <f t="shared" si="255"/>
        <v>262831</v>
      </c>
      <c r="AI546" s="481">
        <f t="shared" si="256"/>
        <v>292.03444444444443</v>
      </c>
      <c r="AJ546" s="487"/>
      <c r="AK546" s="507"/>
      <c r="AL546" s="479">
        <f t="shared" si="257"/>
        <v>0</v>
      </c>
      <c r="AM546" s="482">
        <f t="shared" si="258"/>
        <v>0</v>
      </c>
      <c r="AN546" s="487"/>
      <c r="AO546" s="488"/>
      <c r="AP546" s="487"/>
      <c r="AQ546" s="488"/>
      <c r="AR546" s="487"/>
      <c r="AS546" s="488"/>
      <c r="AT546" s="487"/>
      <c r="AU546" s="488"/>
      <c r="AV546" s="479">
        <f t="shared" si="259"/>
        <v>0</v>
      </c>
      <c r="AW546" s="483">
        <f t="shared" si="260"/>
        <v>0</v>
      </c>
      <c r="AX546" s="481">
        <f t="shared" si="261"/>
        <v>0</v>
      </c>
      <c r="AY546" s="484">
        <f t="shared" si="262"/>
        <v>0</v>
      </c>
      <c r="AZ546" s="485">
        <f t="shared" si="263"/>
        <v>4120.9411111111112</v>
      </c>
      <c r="BA546" s="481">
        <f t="shared" si="264"/>
        <v>3976.9011111111113</v>
      </c>
    </row>
    <row r="547" spans="1:53">
      <c r="A547" s="574" t="s">
        <v>273</v>
      </c>
      <c r="B547" s="609" t="s">
        <v>515</v>
      </c>
      <c r="C547" s="610"/>
      <c r="D547" s="612">
        <v>409315</v>
      </c>
      <c r="E547" s="613">
        <v>7</v>
      </c>
      <c r="F547" s="486" t="s">
        <v>41</v>
      </c>
      <c r="G547" s="529"/>
      <c r="H547" s="506">
        <v>235789</v>
      </c>
      <c r="I547" s="488">
        <v>244155</v>
      </c>
      <c r="J547" s="506">
        <v>39471</v>
      </c>
      <c r="K547" s="488">
        <v>44379</v>
      </c>
      <c r="L547" s="506">
        <v>28487</v>
      </c>
      <c r="M547" s="488">
        <v>30753</v>
      </c>
      <c r="N547" s="506">
        <v>247460</v>
      </c>
      <c r="O547" s="488">
        <v>249475</v>
      </c>
      <c r="P547" s="479">
        <f t="shared" si="247"/>
        <v>551207</v>
      </c>
      <c r="Q547" s="480">
        <f t="shared" si="248"/>
        <v>18373.566666666666</v>
      </c>
      <c r="R547" s="481">
        <f t="shared" si="249"/>
        <v>568762</v>
      </c>
      <c r="S547" s="482">
        <f t="shared" si="250"/>
        <v>18958.733333333334</v>
      </c>
      <c r="T547" s="506">
        <v>124002</v>
      </c>
      <c r="U547" s="507">
        <v>147425</v>
      </c>
      <c r="V547" s="479">
        <f t="shared" si="251"/>
        <v>551207</v>
      </c>
      <c r="W547" s="478">
        <f t="shared" si="252"/>
        <v>568762</v>
      </c>
      <c r="X547" s="506">
        <v>48147</v>
      </c>
      <c r="Y547" s="488">
        <v>109890</v>
      </c>
      <c r="Z547" s="506">
        <v>60509</v>
      </c>
      <c r="AA547" s="488">
        <v>61137</v>
      </c>
      <c r="AB547" s="506">
        <v>67819</v>
      </c>
      <c r="AC547" s="488">
        <v>107828</v>
      </c>
      <c r="AD547" s="506">
        <v>170775</v>
      </c>
      <c r="AE547" s="507">
        <v>369928</v>
      </c>
      <c r="AF547" s="479">
        <f t="shared" si="253"/>
        <v>347250</v>
      </c>
      <c r="AG547" s="480">
        <f t="shared" si="254"/>
        <v>385.83333333333331</v>
      </c>
      <c r="AH547" s="481">
        <f t="shared" si="255"/>
        <v>648783</v>
      </c>
      <c r="AI547" s="481">
        <f t="shared" si="256"/>
        <v>720.87</v>
      </c>
      <c r="AJ547" s="487"/>
      <c r="AK547" s="507"/>
      <c r="AL547" s="479">
        <f t="shared" si="257"/>
        <v>0</v>
      </c>
      <c r="AM547" s="482">
        <f t="shared" si="258"/>
        <v>0</v>
      </c>
      <c r="AN547" s="487"/>
      <c r="AO547" s="488"/>
      <c r="AP547" s="487"/>
      <c r="AQ547" s="488"/>
      <c r="AR547" s="487"/>
      <c r="AS547" s="488"/>
      <c r="AT547" s="487"/>
      <c r="AU547" s="488"/>
      <c r="AV547" s="479">
        <f t="shared" si="259"/>
        <v>0</v>
      </c>
      <c r="AW547" s="483">
        <f t="shared" si="260"/>
        <v>0</v>
      </c>
      <c r="AX547" s="481">
        <f t="shared" si="261"/>
        <v>0</v>
      </c>
      <c r="AY547" s="484">
        <f t="shared" si="262"/>
        <v>0</v>
      </c>
      <c r="AZ547" s="485">
        <f t="shared" si="263"/>
        <v>18759.399999999998</v>
      </c>
      <c r="BA547" s="481">
        <f t="shared" si="264"/>
        <v>19679.603333333333</v>
      </c>
    </row>
    <row r="548" spans="1:53">
      <c r="A548" s="574" t="s">
        <v>273</v>
      </c>
      <c r="B548" s="549" t="s">
        <v>516</v>
      </c>
      <c r="C548" s="614"/>
      <c r="D548" s="608">
        <v>222576</v>
      </c>
      <c r="E548" s="611">
        <v>8</v>
      </c>
      <c r="F548" s="486" t="s">
        <v>41</v>
      </c>
      <c r="G548" s="529"/>
      <c r="H548" s="506">
        <v>87451</v>
      </c>
      <c r="I548" s="488">
        <v>82833</v>
      </c>
      <c r="J548" s="506">
        <v>24513</v>
      </c>
      <c r="K548" s="488">
        <v>23373</v>
      </c>
      <c r="L548" s="506">
        <v>0</v>
      </c>
      <c r="M548" s="488">
        <v>0</v>
      </c>
      <c r="N548" s="506">
        <v>86691</v>
      </c>
      <c r="O548" s="488">
        <v>83186</v>
      </c>
      <c r="P548" s="479">
        <f t="shared" si="247"/>
        <v>198655</v>
      </c>
      <c r="Q548" s="480">
        <f t="shared" si="248"/>
        <v>6621.833333333333</v>
      </c>
      <c r="R548" s="481">
        <f t="shared" si="249"/>
        <v>189392</v>
      </c>
      <c r="S548" s="482">
        <f t="shared" si="250"/>
        <v>6313.0666666666666</v>
      </c>
      <c r="T548" s="506">
        <v>21310</v>
      </c>
      <c r="U548" s="507">
        <v>22621</v>
      </c>
      <c r="V548" s="479">
        <f t="shared" si="251"/>
        <v>198655</v>
      </c>
      <c r="W548" s="478">
        <f t="shared" si="252"/>
        <v>189392</v>
      </c>
      <c r="X548" s="506">
        <v>123852</v>
      </c>
      <c r="Y548" s="488">
        <v>111606</v>
      </c>
      <c r="Z548" s="506">
        <v>150274</v>
      </c>
      <c r="AA548" s="488">
        <v>140872</v>
      </c>
      <c r="AB548" s="506">
        <v>110459</v>
      </c>
      <c r="AC548" s="488">
        <v>106392</v>
      </c>
      <c r="AD548" s="506">
        <v>158658</v>
      </c>
      <c r="AE548" s="507">
        <v>139911</v>
      </c>
      <c r="AF548" s="479">
        <f t="shared" si="253"/>
        <v>543243</v>
      </c>
      <c r="AG548" s="480">
        <f t="shared" si="254"/>
        <v>603.60333333333335</v>
      </c>
      <c r="AH548" s="481">
        <f t="shared" si="255"/>
        <v>498781</v>
      </c>
      <c r="AI548" s="481">
        <f t="shared" si="256"/>
        <v>554.20111111111112</v>
      </c>
      <c r="AJ548" s="487"/>
      <c r="AK548" s="507"/>
      <c r="AL548" s="479">
        <f t="shared" si="257"/>
        <v>0</v>
      </c>
      <c r="AM548" s="482">
        <f t="shared" si="258"/>
        <v>0</v>
      </c>
      <c r="AN548" s="487"/>
      <c r="AO548" s="488"/>
      <c r="AP548" s="487"/>
      <c r="AQ548" s="488"/>
      <c r="AR548" s="487"/>
      <c r="AS548" s="488"/>
      <c r="AT548" s="487"/>
      <c r="AU548" s="488"/>
      <c r="AV548" s="479">
        <f t="shared" si="259"/>
        <v>0</v>
      </c>
      <c r="AW548" s="483">
        <f t="shared" si="260"/>
        <v>0</v>
      </c>
      <c r="AX548" s="481">
        <f t="shared" si="261"/>
        <v>0</v>
      </c>
      <c r="AY548" s="484">
        <f t="shared" si="262"/>
        <v>0</v>
      </c>
      <c r="AZ548" s="485">
        <f t="shared" si="263"/>
        <v>7225.4366666666665</v>
      </c>
      <c r="BA548" s="481">
        <f t="shared" si="264"/>
        <v>6867.2677777777781</v>
      </c>
    </row>
    <row r="549" spans="1:53">
      <c r="A549" s="574" t="s">
        <v>273</v>
      </c>
      <c r="B549" s="549" t="s">
        <v>517</v>
      </c>
      <c r="C549" s="614"/>
      <c r="D549" s="608">
        <v>222992</v>
      </c>
      <c r="E549" s="611">
        <v>8</v>
      </c>
      <c r="F549" s="486" t="s">
        <v>41</v>
      </c>
      <c r="G549" s="529"/>
      <c r="H549" s="506">
        <v>328386</v>
      </c>
      <c r="I549" s="488">
        <v>305130</v>
      </c>
      <c r="J549" s="506">
        <v>172797</v>
      </c>
      <c r="K549" s="488">
        <v>163880</v>
      </c>
      <c r="L549" s="506">
        <v>0</v>
      </c>
      <c r="M549" s="488">
        <v>0</v>
      </c>
      <c r="N549" s="506">
        <v>290811</v>
      </c>
      <c r="O549" s="488">
        <v>280583</v>
      </c>
      <c r="P549" s="479">
        <f t="shared" si="247"/>
        <v>791994</v>
      </c>
      <c r="Q549" s="480">
        <f t="shared" si="248"/>
        <v>26399.8</v>
      </c>
      <c r="R549" s="481">
        <f t="shared" si="249"/>
        <v>749593</v>
      </c>
      <c r="S549" s="482">
        <f t="shared" si="250"/>
        <v>24986.433333333334</v>
      </c>
      <c r="T549" s="506">
        <v>53331</v>
      </c>
      <c r="U549" s="507">
        <v>58099</v>
      </c>
      <c r="V549" s="479">
        <f t="shared" si="251"/>
        <v>791994</v>
      </c>
      <c r="W549" s="478">
        <f t="shared" si="252"/>
        <v>749593</v>
      </c>
      <c r="X549" s="506">
        <v>124524</v>
      </c>
      <c r="Y549" s="488">
        <v>153613</v>
      </c>
      <c r="Z549" s="506">
        <v>67441</v>
      </c>
      <c r="AA549" s="488">
        <v>83343</v>
      </c>
      <c r="AB549" s="506">
        <v>161638</v>
      </c>
      <c r="AC549" s="488">
        <v>92316</v>
      </c>
      <c r="AD549" s="506">
        <v>115888</v>
      </c>
      <c r="AE549" s="507">
        <v>103726</v>
      </c>
      <c r="AF549" s="479">
        <f t="shared" si="253"/>
        <v>469491</v>
      </c>
      <c r="AG549" s="480">
        <f t="shared" si="254"/>
        <v>521.65666666666664</v>
      </c>
      <c r="AH549" s="481">
        <f t="shared" si="255"/>
        <v>432998</v>
      </c>
      <c r="AI549" s="481">
        <f t="shared" si="256"/>
        <v>481.10888888888888</v>
      </c>
      <c r="AJ549" s="487"/>
      <c r="AK549" s="507"/>
      <c r="AL549" s="479">
        <f t="shared" si="257"/>
        <v>0</v>
      </c>
      <c r="AM549" s="482">
        <f t="shared" si="258"/>
        <v>0</v>
      </c>
      <c r="AN549" s="487"/>
      <c r="AO549" s="488"/>
      <c r="AP549" s="487"/>
      <c r="AQ549" s="488"/>
      <c r="AR549" s="487"/>
      <c r="AS549" s="488"/>
      <c r="AT549" s="487"/>
      <c r="AU549" s="488"/>
      <c r="AV549" s="479">
        <f t="shared" si="259"/>
        <v>0</v>
      </c>
      <c r="AW549" s="483">
        <f t="shared" si="260"/>
        <v>0</v>
      </c>
      <c r="AX549" s="481">
        <f t="shared" si="261"/>
        <v>0</v>
      </c>
      <c r="AY549" s="484">
        <f t="shared" si="262"/>
        <v>0</v>
      </c>
      <c r="AZ549" s="485">
        <f t="shared" si="263"/>
        <v>26921.456666666665</v>
      </c>
      <c r="BA549" s="481">
        <f t="shared" si="264"/>
        <v>25467.542222222222</v>
      </c>
    </row>
    <row r="550" spans="1:53">
      <c r="A550" s="574" t="s">
        <v>273</v>
      </c>
      <c r="B550" s="549" t="s">
        <v>518</v>
      </c>
      <c r="C550" s="614"/>
      <c r="D550" s="608">
        <v>223427</v>
      </c>
      <c r="E550" s="611">
        <v>8</v>
      </c>
      <c r="F550" s="486" t="s">
        <v>41</v>
      </c>
      <c r="G550" s="529"/>
      <c r="H550" s="506">
        <v>169126</v>
      </c>
      <c r="I550" s="488">
        <v>169394</v>
      </c>
      <c r="J550" s="506">
        <v>49542</v>
      </c>
      <c r="K550" s="488">
        <v>30511</v>
      </c>
      <c r="L550" s="506">
        <v>0</v>
      </c>
      <c r="M550" s="488">
        <v>17548</v>
      </c>
      <c r="N550" s="506">
        <v>180304</v>
      </c>
      <c r="O550" s="488">
        <v>183504</v>
      </c>
      <c r="P550" s="479">
        <f t="shared" si="247"/>
        <v>398972</v>
      </c>
      <c r="Q550" s="480">
        <f t="shared" si="248"/>
        <v>13299.066666666668</v>
      </c>
      <c r="R550" s="481">
        <f t="shared" si="249"/>
        <v>400957</v>
      </c>
      <c r="S550" s="482">
        <f t="shared" si="250"/>
        <v>13365.233333333334</v>
      </c>
      <c r="T550" s="506">
        <v>15268</v>
      </c>
      <c r="U550" s="507">
        <v>14059</v>
      </c>
      <c r="V550" s="479">
        <f t="shared" si="251"/>
        <v>398972</v>
      </c>
      <c r="W550" s="478">
        <f t="shared" si="252"/>
        <v>400957</v>
      </c>
      <c r="X550" s="506">
        <v>34151</v>
      </c>
      <c r="Y550" s="488">
        <v>32632</v>
      </c>
      <c r="Z550" s="506">
        <v>40990</v>
      </c>
      <c r="AA550" s="488">
        <v>18131</v>
      </c>
      <c r="AB550" s="506">
        <v>33412</v>
      </c>
      <c r="AC550" s="488">
        <v>23345</v>
      </c>
      <c r="AD550" s="506">
        <v>35333</v>
      </c>
      <c r="AE550" s="507">
        <v>37924</v>
      </c>
      <c r="AF550" s="479">
        <f t="shared" si="253"/>
        <v>143886</v>
      </c>
      <c r="AG550" s="480">
        <f t="shared" si="254"/>
        <v>159.87333333333333</v>
      </c>
      <c r="AH550" s="481">
        <f t="shared" si="255"/>
        <v>112032</v>
      </c>
      <c r="AI550" s="481">
        <f t="shared" si="256"/>
        <v>124.48</v>
      </c>
      <c r="AJ550" s="487"/>
      <c r="AK550" s="507"/>
      <c r="AL550" s="479">
        <f t="shared" si="257"/>
        <v>0</v>
      </c>
      <c r="AM550" s="482">
        <f t="shared" si="258"/>
        <v>0</v>
      </c>
      <c r="AN550" s="487"/>
      <c r="AO550" s="488"/>
      <c r="AP550" s="487"/>
      <c r="AQ550" s="488"/>
      <c r="AR550" s="487"/>
      <c r="AS550" s="488"/>
      <c r="AT550" s="487"/>
      <c r="AU550" s="488"/>
      <c r="AV550" s="479">
        <f t="shared" si="259"/>
        <v>0</v>
      </c>
      <c r="AW550" s="483">
        <f t="shared" si="260"/>
        <v>0</v>
      </c>
      <c r="AX550" s="481">
        <f t="shared" si="261"/>
        <v>0</v>
      </c>
      <c r="AY550" s="484">
        <f t="shared" si="262"/>
        <v>0</v>
      </c>
      <c r="AZ550" s="485">
        <f t="shared" si="263"/>
        <v>13458.94</v>
      </c>
      <c r="BA550" s="481">
        <f t="shared" si="264"/>
        <v>13489.713333333333</v>
      </c>
    </row>
    <row r="551" spans="1:53">
      <c r="A551" s="574" t="s">
        <v>273</v>
      </c>
      <c r="B551" s="615" t="s">
        <v>519</v>
      </c>
      <c r="C551" s="615"/>
      <c r="D551" s="608">
        <v>223524</v>
      </c>
      <c r="E551" s="611">
        <v>8</v>
      </c>
      <c r="F551" s="486" t="s">
        <v>41</v>
      </c>
      <c r="G551" s="529"/>
      <c r="H551" s="506">
        <v>86029</v>
      </c>
      <c r="I551" s="488">
        <v>79259</v>
      </c>
      <c r="J551" s="506">
        <v>46359</v>
      </c>
      <c r="K551" s="488">
        <v>47034</v>
      </c>
      <c r="L551" s="506">
        <v>0</v>
      </c>
      <c r="M551" s="488">
        <v>0</v>
      </c>
      <c r="N551" s="506">
        <v>70915</v>
      </c>
      <c r="O551" s="488">
        <v>65929</v>
      </c>
      <c r="P551" s="479">
        <f t="shared" si="247"/>
        <v>203303</v>
      </c>
      <c r="Q551" s="480">
        <f t="shared" si="248"/>
        <v>6776.7666666666664</v>
      </c>
      <c r="R551" s="481">
        <f t="shared" si="249"/>
        <v>192222</v>
      </c>
      <c r="S551" s="482">
        <f t="shared" si="250"/>
        <v>6407.4</v>
      </c>
      <c r="T551" s="506">
        <v>8669</v>
      </c>
      <c r="U551" s="507">
        <v>10400</v>
      </c>
      <c r="V551" s="479">
        <f t="shared" si="251"/>
        <v>203303</v>
      </c>
      <c r="W551" s="478">
        <f t="shared" si="252"/>
        <v>192222</v>
      </c>
      <c r="X551" s="506">
        <v>65960</v>
      </c>
      <c r="Y551" s="488">
        <v>46338</v>
      </c>
      <c r="Z551" s="506">
        <v>64564</v>
      </c>
      <c r="AA551" s="488">
        <v>57365</v>
      </c>
      <c r="AB551" s="506">
        <v>57663</v>
      </c>
      <c r="AC551" s="488">
        <v>57154</v>
      </c>
      <c r="AD551" s="506">
        <v>70341</v>
      </c>
      <c r="AE551" s="507">
        <v>65664</v>
      </c>
      <c r="AF551" s="479">
        <f t="shared" si="253"/>
        <v>258528</v>
      </c>
      <c r="AG551" s="480">
        <f t="shared" si="254"/>
        <v>287.25333333333333</v>
      </c>
      <c r="AH551" s="481">
        <f t="shared" si="255"/>
        <v>226521</v>
      </c>
      <c r="AI551" s="481">
        <f t="shared" si="256"/>
        <v>251.69</v>
      </c>
      <c r="AJ551" s="487"/>
      <c r="AK551" s="507"/>
      <c r="AL551" s="479">
        <f t="shared" si="257"/>
        <v>0</v>
      </c>
      <c r="AM551" s="482">
        <f t="shared" si="258"/>
        <v>0</v>
      </c>
      <c r="AN551" s="487"/>
      <c r="AO551" s="488"/>
      <c r="AP551" s="487"/>
      <c r="AQ551" s="488"/>
      <c r="AR551" s="487"/>
      <c r="AS551" s="488"/>
      <c r="AT551" s="487"/>
      <c r="AU551" s="488"/>
      <c r="AV551" s="479">
        <f t="shared" si="259"/>
        <v>0</v>
      </c>
      <c r="AW551" s="483">
        <f t="shared" si="260"/>
        <v>0</v>
      </c>
      <c r="AX551" s="481">
        <f t="shared" si="261"/>
        <v>0</v>
      </c>
      <c r="AY551" s="484">
        <f t="shared" si="262"/>
        <v>0</v>
      </c>
      <c r="AZ551" s="485">
        <f t="shared" si="263"/>
        <v>7064.0199999999995</v>
      </c>
      <c r="BA551" s="481">
        <f t="shared" si="264"/>
        <v>6659.0899999999992</v>
      </c>
    </row>
    <row r="552" spans="1:53">
      <c r="A552" s="574" t="s">
        <v>273</v>
      </c>
      <c r="B552" s="609" t="s">
        <v>520</v>
      </c>
      <c r="C552" s="609"/>
      <c r="D552" s="608">
        <v>223816</v>
      </c>
      <c r="E552" s="611">
        <v>8</v>
      </c>
      <c r="F552" s="486" t="s">
        <v>41</v>
      </c>
      <c r="G552" s="529"/>
      <c r="H552" s="506">
        <v>123024</v>
      </c>
      <c r="I552" s="488">
        <v>126359</v>
      </c>
      <c r="J552" s="506">
        <v>92510</v>
      </c>
      <c r="K552" s="488">
        <v>76072</v>
      </c>
      <c r="L552" s="506">
        <v>3994</v>
      </c>
      <c r="M552" s="488">
        <v>11554</v>
      </c>
      <c r="N552" s="506">
        <v>96353</v>
      </c>
      <c r="O552" s="488">
        <v>83091</v>
      </c>
      <c r="P552" s="479">
        <f t="shared" si="247"/>
        <v>315881</v>
      </c>
      <c r="Q552" s="480">
        <f t="shared" si="248"/>
        <v>10529.366666666667</v>
      </c>
      <c r="R552" s="481">
        <f t="shared" si="249"/>
        <v>297076</v>
      </c>
      <c r="S552" s="482">
        <f t="shared" si="250"/>
        <v>9902.5333333333328</v>
      </c>
      <c r="T552" s="506">
        <v>16799</v>
      </c>
      <c r="U552" s="507">
        <v>16731</v>
      </c>
      <c r="V552" s="479">
        <f t="shared" si="251"/>
        <v>315881</v>
      </c>
      <c r="W552" s="478">
        <f t="shared" si="252"/>
        <v>297076</v>
      </c>
      <c r="X552" s="506">
        <v>90921</v>
      </c>
      <c r="Y552" s="488">
        <v>98203</v>
      </c>
      <c r="Z552" s="506">
        <v>123240</v>
      </c>
      <c r="AA552" s="488">
        <v>116019</v>
      </c>
      <c r="AB552" s="506">
        <v>116694</v>
      </c>
      <c r="AC552" s="488">
        <v>98322</v>
      </c>
      <c r="AD552" s="506">
        <v>105520</v>
      </c>
      <c r="AE552" s="507">
        <v>73153</v>
      </c>
      <c r="AF552" s="479">
        <f t="shared" si="253"/>
        <v>436375</v>
      </c>
      <c r="AG552" s="480">
        <f t="shared" si="254"/>
        <v>484.86111111111109</v>
      </c>
      <c r="AH552" s="481">
        <f t="shared" si="255"/>
        <v>385697</v>
      </c>
      <c r="AI552" s="481">
        <f t="shared" si="256"/>
        <v>428.55222222222221</v>
      </c>
      <c r="AJ552" s="487"/>
      <c r="AK552" s="507"/>
      <c r="AL552" s="479">
        <f t="shared" si="257"/>
        <v>0</v>
      </c>
      <c r="AM552" s="482">
        <f t="shared" si="258"/>
        <v>0</v>
      </c>
      <c r="AN552" s="487"/>
      <c r="AO552" s="488"/>
      <c r="AP552" s="487"/>
      <c r="AQ552" s="488"/>
      <c r="AR552" s="487"/>
      <c r="AS552" s="488"/>
      <c r="AT552" s="487"/>
      <c r="AU552" s="488"/>
      <c r="AV552" s="479">
        <f t="shared" si="259"/>
        <v>0</v>
      </c>
      <c r="AW552" s="483">
        <f t="shared" si="260"/>
        <v>0</v>
      </c>
      <c r="AX552" s="481">
        <f t="shared" si="261"/>
        <v>0</v>
      </c>
      <c r="AY552" s="484">
        <f t="shared" si="262"/>
        <v>0</v>
      </c>
      <c r="AZ552" s="485">
        <f t="shared" si="263"/>
        <v>11014.227777777778</v>
      </c>
      <c r="BA552" s="481">
        <f t="shared" si="264"/>
        <v>10331.085555555555</v>
      </c>
    </row>
    <row r="553" spans="1:53">
      <c r="A553" s="574" t="s">
        <v>273</v>
      </c>
      <c r="B553" s="609" t="s">
        <v>521</v>
      </c>
      <c r="C553" s="609"/>
      <c r="D553" s="608">
        <v>247834</v>
      </c>
      <c r="E553" s="611">
        <v>8</v>
      </c>
      <c r="F553" s="486" t="s">
        <v>41</v>
      </c>
      <c r="G553" s="529"/>
      <c r="H553" s="506">
        <v>220007</v>
      </c>
      <c r="I553" s="488">
        <v>221014</v>
      </c>
      <c r="J553" s="506">
        <v>45459</v>
      </c>
      <c r="K553" s="488">
        <v>48505</v>
      </c>
      <c r="L553" s="506">
        <v>42198</v>
      </c>
      <c r="M553" s="488">
        <v>41400</v>
      </c>
      <c r="N553" s="506">
        <v>228868</v>
      </c>
      <c r="O553" s="488">
        <v>229468</v>
      </c>
      <c r="P553" s="479">
        <f t="shared" si="247"/>
        <v>536532</v>
      </c>
      <c r="Q553" s="480">
        <f t="shared" si="248"/>
        <v>17884.400000000001</v>
      </c>
      <c r="R553" s="481">
        <f t="shared" si="249"/>
        <v>540387</v>
      </c>
      <c r="S553" s="482">
        <f t="shared" si="250"/>
        <v>18012.900000000001</v>
      </c>
      <c r="T553" s="506">
        <v>22205</v>
      </c>
      <c r="U553" s="507">
        <v>24517</v>
      </c>
      <c r="V553" s="479">
        <f t="shared" si="251"/>
        <v>536532</v>
      </c>
      <c r="W553" s="478">
        <f t="shared" si="252"/>
        <v>540387</v>
      </c>
      <c r="X553" s="506">
        <v>149880</v>
      </c>
      <c r="Y553" s="488">
        <v>167788</v>
      </c>
      <c r="Z553" s="506">
        <v>124339</v>
      </c>
      <c r="AA553" s="488">
        <v>122787</v>
      </c>
      <c r="AB553" s="506">
        <v>131161</v>
      </c>
      <c r="AC553" s="488">
        <v>142206</v>
      </c>
      <c r="AD553" s="506">
        <v>226703</v>
      </c>
      <c r="AE553" s="507">
        <v>228769</v>
      </c>
      <c r="AF553" s="479">
        <f t="shared" si="253"/>
        <v>632083</v>
      </c>
      <c r="AG553" s="480">
        <f t="shared" si="254"/>
        <v>702.31444444444446</v>
      </c>
      <c r="AH553" s="481">
        <f t="shared" si="255"/>
        <v>661550</v>
      </c>
      <c r="AI553" s="481">
        <f t="shared" si="256"/>
        <v>735.05555555555554</v>
      </c>
      <c r="AJ553" s="487"/>
      <c r="AK553" s="507"/>
      <c r="AL553" s="479">
        <f t="shared" si="257"/>
        <v>0</v>
      </c>
      <c r="AM553" s="482">
        <f t="shared" si="258"/>
        <v>0</v>
      </c>
      <c r="AN553" s="487"/>
      <c r="AO553" s="488"/>
      <c r="AP553" s="487"/>
      <c r="AQ553" s="488"/>
      <c r="AR553" s="487"/>
      <c r="AS553" s="488"/>
      <c r="AT553" s="487"/>
      <c r="AU553" s="488"/>
      <c r="AV553" s="479">
        <f t="shared" si="259"/>
        <v>0</v>
      </c>
      <c r="AW553" s="483">
        <f t="shared" si="260"/>
        <v>0</v>
      </c>
      <c r="AX553" s="481">
        <f t="shared" si="261"/>
        <v>0</v>
      </c>
      <c r="AY553" s="484">
        <f t="shared" si="262"/>
        <v>0</v>
      </c>
      <c r="AZ553" s="485">
        <f t="shared" si="263"/>
        <v>18586.714444444446</v>
      </c>
      <c r="BA553" s="481">
        <f t="shared" si="264"/>
        <v>18747.955555555556</v>
      </c>
    </row>
    <row r="554" spans="1:53">
      <c r="A554" s="574" t="s">
        <v>273</v>
      </c>
      <c r="B554" s="609" t="s">
        <v>522</v>
      </c>
      <c r="C554" s="609"/>
      <c r="D554" s="608">
        <v>224350</v>
      </c>
      <c r="E554" s="611">
        <v>8</v>
      </c>
      <c r="F554" s="486" t="s">
        <v>41</v>
      </c>
      <c r="G554" s="529"/>
      <c r="H554" s="506">
        <v>92301</v>
      </c>
      <c r="I554" s="488">
        <v>82292</v>
      </c>
      <c r="J554" s="506">
        <v>22086</v>
      </c>
      <c r="K554" s="488">
        <v>22111</v>
      </c>
      <c r="L554" s="506">
        <v>10123</v>
      </c>
      <c r="M554" s="488">
        <v>9704</v>
      </c>
      <c r="N554" s="506">
        <v>89028</v>
      </c>
      <c r="O554" s="488">
        <v>84783</v>
      </c>
      <c r="P554" s="479">
        <f t="shared" si="247"/>
        <v>213538</v>
      </c>
      <c r="Q554" s="480">
        <f t="shared" si="248"/>
        <v>7117.9333333333334</v>
      </c>
      <c r="R554" s="481">
        <f t="shared" si="249"/>
        <v>198890</v>
      </c>
      <c r="S554" s="482">
        <f t="shared" si="250"/>
        <v>6629.666666666667</v>
      </c>
      <c r="T554" s="506">
        <v>16321</v>
      </c>
      <c r="U554" s="507">
        <v>16865</v>
      </c>
      <c r="V554" s="479">
        <f t="shared" si="251"/>
        <v>213538</v>
      </c>
      <c r="W554" s="478">
        <f t="shared" si="252"/>
        <v>198890</v>
      </c>
      <c r="X554" s="506">
        <v>84288</v>
      </c>
      <c r="Y554" s="488">
        <v>75497</v>
      </c>
      <c r="Z554" s="506">
        <v>58476</v>
      </c>
      <c r="AA554" s="488">
        <v>49513</v>
      </c>
      <c r="AB554" s="506">
        <v>63174</v>
      </c>
      <c r="AC554" s="488">
        <v>50227</v>
      </c>
      <c r="AD554" s="506">
        <v>89576</v>
      </c>
      <c r="AE554" s="507">
        <v>142308</v>
      </c>
      <c r="AF554" s="479">
        <f t="shared" si="253"/>
        <v>295514</v>
      </c>
      <c r="AG554" s="480">
        <f t="shared" si="254"/>
        <v>328.34888888888889</v>
      </c>
      <c r="AH554" s="481">
        <f t="shared" si="255"/>
        <v>317545</v>
      </c>
      <c r="AI554" s="481">
        <f t="shared" si="256"/>
        <v>352.82777777777778</v>
      </c>
      <c r="AJ554" s="487"/>
      <c r="AK554" s="507"/>
      <c r="AL554" s="479">
        <f t="shared" si="257"/>
        <v>0</v>
      </c>
      <c r="AM554" s="482">
        <f t="shared" si="258"/>
        <v>0</v>
      </c>
      <c r="AN554" s="487"/>
      <c r="AO554" s="488"/>
      <c r="AP554" s="487"/>
      <c r="AQ554" s="488"/>
      <c r="AR554" s="487"/>
      <c r="AS554" s="488"/>
      <c r="AT554" s="487"/>
      <c r="AU554" s="488"/>
      <c r="AV554" s="479">
        <f t="shared" si="259"/>
        <v>0</v>
      </c>
      <c r="AW554" s="483">
        <f t="shared" si="260"/>
        <v>0</v>
      </c>
      <c r="AX554" s="481">
        <f t="shared" si="261"/>
        <v>0</v>
      </c>
      <c r="AY554" s="484">
        <f t="shared" si="262"/>
        <v>0</v>
      </c>
      <c r="AZ554" s="485">
        <f t="shared" si="263"/>
        <v>7446.2822222222221</v>
      </c>
      <c r="BA554" s="481">
        <f t="shared" si="264"/>
        <v>6982.4944444444445</v>
      </c>
    </row>
    <row r="555" spans="1:53">
      <c r="A555" s="574" t="s">
        <v>273</v>
      </c>
      <c r="B555" s="615" t="s">
        <v>523</v>
      </c>
      <c r="C555" s="615"/>
      <c r="D555" s="608">
        <v>224572</v>
      </c>
      <c r="E555" s="611">
        <v>8</v>
      </c>
      <c r="F555" s="486" t="s">
        <v>41</v>
      </c>
      <c r="G555" s="529"/>
      <c r="H555" s="506">
        <v>94072</v>
      </c>
      <c r="I555" s="488">
        <v>96567</v>
      </c>
      <c r="J555" s="506">
        <v>49420</v>
      </c>
      <c r="K555" s="488">
        <v>55933</v>
      </c>
      <c r="L555" s="506">
        <v>0</v>
      </c>
      <c r="M555" s="488">
        <v>0</v>
      </c>
      <c r="N555" s="506">
        <v>87939</v>
      </c>
      <c r="O555" s="488">
        <v>86404</v>
      </c>
      <c r="P555" s="479">
        <f t="shared" si="247"/>
        <v>231431</v>
      </c>
      <c r="Q555" s="480">
        <f t="shared" si="248"/>
        <v>7714.3666666666668</v>
      </c>
      <c r="R555" s="481">
        <f t="shared" si="249"/>
        <v>238904</v>
      </c>
      <c r="S555" s="482">
        <f t="shared" si="250"/>
        <v>7963.4666666666662</v>
      </c>
      <c r="T555" s="506">
        <v>17724</v>
      </c>
      <c r="U555" s="507">
        <v>19782</v>
      </c>
      <c r="V555" s="479">
        <f t="shared" si="251"/>
        <v>231431</v>
      </c>
      <c r="W555" s="478">
        <f t="shared" si="252"/>
        <v>238904</v>
      </c>
      <c r="X555" s="506">
        <v>89159</v>
      </c>
      <c r="Y555" s="488">
        <v>74212</v>
      </c>
      <c r="Z555" s="506">
        <v>58288</v>
      </c>
      <c r="AA555" s="488">
        <v>57107</v>
      </c>
      <c r="AB555" s="506">
        <v>53746</v>
      </c>
      <c r="AC555" s="488">
        <v>65592</v>
      </c>
      <c r="AD555" s="506">
        <v>82288</v>
      </c>
      <c r="AE555" s="507">
        <v>71591</v>
      </c>
      <c r="AF555" s="479">
        <f t="shared" si="253"/>
        <v>283481</v>
      </c>
      <c r="AG555" s="480">
        <f t="shared" si="254"/>
        <v>314.97888888888889</v>
      </c>
      <c r="AH555" s="481">
        <f t="shared" si="255"/>
        <v>268502</v>
      </c>
      <c r="AI555" s="481">
        <f t="shared" si="256"/>
        <v>298.33555555555557</v>
      </c>
      <c r="AJ555" s="487"/>
      <c r="AK555" s="507"/>
      <c r="AL555" s="479">
        <f t="shared" si="257"/>
        <v>0</v>
      </c>
      <c r="AM555" s="482">
        <f t="shared" si="258"/>
        <v>0</v>
      </c>
      <c r="AN555" s="487"/>
      <c r="AO555" s="488"/>
      <c r="AP555" s="487"/>
      <c r="AQ555" s="488"/>
      <c r="AR555" s="487"/>
      <c r="AS555" s="488"/>
      <c r="AT555" s="487"/>
      <c r="AU555" s="488"/>
      <c r="AV555" s="479">
        <f t="shared" si="259"/>
        <v>0</v>
      </c>
      <c r="AW555" s="483">
        <f t="shared" si="260"/>
        <v>0</v>
      </c>
      <c r="AX555" s="481">
        <f t="shared" si="261"/>
        <v>0</v>
      </c>
      <c r="AY555" s="484">
        <f t="shared" si="262"/>
        <v>0</v>
      </c>
      <c r="AZ555" s="485">
        <f t="shared" si="263"/>
        <v>8029.3455555555556</v>
      </c>
      <c r="BA555" s="481">
        <f t="shared" si="264"/>
        <v>8261.8022222222226</v>
      </c>
    </row>
    <row r="556" spans="1:53">
      <c r="A556" s="574" t="s">
        <v>273</v>
      </c>
      <c r="B556" s="615" t="s">
        <v>524</v>
      </c>
      <c r="C556" s="615"/>
      <c r="D556" s="616">
        <v>224615</v>
      </c>
      <c r="E556" s="606">
        <v>8</v>
      </c>
      <c r="F556" s="486" t="s">
        <v>41</v>
      </c>
      <c r="G556" s="529"/>
      <c r="H556" s="506">
        <v>77644</v>
      </c>
      <c r="I556" s="488">
        <v>78404</v>
      </c>
      <c r="J556" s="506">
        <v>30159</v>
      </c>
      <c r="K556" s="488">
        <v>29955</v>
      </c>
      <c r="L556" s="506">
        <v>0</v>
      </c>
      <c r="M556" s="488">
        <v>0</v>
      </c>
      <c r="N556" s="506">
        <v>70587</v>
      </c>
      <c r="O556" s="488">
        <v>66275</v>
      </c>
      <c r="P556" s="479">
        <f t="shared" si="247"/>
        <v>178390</v>
      </c>
      <c r="Q556" s="480">
        <f t="shared" si="248"/>
        <v>5946.333333333333</v>
      </c>
      <c r="R556" s="481">
        <f t="shared" si="249"/>
        <v>174634</v>
      </c>
      <c r="S556" s="482">
        <f t="shared" si="250"/>
        <v>5821.1333333333332</v>
      </c>
      <c r="T556" s="506">
        <v>11192</v>
      </c>
      <c r="U556" s="507">
        <v>13013</v>
      </c>
      <c r="V556" s="479">
        <f t="shared" si="251"/>
        <v>178390</v>
      </c>
      <c r="W556" s="478">
        <f t="shared" si="252"/>
        <v>174634</v>
      </c>
      <c r="X556" s="506">
        <v>233456</v>
      </c>
      <c r="Y556" s="488">
        <v>305029</v>
      </c>
      <c r="Z556" s="506">
        <v>368027</v>
      </c>
      <c r="AA556" s="488">
        <v>329985</v>
      </c>
      <c r="AB556" s="506">
        <v>334014</v>
      </c>
      <c r="AC556" s="488">
        <v>312033</v>
      </c>
      <c r="AD556" s="506">
        <v>271796</v>
      </c>
      <c r="AE556" s="507">
        <v>295214</v>
      </c>
      <c r="AF556" s="479">
        <f t="shared" si="253"/>
        <v>1207293</v>
      </c>
      <c r="AG556" s="480">
        <f t="shared" si="254"/>
        <v>1341.4366666666667</v>
      </c>
      <c r="AH556" s="481">
        <f t="shared" si="255"/>
        <v>1242261</v>
      </c>
      <c r="AI556" s="481">
        <f t="shared" si="256"/>
        <v>1380.29</v>
      </c>
      <c r="AJ556" s="487"/>
      <c r="AK556" s="507"/>
      <c r="AL556" s="479">
        <f t="shared" si="257"/>
        <v>0</v>
      </c>
      <c r="AM556" s="482">
        <f t="shared" si="258"/>
        <v>0</v>
      </c>
      <c r="AN556" s="487"/>
      <c r="AO556" s="488"/>
      <c r="AP556" s="487"/>
      <c r="AQ556" s="488"/>
      <c r="AR556" s="487"/>
      <c r="AS556" s="488"/>
      <c r="AT556" s="487"/>
      <c r="AU556" s="488"/>
      <c r="AV556" s="479">
        <f t="shared" si="259"/>
        <v>0</v>
      </c>
      <c r="AW556" s="483">
        <f t="shared" si="260"/>
        <v>0</v>
      </c>
      <c r="AX556" s="481">
        <f t="shared" si="261"/>
        <v>0</v>
      </c>
      <c r="AY556" s="484">
        <f t="shared" si="262"/>
        <v>0</v>
      </c>
      <c r="AZ556" s="485">
        <f t="shared" si="263"/>
        <v>7287.7699999999995</v>
      </c>
      <c r="BA556" s="481">
        <f t="shared" si="264"/>
        <v>7201.4233333333332</v>
      </c>
    </row>
    <row r="557" spans="1:53">
      <c r="A557" s="574" t="s">
        <v>273</v>
      </c>
      <c r="B557" s="609" t="s">
        <v>525</v>
      </c>
      <c r="C557" s="614"/>
      <c r="D557" s="608">
        <v>224642</v>
      </c>
      <c r="E557" s="611">
        <v>8</v>
      </c>
      <c r="F557" s="486" t="s">
        <v>41</v>
      </c>
      <c r="G557" s="529"/>
      <c r="H557" s="506">
        <v>253084</v>
      </c>
      <c r="I557" s="488">
        <v>243140</v>
      </c>
      <c r="J557" s="506">
        <v>58283</v>
      </c>
      <c r="K557" s="488">
        <v>55667</v>
      </c>
      <c r="L557" s="506">
        <v>0</v>
      </c>
      <c r="M557" s="488">
        <v>0</v>
      </c>
      <c r="N557" s="506">
        <v>263960</v>
      </c>
      <c r="O557" s="488">
        <v>253794</v>
      </c>
      <c r="P557" s="479">
        <f t="shared" si="247"/>
        <v>575327</v>
      </c>
      <c r="Q557" s="480">
        <f t="shared" si="248"/>
        <v>19177.566666666666</v>
      </c>
      <c r="R557" s="481">
        <f t="shared" si="249"/>
        <v>552601</v>
      </c>
      <c r="S557" s="482">
        <f t="shared" si="250"/>
        <v>18420.033333333333</v>
      </c>
      <c r="T557" s="506">
        <v>70271</v>
      </c>
      <c r="U557" s="507">
        <v>61196</v>
      </c>
      <c r="V557" s="479">
        <f t="shared" si="251"/>
        <v>575327</v>
      </c>
      <c r="W557" s="478">
        <f t="shared" si="252"/>
        <v>552601</v>
      </c>
      <c r="X557" s="506">
        <v>121978</v>
      </c>
      <c r="Y557" s="488">
        <v>119775</v>
      </c>
      <c r="Z557" s="506">
        <v>126534</v>
      </c>
      <c r="AA557" s="488">
        <v>119910</v>
      </c>
      <c r="AB557" s="506">
        <v>110699</v>
      </c>
      <c r="AC557" s="488">
        <v>99506</v>
      </c>
      <c r="AD557" s="506">
        <v>157377</v>
      </c>
      <c r="AE557" s="507">
        <v>129050</v>
      </c>
      <c r="AF557" s="479">
        <f t="shared" si="253"/>
        <v>516588</v>
      </c>
      <c r="AG557" s="480">
        <f t="shared" si="254"/>
        <v>573.98666666666668</v>
      </c>
      <c r="AH557" s="481">
        <f t="shared" si="255"/>
        <v>468241</v>
      </c>
      <c r="AI557" s="481">
        <f t="shared" si="256"/>
        <v>520.26777777777772</v>
      </c>
      <c r="AJ557" s="487"/>
      <c r="AK557" s="507"/>
      <c r="AL557" s="479">
        <f t="shared" si="257"/>
        <v>0</v>
      </c>
      <c r="AM557" s="482">
        <f t="shared" si="258"/>
        <v>0</v>
      </c>
      <c r="AN557" s="487"/>
      <c r="AO557" s="488"/>
      <c r="AP557" s="487"/>
      <c r="AQ557" s="488"/>
      <c r="AR557" s="487"/>
      <c r="AS557" s="488"/>
      <c r="AT557" s="487"/>
      <c r="AU557" s="488"/>
      <c r="AV557" s="479">
        <f t="shared" si="259"/>
        <v>0</v>
      </c>
      <c r="AW557" s="483">
        <f t="shared" si="260"/>
        <v>0</v>
      </c>
      <c r="AX557" s="481">
        <f t="shared" si="261"/>
        <v>0</v>
      </c>
      <c r="AY557" s="484">
        <f t="shared" si="262"/>
        <v>0</v>
      </c>
      <c r="AZ557" s="485">
        <f t="shared" si="263"/>
        <v>19751.553333333333</v>
      </c>
      <c r="BA557" s="481">
        <f t="shared" si="264"/>
        <v>18940.301111111112</v>
      </c>
    </row>
    <row r="558" spans="1:53">
      <c r="A558" s="574" t="s">
        <v>273</v>
      </c>
      <c r="B558" s="609" t="s">
        <v>526</v>
      </c>
      <c r="C558" s="614"/>
      <c r="D558" s="608">
        <v>225423</v>
      </c>
      <c r="E558" s="611">
        <v>8</v>
      </c>
      <c r="F558" s="486" t="s">
        <v>41</v>
      </c>
      <c r="G558" s="529"/>
      <c r="H558" s="506">
        <v>494412</v>
      </c>
      <c r="I558" s="488">
        <v>470921</v>
      </c>
      <c r="J558" s="506">
        <v>269882</v>
      </c>
      <c r="K558" s="488">
        <v>265340</v>
      </c>
      <c r="L558" s="506">
        <v>0</v>
      </c>
      <c r="M558" s="488">
        <v>0</v>
      </c>
      <c r="N558" s="506">
        <v>368037</v>
      </c>
      <c r="O558" s="488">
        <v>361800</v>
      </c>
      <c r="P558" s="479">
        <f t="shared" si="247"/>
        <v>1132331</v>
      </c>
      <c r="Q558" s="480">
        <f t="shared" si="248"/>
        <v>37744.366666666669</v>
      </c>
      <c r="R558" s="481">
        <f t="shared" si="249"/>
        <v>1098061</v>
      </c>
      <c r="S558" s="482">
        <f t="shared" si="250"/>
        <v>36602.033333333333</v>
      </c>
      <c r="T558" s="506">
        <v>73521</v>
      </c>
      <c r="U558" s="507">
        <v>64049</v>
      </c>
      <c r="V558" s="479">
        <f t="shared" si="251"/>
        <v>1132331</v>
      </c>
      <c r="W558" s="478">
        <f t="shared" si="252"/>
        <v>1098061</v>
      </c>
      <c r="X558" s="506">
        <v>428435</v>
      </c>
      <c r="Y558" s="488">
        <v>496483</v>
      </c>
      <c r="Z558" s="506">
        <v>473653</v>
      </c>
      <c r="AA558" s="488">
        <v>468618</v>
      </c>
      <c r="AB558" s="506">
        <v>323638</v>
      </c>
      <c r="AC558" s="488">
        <v>378767</v>
      </c>
      <c r="AD558" s="506">
        <v>589403</v>
      </c>
      <c r="AE558" s="507">
        <v>612662</v>
      </c>
      <c r="AF558" s="479">
        <f t="shared" si="253"/>
        <v>1815129</v>
      </c>
      <c r="AG558" s="480">
        <f t="shared" si="254"/>
        <v>2016.81</v>
      </c>
      <c r="AH558" s="481">
        <f t="shared" si="255"/>
        <v>1956530</v>
      </c>
      <c r="AI558" s="481">
        <f t="shared" si="256"/>
        <v>2173.9222222222224</v>
      </c>
      <c r="AJ558" s="487"/>
      <c r="AK558" s="507"/>
      <c r="AL558" s="479">
        <f t="shared" si="257"/>
        <v>0</v>
      </c>
      <c r="AM558" s="482">
        <f t="shared" si="258"/>
        <v>0</v>
      </c>
      <c r="AN558" s="487"/>
      <c r="AO558" s="488"/>
      <c r="AP558" s="487"/>
      <c r="AQ558" s="488"/>
      <c r="AR558" s="487"/>
      <c r="AS558" s="488"/>
      <c r="AT558" s="487"/>
      <c r="AU558" s="488"/>
      <c r="AV558" s="479">
        <f t="shared" si="259"/>
        <v>0</v>
      </c>
      <c r="AW558" s="483">
        <f t="shared" si="260"/>
        <v>0</v>
      </c>
      <c r="AX558" s="481">
        <f t="shared" si="261"/>
        <v>0</v>
      </c>
      <c r="AY558" s="484">
        <f t="shared" si="262"/>
        <v>0</v>
      </c>
      <c r="AZ558" s="485">
        <f t="shared" si="263"/>
        <v>39761.176666666666</v>
      </c>
      <c r="BA558" s="481">
        <f t="shared" si="264"/>
        <v>38775.955555555556</v>
      </c>
    </row>
    <row r="559" spans="1:53">
      <c r="A559" s="574" t="s">
        <v>273</v>
      </c>
      <c r="B559" s="605" t="s">
        <v>527</v>
      </c>
      <c r="C559" s="576" t="s">
        <v>608</v>
      </c>
      <c r="D559" s="608">
        <v>226019</v>
      </c>
      <c r="E559" s="606">
        <v>8</v>
      </c>
      <c r="F559" s="486" t="s">
        <v>41</v>
      </c>
      <c r="G559" s="529"/>
      <c r="H559" s="506">
        <v>59183</v>
      </c>
      <c r="I559" s="488">
        <v>55586</v>
      </c>
      <c r="J559" s="506">
        <v>9925</v>
      </c>
      <c r="K559" s="488">
        <v>9588</v>
      </c>
      <c r="L559" s="506">
        <v>4662</v>
      </c>
      <c r="M559" s="488">
        <v>4715</v>
      </c>
      <c r="N559" s="506">
        <v>59315</v>
      </c>
      <c r="O559" s="488">
        <v>56543</v>
      </c>
      <c r="P559" s="479">
        <f t="shared" si="247"/>
        <v>133085</v>
      </c>
      <c r="Q559" s="480">
        <f t="shared" si="248"/>
        <v>4436.166666666667</v>
      </c>
      <c r="R559" s="481">
        <f t="shared" si="249"/>
        <v>126432</v>
      </c>
      <c r="S559" s="482">
        <f t="shared" si="250"/>
        <v>4214.3999999999996</v>
      </c>
      <c r="T559" s="506">
        <v>12147</v>
      </c>
      <c r="U559" s="507">
        <v>10455</v>
      </c>
      <c r="V559" s="479">
        <f t="shared" si="251"/>
        <v>133085</v>
      </c>
      <c r="W559" s="478">
        <f t="shared" si="252"/>
        <v>126432</v>
      </c>
      <c r="X559" s="506">
        <v>140614</v>
      </c>
      <c r="Y559" s="488">
        <v>135319</v>
      </c>
      <c r="Z559" s="506">
        <v>142264</v>
      </c>
      <c r="AA559" s="488">
        <v>139854</v>
      </c>
      <c r="AB559" s="506">
        <v>140561</v>
      </c>
      <c r="AC559" s="488">
        <v>158078</v>
      </c>
      <c r="AD559" s="506">
        <v>123321</v>
      </c>
      <c r="AE559" s="507">
        <v>142899</v>
      </c>
      <c r="AF559" s="479">
        <f t="shared" si="253"/>
        <v>546760</v>
      </c>
      <c r="AG559" s="480">
        <f t="shared" si="254"/>
        <v>607.51111111111106</v>
      </c>
      <c r="AH559" s="481">
        <f t="shared" si="255"/>
        <v>576150</v>
      </c>
      <c r="AI559" s="481">
        <f t="shared" si="256"/>
        <v>640.16666666666663</v>
      </c>
      <c r="AJ559" s="487"/>
      <c r="AK559" s="507"/>
      <c r="AL559" s="479">
        <f t="shared" si="257"/>
        <v>0</v>
      </c>
      <c r="AM559" s="482">
        <f t="shared" si="258"/>
        <v>0</v>
      </c>
      <c r="AN559" s="487"/>
      <c r="AO559" s="488"/>
      <c r="AP559" s="487"/>
      <c r="AQ559" s="488"/>
      <c r="AR559" s="487"/>
      <c r="AS559" s="488"/>
      <c r="AT559" s="487"/>
      <c r="AU559" s="488"/>
      <c r="AV559" s="479">
        <f t="shared" si="259"/>
        <v>0</v>
      </c>
      <c r="AW559" s="483">
        <f t="shared" si="260"/>
        <v>0</v>
      </c>
      <c r="AX559" s="481">
        <f t="shared" si="261"/>
        <v>0</v>
      </c>
      <c r="AY559" s="484">
        <f t="shared" si="262"/>
        <v>0</v>
      </c>
      <c r="AZ559" s="485">
        <f t="shared" si="263"/>
        <v>5043.6777777777779</v>
      </c>
      <c r="BA559" s="481">
        <f t="shared" si="264"/>
        <v>4854.5666666666666</v>
      </c>
    </row>
    <row r="560" spans="1:53">
      <c r="A560" s="574" t="s">
        <v>273</v>
      </c>
      <c r="B560" s="609" t="s">
        <v>528</v>
      </c>
      <c r="C560" s="614"/>
      <c r="D560" s="608">
        <v>226134</v>
      </c>
      <c r="E560" s="611">
        <v>8</v>
      </c>
      <c r="F560" s="486" t="s">
        <v>41</v>
      </c>
      <c r="G560" s="529"/>
      <c r="H560" s="506">
        <v>78062</v>
      </c>
      <c r="I560" s="488">
        <v>72757</v>
      </c>
      <c r="J560" s="506">
        <v>14802</v>
      </c>
      <c r="K560" s="488">
        <v>13630</v>
      </c>
      <c r="L560" s="506">
        <v>5888</v>
      </c>
      <c r="M560" s="488">
        <v>5087</v>
      </c>
      <c r="N560" s="506">
        <v>80078</v>
      </c>
      <c r="O560" s="488">
        <v>74649</v>
      </c>
      <c r="P560" s="479">
        <f t="shared" si="247"/>
        <v>178830</v>
      </c>
      <c r="Q560" s="480">
        <f t="shared" si="248"/>
        <v>5961</v>
      </c>
      <c r="R560" s="481">
        <f t="shared" si="249"/>
        <v>166123</v>
      </c>
      <c r="S560" s="482">
        <f t="shared" si="250"/>
        <v>5537.4333333333334</v>
      </c>
      <c r="T560" s="506">
        <v>6203</v>
      </c>
      <c r="U560" s="507">
        <v>6500</v>
      </c>
      <c r="V560" s="479">
        <f t="shared" si="251"/>
        <v>178830</v>
      </c>
      <c r="W560" s="478">
        <f t="shared" si="252"/>
        <v>166123</v>
      </c>
      <c r="X560" s="506">
        <v>6814</v>
      </c>
      <c r="Y560" s="488">
        <v>11214</v>
      </c>
      <c r="Z560" s="506">
        <v>20380</v>
      </c>
      <c r="AA560" s="488">
        <v>18398</v>
      </c>
      <c r="AB560" s="506">
        <v>25910</v>
      </c>
      <c r="AC560" s="488">
        <v>20344</v>
      </c>
      <c r="AD560" s="506">
        <v>14670</v>
      </c>
      <c r="AE560" s="507">
        <v>12760</v>
      </c>
      <c r="AF560" s="479">
        <f t="shared" si="253"/>
        <v>67774</v>
      </c>
      <c r="AG560" s="480">
        <f t="shared" si="254"/>
        <v>75.304444444444442</v>
      </c>
      <c r="AH560" s="481">
        <f t="shared" si="255"/>
        <v>62716</v>
      </c>
      <c r="AI560" s="481">
        <f t="shared" si="256"/>
        <v>69.684444444444438</v>
      </c>
      <c r="AJ560" s="487"/>
      <c r="AK560" s="507"/>
      <c r="AL560" s="479">
        <f t="shared" si="257"/>
        <v>0</v>
      </c>
      <c r="AM560" s="482">
        <f t="shared" si="258"/>
        <v>0</v>
      </c>
      <c r="AN560" s="487"/>
      <c r="AO560" s="488"/>
      <c r="AP560" s="487"/>
      <c r="AQ560" s="488"/>
      <c r="AR560" s="487"/>
      <c r="AS560" s="488"/>
      <c r="AT560" s="487"/>
      <c r="AU560" s="488"/>
      <c r="AV560" s="479">
        <f t="shared" si="259"/>
        <v>0</v>
      </c>
      <c r="AW560" s="483">
        <f t="shared" si="260"/>
        <v>0</v>
      </c>
      <c r="AX560" s="481">
        <f t="shared" si="261"/>
        <v>0</v>
      </c>
      <c r="AY560" s="484">
        <f t="shared" si="262"/>
        <v>0</v>
      </c>
      <c r="AZ560" s="485">
        <f t="shared" si="263"/>
        <v>6036.304444444444</v>
      </c>
      <c r="BA560" s="481">
        <f t="shared" si="264"/>
        <v>5607.1177777777775</v>
      </c>
    </row>
    <row r="561" spans="1:53">
      <c r="A561" s="574" t="s">
        <v>273</v>
      </c>
      <c r="B561" s="549" t="s">
        <v>529</v>
      </c>
      <c r="C561" s="576"/>
      <c r="D561" s="608">
        <v>227182</v>
      </c>
      <c r="E561" s="611">
        <v>8</v>
      </c>
      <c r="F561" s="486" t="s">
        <v>41</v>
      </c>
      <c r="G561" s="529"/>
      <c r="H561" s="506">
        <v>511892</v>
      </c>
      <c r="I561" s="488">
        <v>517772</v>
      </c>
      <c r="J561" s="506">
        <v>236690</v>
      </c>
      <c r="K561" s="488">
        <v>237095</v>
      </c>
      <c r="L561" s="506">
        <v>0</v>
      </c>
      <c r="M561" s="488">
        <v>0</v>
      </c>
      <c r="N561" s="506">
        <v>480347</v>
      </c>
      <c r="O561" s="488">
        <v>479670</v>
      </c>
      <c r="P561" s="479">
        <f t="shared" si="247"/>
        <v>1228929</v>
      </c>
      <c r="Q561" s="480">
        <f t="shared" si="248"/>
        <v>40964.300000000003</v>
      </c>
      <c r="R561" s="481">
        <f t="shared" si="249"/>
        <v>1234537</v>
      </c>
      <c r="S561" s="482">
        <f t="shared" si="250"/>
        <v>41151.23333333333</v>
      </c>
      <c r="T561" s="506">
        <v>48881</v>
      </c>
      <c r="U561" s="507">
        <v>74001</v>
      </c>
      <c r="V561" s="479">
        <f t="shared" si="251"/>
        <v>1228929</v>
      </c>
      <c r="W561" s="478">
        <f t="shared" si="252"/>
        <v>1234537</v>
      </c>
      <c r="X561" s="506">
        <v>121269</v>
      </c>
      <c r="Y561" s="488">
        <v>113152</v>
      </c>
      <c r="Z561" s="506">
        <v>118951</v>
      </c>
      <c r="AA561" s="488">
        <v>128070</v>
      </c>
      <c r="AB561" s="506">
        <v>119810</v>
      </c>
      <c r="AC561" s="488">
        <v>116483</v>
      </c>
      <c r="AD561" s="506">
        <v>166108</v>
      </c>
      <c r="AE561" s="507">
        <v>158195</v>
      </c>
      <c r="AF561" s="479">
        <f t="shared" si="253"/>
        <v>526138</v>
      </c>
      <c r="AG561" s="480">
        <f t="shared" si="254"/>
        <v>584.59777777777776</v>
      </c>
      <c r="AH561" s="481">
        <f t="shared" si="255"/>
        <v>515900</v>
      </c>
      <c r="AI561" s="481">
        <f t="shared" si="256"/>
        <v>573.22222222222217</v>
      </c>
      <c r="AJ561" s="487"/>
      <c r="AK561" s="507"/>
      <c r="AL561" s="479">
        <f t="shared" si="257"/>
        <v>0</v>
      </c>
      <c r="AM561" s="482">
        <f t="shared" si="258"/>
        <v>0</v>
      </c>
      <c r="AN561" s="487"/>
      <c r="AO561" s="488"/>
      <c r="AP561" s="487"/>
      <c r="AQ561" s="488"/>
      <c r="AR561" s="487"/>
      <c r="AS561" s="488"/>
      <c r="AT561" s="487"/>
      <c r="AU561" s="488"/>
      <c r="AV561" s="479">
        <f t="shared" si="259"/>
        <v>0</v>
      </c>
      <c r="AW561" s="483">
        <f t="shared" si="260"/>
        <v>0</v>
      </c>
      <c r="AX561" s="481">
        <f t="shared" si="261"/>
        <v>0</v>
      </c>
      <c r="AY561" s="484">
        <f t="shared" si="262"/>
        <v>0</v>
      </c>
      <c r="AZ561" s="485">
        <f t="shared" si="263"/>
        <v>41548.897777777784</v>
      </c>
      <c r="BA561" s="481">
        <f t="shared" si="264"/>
        <v>41724.455555555549</v>
      </c>
    </row>
    <row r="562" spans="1:53">
      <c r="A562" s="574" t="s">
        <v>273</v>
      </c>
      <c r="B562" s="609" t="s">
        <v>530</v>
      </c>
      <c r="C562" s="614"/>
      <c r="D562" s="608">
        <v>226578</v>
      </c>
      <c r="E562" s="611">
        <v>8</v>
      </c>
      <c r="F562" s="486" t="s">
        <v>41</v>
      </c>
      <c r="G562" s="529"/>
      <c r="H562" s="506">
        <v>90152</v>
      </c>
      <c r="I562" s="488">
        <v>84266</v>
      </c>
      <c r="J562" s="506">
        <v>19460</v>
      </c>
      <c r="K562" s="488">
        <v>17576</v>
      </c>
      <c r="L562" s="506">
        <v>10768</v>
      </c>
      <c r="M562" s="488">
        <v>10112</v>
      </c>
      <c r="N562" s="506">
        <v>86885</v>
      </c>
      <c r="O562" s="488">
        <v>80302</v>
      </c>
      <c r="P562" s="479">
        <f t="shared" si="247"/>
        <v>207265</v>
      </c>
      <c r="Q562" s="480">
        <f t="shared" si="248"/>
        <v>6908.833333333333</v>
      </c>
      <c r="R562" s="481">
        <f t="shared" si="249"/>
        <v>192256</v>
      </c>
      <c r="S562" s="482">
        <f t="shared" si="250"/>
        <v>6408.5333333333338</v>
      </c>
      <c r="T562" s="506">
        <v>9733</v>
      </c>
      <c r="U562" s="507">
        <v>9491</v>
      </c>
      <c r="V562" s="479">
        <f t="shared" si="251"/>
        <v>207265</v>
      </c>
      <c r="W562" s="478">
        <f t="shared" si="252"/>
        <v>192256</v>
      </c>
      <c r="X562" s="506">
        <v>49034</v>
      </c>
      <c r="Y562" s="488">
        <v>50478</v>
      </c>
      <c r="Z562" s="506">
        <v>51392</v>
      </c>
      <c r="AA562" s="488">
        <v>50081</v>
      </c>
      <c r="AB562" s="506">
        <v>72977</v>
      </c>
      <c r="AC562" s="488">
        <v>51839</v>
      </c>
      <c r="AD562" s="506">
        <v>44422</v>
      </c>
      <c r="AE562" s="507">
        <v>43791</v>
      </c>
      <c r="AF562" s="479">
        <f t="shared" si="253"/>
        <v>217825</v>
      </c>
      <c r="AG562" s="480">
        <f t="shared" si="254"/>
        <v>242.02777777777777</v>
      </c>
      <c r="AH562" s="481">
        <f t="shared" si="255"/>
        <v>196189</v>
      </c>
      <c r="AI562" s="481">
        <f t="shared" si="256"/>
        <v>217.98777777777778</v>
      </c>
      <c r="AJ562" s="487"/>
      <c r="AK562" s="507"/>
      <c r="AL562" s="479">
        <f t="shared" si="257"/>
        <v>0</v>
      </c>
      <c r="AM562" s="482">
        <f t="shared" si="258"/>
        <v>0</v>
      </c>
      <c r="AN562" s="487"/>
      <c r="AO562" s="488"/>
      <c r="AP562" s="487"/>
      <c r="AQ562" s="488"/>
      <c r="AR562" s="487"/>
      <c r="AS562" s="488"/>
      <c r="AT562" s="487"/>
      <c r="AU562" s="488"/>
      <c r="AV562" s="479">
        <f t="shared" si="259"/>
        <v>0</v>
      </c>
      <c r="AW562" s="483">
        <f t="shared" si="260"/>
        <v>0</v>
      </c>
      <c r="AX562" s="481">
        <f t="shared" si="261"/>
        <v>0</v>
      </c>
      <c r="AY562" s="484">
        <f t="shared" si="262"/>
        <v>0</v>
      </c>
      <c r="AZ562" s="485">
        <f t="shared" si="263"/>
        <v>7150.8611111111104</v>
      </c>
      <c r="BA562" s="481">
        <f t="shared" si="264"/>
        <v>6626.5211111111112</v>
      </c>
    </row>
    <row r="563" spans="1:53">
      <c r="A563" s="574" t="s">
        <v>273</v>
      </c>
      <c r="B563" s="609" t="s">
        <v>531</v>
      </c>
      <c r="C563" s="617"/>
      <c r="D563" s="612">
        <v>227146</v>
      </c>
      <c r="E563" s="613">
        <v>8</v>
      </c>
      <c r="F563" s="486" t="s">
        <v>41</v>
      </c>
      <c r="G563" s="529"/>
      <c r="H563" s="506">
        <v>101572</v>
      </c>
      <c r="I563" s="488">
        <v>97795</v>
      </c>
      <c r="J563" s="506">
        <v>23289</v>
      </c>
      <c r="K563" s="488">
        <v>22002</v>
      </c>
      <c r="L563" s="506">
        <v>9080</v>
      </c>
      <c r="M563" s="488">
        <v>7570</v>
      </c>
      <c r="N563" s="506">
        <v>99348</v>
      </c>
      <c r="O563" s="488">
        <v>97965</v>
      </c>
      <c r="P563" s="479">
        <f t="shared" si="247"/>
        <v>233289</v>
      </c>
      <c r="Q563" s="480">
        <f t="shared" si="248"/>
        <v>7776.3</v>
      </c>
      <c r="R563" s="481">
        <f t="shared" si="249"/>
        <v>225332</v>
      </c>
      <c r="S563" s="482">
        <f t="shared" si="250"/>
        <v>7511.0666666666666</v>
      </c>
      <c r="T563" s="506">
        <v>26597</v>
      </c>
      <c r="U563" s="507">
        <v>29816</v>
      </c>
      <c r="V563" s="479">
        <f t="shared" si="251"/>
        <v>233289</v>
      </c>
      <c r="W563" s="478">
        <f t="shared" si="252"/>
        <v>225332</v>
      </c>
      <c r="X563" s="506">
        <v>46726</v>
      </c>
      <c r="Y563" s="488">
        <v>68680</v>
      </c>
      <c r="Z563" s="506">
        <v>72024</v>
      </c>
      <c r="AA563" s="488">
        <v>57129</v>
      </c>
      <c r="AB563" s="506">
        <v>64505</v>
      </c>
      <c r="AC563" s="488">
        <v>49566</v>
      </c>
      <c r="AD563" s="506">
        <v>79863</v>
      </c>
      <c r="AE563" s="507">
        <v>65147</v>
      </c>
      <c r="AF563" s="479">
        <f t="shared" si="253"/>
        <v>263118</v>
      </c>
      <c r="AG563" s="480">
        <f t="shared" si="254"/>
        <v>292.35333333333335</v>
      </c>
      <c r="AH563" s="481">
        <f t="shared" si="255"/>
        <v>240522</v>
      </c>
      <c r="AI563" s="481">
        <f t="shared" si="256"/>
        <v>267.24666666666667</v>
      </c>
      <c r="AJ563" s="487"/>
      <c r="AK563" s="507"/>
      <c r="AL563" s="479">
        <f t="shared" si="257"/>
        <v>0</v>
      </c>
      <c r="AM563" s="482">
        <f t="shared" si="258"/>
        <v>0</v>
      </c>
      <c r="AN563" s="487"/>
      <c r="AO563" s="488"/>
      <c r="AP563" s="487"/>
      <c r="AQ563" s="488"/>
      <c r="AR563" s="487"/>
      <c r="AS563" s="488"/>
      <c r="AT563" s="487"/>
      <c r="AU563" s="488"/>
      <c r="AV563" s="479">
        <f t="shared" si="259"/>
        <v>0</v>
      </c>
      <c r="AW563" s="483">
        <f t="shared" si="260"/>
        <v>0</v>
      </c>
      <c r="AX563" s="481">
        <f t="shared" si="261"/>
        <v>0</v>
      </c>
      <c r="AY563" s="484">
        <f t="shared" si="262"/>
        <v>0</v>
      </c>
      <c r="AZ563" s="485">
        <f t="shared" si="263"/>
        <v>8068.6533333333336</v>
      </c>
      <c r="BA563" s="481">
        <f t="shared" si="264"/>
        <v>7778.3133333333335</v>
      </c>
    </row>
    <row r="564" spans="1:53">
      <c r="A564" s="574" t="s">
        <v>273</v>
      </c>
      <c r="B564" s="618" t="s">
        <v>532</v>
      </c>
      <c r="C564" s="610"/>
      <c r="D564" s="616">
        <v>224110</v>
      </c>
      <c r="E564" s="606">
        <v>8</v>
      </c>
      <c r="F564" s="486" t="s">
        <v>41</v>
      </c>
      <c r="G564" s="529"/>
      <c r="H564" s="506">
        <v>80726</v>
      </c>
      <c r="I564" s="488">
        <v>80733</v>
      </c>
      <c r="J564" s="506">
        <v>24769</v>
      </c>
      <c r="K564" s="488">
        <v>25368</v>
      </c>
      <c r="L564" s="506">
        <v>0</v>
      </c>
      <c r="M564" s="488">
        <v>0</v>
      </c>
      <c r="N564" s="506">
        <v>87239</v>
      </c>
      <c r="O564" s="488">
        <v>86885</v>
      </c>
      <c r="P564" s="479">
        <f t="shared" si="247"/>
        <v>192734</v>
      </c>
      <c r="Q564" s="480">
        <f t="shared" si="248"/>
        <v>6424.4666666666662</v>
      </c>
      <c r="R564" s="481">
        <f t="shared" si="249"/>
        <v>192986</v>
      </c>
      <c r="S564" s="482">
        <f t="shared" si="250"/>
        <v>6432.8666666666668</v>
      </c>
      <c r="T564" s="506">
        <v>12525</v>
      </c>
      <c r="U564" s="507">
        <v>17014</v>
      </c>
      <c r="V564" s="479">
        <f t="shared" si="251"/>
        <v>192734</v>
      </c>
      <c r="W564" s="478">
        <f t="shared" si="252"/>
        <v>192986</v>
      </c>
      <c r="X564" s="506">
        <v>17217</v>
      </c>
      <c r="Y564" s="488">
        <v>39314</v>
      </c>
      <c r="Z564" s="506">
        <v>21205</v>
      </c>
      <c r="AA564" s="488">
        <v>20224</v>
      </c>
      <c r="AB564" s="506">
        <v>20657</v>
      </c>
      <c r="AC564" s="488">
        <v>20710</v>
      </c>
      <c r="AD564" s="506">
        <v>40881</v>
      </c>
      <c r="AE564" s="507">
        <v>33738</v>
      </c>
      <c r="AF564" s="479">
        <f t="shared" si="253"/>
        <v>99960</v>
      </c>
      <c r="AG564" s="480">
        <f t="shared" si="254"/>
        <v>111.06666666666666</v>
      </c>
      <c r="AH564" s="481">
        <f t="shared" si="255"/>
        <v>113986</v>
      </c>
      <c r="AI564" s="481">
        <f t="shared" si="256"/>
        <v>126.65111111111111</v>
      </c>
      <c r="AJ564" s="487"/>
      <c r="AK564" s="507"/>
      <c r="AL564" s="479">
        <f t="shared" si="257"/>
        <v>0</v>
      </c>
      <c r="AM564" s="482">
        <f t="shared" si="258"/>
        <v>0</v>
      </c>
      <c r="AN564" s="487"/>
      <c r="AO564" s="488"/>
      <c r="AP564" s="487"/>
      <c r="AQ564" s="488"/>
      <c r="AR564" s="487"/>
      <c r="AS564" s="488"/>
      <c r="AT564" s="487"/>
      <c r="AU564" s="488"/>
      <c r="AV564" s="479">
        <f t="shared" si="259"/>
        <v>0</v>
      </c>
      <c r="AW564" s="483">
        <f t="shared" si="260"/>
        <v>0</v>
      </c>
      <c r="AX564" s="481">
        <f t="shared" si="261"/>
        <v>0</v>
      </c>
      <c r="AY564" s="484">
        <f t="shared" si="262"/>
        <v>0</v>
      </c>
      <c r="AZ564" s="485">
        <f t="shared" si="263"/>
        <v>6535.5333333333328</v>
      </c>
      <c r="BA564" s="481">
        <f t="shared" si="264"/>
        <v>6559.5177777777781</v>
      </c>
    </row>
    <row r="565" spans="1:53">
      <c r="A565" s="574" t="s">
        <v>273</v>
      </c>
      <c r="B565" s="615" t="s">
        <v>533</v>
      </c>
      <c r="C565" s="615"/>
      <c r="D565" s="608">
        <v>227191</v>
      </c>
      <c r="E565" s="611">
        <v>8</v>
      </c>
      <c r="F565" s="486" t="s">
        <v>41</v>
      </c>
      <c r="G565" s="529"/>
      <c r="H565" s="506">
        <v>72889</v>
      </c>
      <c r="I565" s="488">
        <v>64983</v>
      </c>
      <c r="J565" s="506">
        <v>35796</v>
      </c>
      <c r="K565" s="488">
        <v>43827</v>
      </c>
      <c r="L565" s="506">
        <v>0</v>
      </c>
      <c r="M565" s="488">
        <v>0</v>
      </c>
      <c r="N565" s="506">
        <v>71114</v>
      </c>
      <c r="O565" s="488">
        <v>62733</v>
      </c>
      <c r="P565" s="479">
        <f t="shared" si="247"/>
        <v>179799</v>
      </c>
      <c r="Q565" s="480">
        <f t="shared" si="248"/>
        <v>5993.3</v>
      </c>
      <c r="R565" s="481">
        <f t="shared" si="249"/>
        <v>171543</v>
      </c>
      <c r="S565" s="482">
        <f t="shared" si="250"/>
        <v>5718.1</v>
      </c>
      <c r="T565" s="506">
        <v>9722</v>
      </c>
      <c r="U565" s="507">
        <v>12367</v>
      </c>
      <c r="V565" s="479">
        <f t="shared" si="251"/>
        <v>179799</v>
      </c>
      <c r="W565" s="478">
        <f t="shared" si="252"/>
        <v>171543</v>
      </c>
      <c r="X565" s="506">
        <v>133032</v>
      </c>
      <c r="Y565" s="488">
        <v>135050</v>
      </c>
      <c r="Z565" s="506">
        <v>65133</v>
      </c>
      <c r="AA565" s="488">
        <v>80813</v>
      </c>
      <c r="AB565" s="506">
        <v>55494</v>
      </c>
      <c r="AC565" s="488">
        <v>71043</v>
      </c>
      <c r="AD565" s="506">
        <v>151571</v>
      </c>
      <c r="AE565" s="507">
        <v>168914</v>
      </c>
      <c r="AF565" s="479">
        <f t="shared" si="253"/>
        <v>405230</v>
      </c>
      <c r="AG565" s="480">
        <f t="shared" si="254"/>
        <v>450.25555555555553</v>
      </c>
      <c r="AH565" s="481">
        <f t="shared" si="255"/>
        <v>455820</v>
      </c>
      <c r="AI565" s="481">
        <f t="shared" si="256"/>
        <v>506.46666666666664</v>
      </c>
      <c r="AJ565" s="487"/>
      <c r="AK565" s="507"/>
      <c r="AL565" s="479">
        <f t="shared" si="257"/>
        <v>0</v>
      </c>
      <c r="AM565" s="482">
        <f t="shared" si="258"/>
        <v>0</v>
      </c>
      <c r="AN565" s="487"/>
      <c r="AO565" s="488"/>
      <c r="AP565" s="487"/>
      <c r="AQ565" s="488"/>
      <c r="AR565" s="487"/>
      <c r="AS565" s="488"/>
      <c r="AT565" s="487"/>
      <c r="AU565" s="488"/>
      <c r="AV565" s="479">
        <f t="shared" si="259"/>
        <v>0</v>
      </c>
      <c r="AW565" s="483">
        <f t="shared" si="260"/>
        <v>0</v>
      </c>
      <c r="AX565" s="481">
        <f t="shared" si="261"/>
        <v>0</v>
      </c>
      <c r="AY565" s="484">
        <f t="shared" si="262"/>
        <v>0</v>
      </c>
      <c r="AZ565" s="485">
        <f t="shared" si="263"/>
        <v>6443.5555555555557</v>
      </c>
      <c r="BA565" s="481">
        <f t="shared" si="264"/>
        <v>6224.5666666666666</v>
      </c>
    </row>
    <row r="566" spans="1:53">
      <c r="A566" s="574" t="s">
        <v>273</v>
      </c>
      <c r="B566" s="619" t="s">
        <v>534</v>
      </c>
      <c r="C566" s="619"/>
      <c r="D566" s="608">
        <v>420398</v>
      </c>
      <c r="E566" s="611">
        <v>8</v>
      </c>
      <c r="F566" s="486" t="s">
        <v>41</v>
      </c>
      <c r="G566" s="529"/>
      <c r="H566" s="506">
        <v>122533</v>
      </c>
      <c r="I566" s="488">
        <v>123873</v>
      </c>
      <c r="J566" s="506">
        <v>42781</v>
      </c>
      <c r="K566" s="488">
        <v>40868</v>
      </c>
      <c r="L566" s="506">
        <v>0</v>
      </c>
      <c r="M566" s="488">
        <v>0</v>
      </c>
      <c r="N566" s="506">
        <v>121878</v>
      </c>
      <c r="O566" s="488">
        <v>119695</v>
      </c>
      <c r="P566" s="479">
        <f t="shared" si="247"/>
        <v>287192</v>
      </c>
      <c r="Q566" s="480">
        <f t="shared" si="248"/>
        <v>9573.0666666666675</v>
      </c>
      <c r="R566" s="481">
        <f t="shared" si="249"/>
        <v>284436</v>
      </c>
      <c r="S566" s="482">
        <f t="shared" si="250"/>
        <v>9481.2000000000007</v>
      </c>
      <c r="T566" s="506">
        <v>24258</v>
      </c>
      <c r="U566" s="507">
        <v>25404</v>
      </c>
      <c r="V566" s="479">
        <f t="shared" si="251"/>
        <v>287192</v>
      </c>
      <c r="W566" s="478">
        <f t="shared" si="252"/>
        <v>284436</v>
      </c>
      <c r="X566" s="506">
        <v>13092</v>
      </c>
      <c r="Y566" s="488">
        <v>15670</v>
      </c>
      <c r="Z566" s="506">
        <v>19632</v>
      </c>
      <c r="AA566" s="488">
        <v>17517</v>
      </c>
      <c r="AB566" s="506">
        <v>18354</v>
      </c>
      <c r="AC566" s="488">
        <v>16871</v>
      </c>
      <c r="AD566" s="506">
        <v>17577</v>
      </c>
      <c r="AE566" s="507">
        <v>21536</v>
      </c>
      <c r="AF566" s="479">
        <f t="shared" si="253"/>
        <v>68655</v>
      </c>
      <c r="AG566" s="480">
        <f t="shared" si="254"/>
        <v>76.283333333333331</v>
      </c>
      <c r="AH566" s="481">
        <f t="shared" si="255"/>
        <v>71594</v>
      </c>
      <c r="AI566" s="481">
        <f t="shared" si="256"/>
        <v>79.548888888888882</v>
      </c>
      <c r="AJ566" s="487"/>
      <c r="AK566" s="507"/>
      <c r="AL566" s="479">
        <f t="shared" si="257"/>
        <v>0</v>
      </c>
      <c r="AM566" s="482">
        <f t="shared" si="258"/>
        <v>0</v>
      </c>
      <c r="AN566" s="487"/>
      <c r="AO566" s="488"/>
      <c r="AP566" s="487"/>
      <c r="AQ566" s="488"/>
      <c r="AR566" s="487"/>
      <c r="AS566" s="488"/>
      <c r="AT566" s="487"/>
      <c r="AU566" s="488"/>
      <c r="AV566" s="479">
        <f t="shared" si="259"/>
        <v>0</v>
      </c>
      <c r="AW566" s="483">
        <f t="shared" si="260"/>
        <v>0</v>
      </c>
      <c r="AX566" s="481">
        <f t="shared" si="261"/>
        <v>0</v>
      </c>
      <c r="AY566" s="484">
        <f t="shared" si="262"/>
        <v>0</v>
      </c>
      <c r="AZ566" s="485">
        <f t="shared" si="263"/>
        <v>9649.35</v>
      </c>
      <c r="BA566" s="481">
        <f t="shared" si="264"/>
        <v>9560.7488888888893</v>
      </c>
    </row>
    <row r="567" spans="1:53">
      <c r="A567" s="574" t="s">
        <v>273</v>
      </c>
      <c r="B567" s="619" t="s">
        <v>535</v>
      </c>
      <c r="C567" s="619"/>
      <c r="D567" s="608">
        <v>246354</v>
      </c>
      <c r="E567" s="611">
        <v>8</v>
      </c>
      <c r="F567" s="486" t="s">
        <v>41</v>
      </c>
      <c r="G567" s="529"/>
      <c r="H567" s="506">
        <v>61712</v>
      </c>
      <c r="I567" s="488">
        <v>64572</v>
      </c>
      <c r="J567" s="506">
        <v>29720</v>
      </c>
      <c r="K567" s="488">
        <v>27573</v>
      </c>
      <c r="L567" s="506">
        <v>0</v>
      </c>
      <c r="M567" s="488">
        <v>0</v>
      </c>
      <c r="N567" s="506">
        <v>56232</v>
      </c>
      <c r="O567" s="488">
        <v>55274</v>
      </c>
      <c r="P567" s="479">
        <f t="shared" si="247"/>
        <v>147664</v>
      </c>
      <c r="Q567" s="480">
        <f t="shared" si="248"/>
        <v>4922.1333333333332</v>
      </c>
      <c r="R567" s="481">
        <f t="shared" si="249"/>
        <v>147419</v>
      </c>
      <c r="S567" s="482">
        <f t="shared" si="250"/>
        <v>4913.9666666666662</v>
      </c>
      <c r="T567" s="506">
        <v>17812</v>
      </c>
      <c r="U567" s="507">
        <v>15090</v>
      </c>
      <c r="V567" s="479">
        <f t="shared" si="251"/>
        <v>147664</v>
      </c>
      <c r="W567" s="478">
        <f t="shared" si="252"/>
        <v>147419</v>
      </c>
      <c r="X567" s="506">
        <v>29867</v>
      </c>
      <c r="Y567" s="488">
        <v>39539</v>
      </c>
      <c r="Z567" s="506">
        <v>43861</v>
      </c>
      <c r="AA567" s="488">
        <v>37327</v>
      </c>
      <c r="AB567" s="506">
        <v>38685</v>
      </c>
      <c r="AC567" s="488">
        <v>48149</v>
      </c>
      <c r="AD567" s="506">
        <v>39770</v>
      </c>
      <c r="AE567" s="507">
        <v>34110</v>
      </c>
      <c r="AF567" s="479">
        <f t="shared" si="253"/>
        <v>152183</v>
      </c>
      <c r="AG567" s="480">
        <f t="shared" si="254"/>
        <v>169.09222222222223</v>
      </c>
      <c r="AH567" s="481">
        <f t="shared" si="255"/>
        <v>159125</v>
      </c>
      <c r="AI567" s="481">
        <f t="shared" si="256"/>
        <v>176.80555555555554</v>
      </c>
      <c r="AJ567" s="487"/>
      <c r="AK567" s="507"/>
      <c r="AL567" s="479">
        <f t="shared" si="257"/>
        <v>0</v>
      </c>
      <c r="AM567" s="482">
        <f t="shared" si="258"/>
        <v>0</v>
      </c>
      <c r="AN567" s="487"/>
      <c r="AO567" s="488"/>
      <c r="AP567" s="487"/>
      <c r="AQ567" s="488"/>
      <c r="AR567" s="487"/>
      <c r="AS567" s="488"/>
      <c r="AT567" s="487"/>
      <c r="AU567" s="488"/>
      <c r="AV567" s="479">
        <f t="shared" si="259"/>
        <v>0</v>
      </c>
      <c r="AW567" s="483">
        <f t="shared" si="260"/>
        <v>0</v>
      </c>
      <c r="AX567" s="481">
        <f t="shared" si="261"/>
        <v>0</v>
      </c>
      <c r="AY567" s="484">
        <f t="shared" si="262"/>
        <v>0</v>
      </c>
      <c r="AZ567" s="485">
        <f t="shared" si="263"/>
        <v>5091.2255555555557</v>
      </c>
      <c r="BA567" s="481">
        <f t="shared" si="264"/>
        <v>5090.7722222222219</v>
      </c>
    </row>
    <row r="568" spans="1:53">
      <c r="A568" s="574" t="s">
        <v>273</v>
      </c>
      <c r="B568" s="615" t="s">
        <v>536</v>
      </c>
      <c r="C568" s="615"/>
      <c r="D568" s="608">
        <v>227766</v>
      </c>
      <c r="E568" s="611">
        <v>8</v>
      </c>
      <c r="F568" s="486" t="s">
        <v>41</v>
      </c>
      <c r="G568" s="529"/>
      <c r="H568" s="506">
        <v>138926</v>
      </c>
      <c r="I568" s="488">
        <v>136612</v>
      </c>
      <c r="J568" s="506">
        <v>74330</v>
      </c>
      <c r="K568" s="488">
        <v>75474</v>
      </c>
      <c r="L568" s="506">
        <v>0</v>
      </c>
      <c r="M568" s="488">
        <v>0</v>
      </c>
      <c r="N568" s="506">
        <v>121579</v>
      </c>
      <c r="O568" s="488">
        <v>114678</v>
      </c>
      <c r="P568" s="479">
        <f t="shared" si="247"/>
        <v>334835</v>
      </c>
      <c r="Q568" s="480">
        <f t="shared" si="248"/>
        <v>11161.166666666666</v>
      </c>
      <c r="R568" s="481">
        <f t="shared" si="249"/>
        <v>326764</v>
      </c>
      <c r="S568" s="482">
        <f t="shared" si="250"/>
        <v>10892.133333333333</v>
      </c>
      <c r="T568" s="506">
        <v>28511</v>
      </c>
      <c r="U568" s="507">
        <v>33864</v>
      </c>
      <c r="V568" s="479">
        <f t="shared" si="251"/>
        <v>334835</v>
      </c>
      <c r="W568" s="478">
        <f t="shared" si="252"/>
        <v>326764</v>
      </c>
      <c r="X568" s="506">
        <v>145147</v>
      </c>
      <c r="Y568" s="488">
        <v>130188</v>
      </c>
      <c r="Z568" s="506">
        <v>159561</v>
      </c>
      <c r="AA568" s="488">
        <v>148606</v>
      </c>
      <c r="AB568" s="506">
        <v>149706</v>
      </c>
      <c r="AC568" s="488">
        <v>133178</v>
      </c>
      <c r="AD568" s="506">
        <v>187345</v>
      </c>
      <c r="AE568" s="507">
        <v>196034</v>
      </c>
      <c r="AF568" s="479">
        <f t="shared" si="253"/>
        <v>641759</v>
      </c>
      <c r="AG568" s="480">
        <f t="shared" si="254"/>
        <v>713.06555555555553</v>
      </c>
      <c r="AH568" s="481">
        <f t="shared" si="255"/>
        <v>608006</v>
      </c>
      <c r="AI568" s="481">
        <f t="shared" si="256"/>
        <v>675.5622222222222</v>
      </c>
      <c r="AJ568" s="487"/>
      <c r="AK568" s="507"/>
      <c r="AL568" s="479">
        <f t="shared" si="257"/>
        <v>0</v>
      </c>
      <c r="AM568" s="482">
        <f t="shared" si="258"/>
        <v>0</v>
      </c>
      <c r="AN568" s="487"/>
      <c r="AO568" s="488"/>
      <c r="AP568" s="487"/>
      <c r="AQ568" s="488"/>
      <c r="AR568" s="487"/>
      <c r="AS568" s="488"/>
      <c r="AT568" s="487"/>
      <c r="AU568" s="488"/>
      <c r="AV568" s="479">
        <f t="shared" si="259"/>
        <v>0</v>
      </c>
      <c r="AW568" s="483">
        <f t="shared" si="260"/>
        <v>0</v>
      </c>
      <c r="AX568" s="481">
        <f t="shared" si="261"/>
        <v>0</v>
      </c>
      <c r="AY568" s="484">
        <f t="shared" si="262"/>
        <v>0</v>
      </c>
      <c r="AZ568" s="485">
        <f t="shared" si="263"/>
        <v>11874.232222222221</v>
      </c>
      <c r="BA568" s="481">
        <f t="shared" si="264"/>
        <v>11567.695555555556</v>
      </c>
    </row>
    <row r="569" spans="1:53">
      <c r="A569" s="548" t="s">
        <v>273</v>
      </c>
      <c r="B569" s="619" t="s">
        <v>537</v>
      </c>
      <c r="C569" s="619"/>
      <c r="D569" s="608">
        <v>227924</v>
      </c>
      <c r="E569" s="611">
        <v>8</v>
      </c>
      <c r="F569" s="486" t="s">
        <v>41</v>
      </c>
      <c r="G569" s="529"/>
      <c r="H569" s="506">
        <v>194741</v>
      </c>
      <c r="I569" s="488">
        <v>195941</v>
      </c>
      <c r="J569" s="506">
        <v>80080</v>
      </c>
      <c r="K569" s="488">
        <v>76263</v>
      </c>
      <c r="L569" s="506">
        <v>0</v>
      </c>
      <c r="M569" s="488">
        <v>0</v>
      </c>
      <c r="N569" s="506">
        <v>173733</v>
      </c>
      <c r="O569" s="488">
        <v>171271</v>
      </c>
      <c r="P569" s="479">
        <f t="shared" si="247"/>
        <v>448554</v>
      </c>
      <c r="Q569" s="480">
        <f t="shared" si="248"/>
        <v>14951.8</v>
      </c>
      <c r="R569" s="481">
        <f t="shared" si="249"/>
        <v>443475</v>
      </c>
      <c r="S569" s="482">
        <f t="shared" si="250"/>
        <v>14782.5</v>
      </c>
      <c r="T569" s="506">
        <v>24660</v>
      </c>
      <c r="U569" s="507">
        <v>25330</v>
      </c>
      <c r="V569" s="479">
        <f t="shared" si="251"/>
        <v>448554</v>
      </c>
      <c r="W569" s="478">
        <f t="shared" si="252"/>
        <v>443475</v>
      </c>
      <c r="X569" s="506">
        <v>60485</v>
      </c>
      <c r="Y569" s="488">
        <v>45880</v>
      </c>
      <c r="Z569" s="506">
        <v>68378</v>
      </c>
      <c r="AA569" s="488">
        <v>62285</v>
      </c>
      <c r="AB569" s="506">
        <v>61839</v>
      </c>
      <c r="AC569" s="488">
        <v>71183</v>
      </c>
      <c r="AD569" s="506">
        <v>67474</v>
      </c>
      <c r="AE569" s="507">
        <v>61138</v>
      </c>
      <c r="AF569" s="479">
        <f t="shared" si="253"/>
        <v>258176</v>
      </c>
      <c r="AG569" s="480">
        <f t="shared" si="254"/>
        <v>286.86222222222221</v>
      </c>
      <c r="AH569" s="481">
        <f t="shared" si="255"/>
        <v>240486</v>
      </c>
      <c r="AI569" s="481">
        <f t="shared" si="256"/>
        <v>267.20666666666665</v>
      </c>
      <c r="AJ569" s="487"/>
      <c r="AK569" s="507"/>
      <c r="AL569" s="479">
        <f t="shared" si="257"/>
        <v>0</v>
      </c>
      <c r="AM569" s="482">
        <f t="shared" si="258"/>
        <v>0</v>
      </c>
      <c r="AN569" s="487"/>
      <c r="AO569" s="488"/>
      <c r="AP569" s="487"/>
      <c r="AQ569" s="488"/>
      <c r="AR569" s="487"/>
      <c r="AS569" s="488"/>
      <c r="AT569" s="487"/>
      <c r="AU569" s="488"/>
      <c r="AV569" s="479">
        <f t="shared" si="259"/>
        <v>0</v>
      </c>
      <c r="AW569" s="483">
        <f t="shared" si="260"/>
        <v>0</v>
      </c>
      <c r="AX569" s="481">
        <f t="shared" si="261"/>
        <v>0</v>
      </c>
      <c r="AY569" s="484">
        <f t="shared" si="262"/>
        <v>0</v>
      </c>
      <c r="AZ569" s="485">
        <f t="shared" si="263"/>
        <v>15238.662222222221</v>
      </c>
      <c r="BA569" s="481">
        <f t="shared" si="264"/>
        <v>15049.706666666667</v>
      </c>
    </row>
    <row r="570" spans="1:53">
      <c r="A570" s="548" t="s">
        <v>273</v>
      </c>
      <c r="B570" s="609" t="s">
        <v>538</v>
      </c>
      <c r="C570" s="609"/>
      <c r="D570" s="608">
        <v>227979</v>
      </c>
      <c r="E570" s="611">
        <v>8</v>
      </c>
      <c r="F570" s="486" t="s">
        <v>41</v>
      </c>
      <c r="G570" s="529"/>
      <c r="H570" s="506">
        <v>243654</v>
      </c>
      <c r="I570" s="488">
        <v>235501</v>
      </c>
      <c r="J570" s="506">
        <v>97992</v>
      </c>
      <c r="K570" s="488">
        <v>99158</v>
      </c>
      <c r="L570" s="506">
        <v>0</v>
      </c>
      <c r="M570" s="488">
        <v>0</v>
      </c>
      <c r="N570" s="506">
        <v>239886</v>
      </c>
      <c r="O570" s="488">
        <v>230770</v>
      </c>
      <c r="P570" s="479">
        <f t="shared" si="247"/>
        <v>581532</v>
      </c>
      <c r="Q570" s="480">
        <f t="shared" si="248"/>
        <v>19384.400000000001</v>
      </c>
      <c r="R570" s="481">
        <f t="shared" si="249"/>
        <v>565429</v>
      </c>
      <c r="S570" s="482">
        <f t="shared" si="250"/>
        <v>18847.633333333335</v>
      </c>
      <c r="T570" s="506">
        <v>27542</v>
      </c>
      <c r="U570" s="507">
        <v>26861</v>
      </c>
      <c r="V570" s="479">
        <f t="shared" si="251"/>
        <v>581532</v>
      </c>
      <c r="W570" s="478">
        <f t="shared" si="252"/>
        <v>565429</v>
      </c>
      <c r="X570" s="506">
        <v>114638</v>
      </c>
      <c r="Y570" s="488">
        <v>93931</v>
      </c>
      <c r="Z570" s="506">
        <v>87047</v>
      </c>
      <c r="AA570" s="488">
        <v>69792</v>
      </c>
      <c r="AB570" s="506">
        <v>107091</v>
      </c>
      <c r="AC570" s="488">
        <v>94718</v>
      </c>
      <c r="AD570" s="506">
        <v>125221</v>
      </c>
      <c r="AE570" s="507">
        <v>113029</v>
      </c>
      <c r="AF570" s="479">
        <f t="shared" si="253"/>
        <v>433997</v>
      </c>
      <c r="AG570" s="480">
        <f t="shared" si="254"/>
        <v>482.2188888888889</v>
      </c>
      <c r="AH570" s="481">
        <f t="shared" si="255"/>
        <v>371470</v>
      </c>
      <c r="AI570" s="481">
        <f t="shared" si="256"/>
        <v>412.74444444444447</v>
      </c>
      <c r="AJ570" s="487"/>
      <c r="AK570" s="507"/>
      <c r="AL570" s="479">
        <f t="shared" si="257"/>
        <v>0</v>
      </c>
      <c r="AM570" s="482">
        <f t="shared" si="258"/>
        <v>0</v>
      </c>
      <c r="AN570" s="487"/>
      <c r="AO570" s="488"/>
      <c r="AP570" s="487"/>
      <c r="AQ570" s="488"/>
      <c r="AR570" s="487"/>
      <c r="AS570" s="488"/>
      <c r="AT570" s="487"/>
      <c r="AU570" s="488"/>
      <c r="AV570" s="479">
        <f t="shared" si="259"/>
        <v>0</v>
      </c>
      <c r="AW570" s="483">
        <f t="shared" si="260"/>
        <v>0</v>
      </c>
      <c r="AX570" s="481">
        <f t="shared" si="261"/>
        <v>0</v>
      </c>
      <c r="AY570" s="484">
        <f t="shared" si="262"/>
        <v>0</v>
      </c>
      <c r="AZ570" s="485">
        <f t="shared" si="263"/>
        <v>19866.61888888889</v>
      </c>
      <c r="BA570" s="481">
        <f t="shared" si="264"/>
        <v>19260.37777777778</v>
      </c>
    </row>
    <row r="571" spans="1:53">
      <c r="A571" s="548" t="s">
        <v>273</v>
      </c>
      <c r="B571" s="609" t="s">
        <v>539</v>
      </c>
      <c r="C571" s="609"/>
      <c r="D571" s="608">
        <v>228158</v>
      </c>
      <c r="E571" s="611">
        <v>8</v>
      </c>
      <c r="F571" s="486" t="s">
        <v>41</v>
      </c>
      <c r="G571" s="529"/>
      <c r="H571" s="506">
        <v>92667</v>
      </c>
      <c r="I571" s="488">
        <v>91278</v>
      </c>
      <c r="J571" s="506">
        <v>13135</v>
      </c>
      <c r="K571" s="488">
        <v>14270</v>
      </c>
      <c r="L571" s="506">
        <v>6727</v>
      </c>
      <c r="M571" s="488">
        <v>6891</v>
      </c>
      <c r="N571" s="506">
        <v>93993</v>
      </c>
      <c r="O571" s="488">
        <v>92205</v>
      </c>
      <c r="P571" s="479">
        <f t="shared" si="247"/>
        <v>206522</v>
      </c>
      <c r="Q571" s="480">
        <f t="shared" si="248"/>
        <v>6884.0666666666666</v>
      </c>
      <c r="R571" s="481">
        <f t="shared" si="249"/>
        <v>204644</v>
      </c>
      <c r="S571" s="482">
        <f t="shared" si="250"/>
        <v>6821.4666666666662</v>
      </c>
      <c r="T571" s="506">
        <v>20797</v>
      </c>
      <c r="U571" s="507">
        <v>19437</v>
      </c>
      <c r="V571" s="479">
        <f t="shared" si="251"/>
        <v>206522</v>
      </c>
      <c r="W571" s="478">
        <f t="shared" si="252"/>
        <v>204644</v>
      </c>
      <c r="X571" s="506">
        <v>46052</v>
      </c>
      <c r="Y571" s="488">
        <v>41431</v>
      </c>
      <c r="Z571" s="506">
        <v>41812</v>
      </c>
      <c r="AA571" s="488">
        <v>61601</v>
      </c>
      <c r="AB571" s="506">
        <v>36285</v>
      </c>
      <c r="AC571" s="488">
        <v>50717</v>
      </c>
      <c r="AD571" s="506">
        <v>47490</v>
      </c>
      <c r="AE571" s="507">
        <v>60595</v>
      </c>
      <c r="AF571" s="479">
        <f t="shared" si="253"/>
        <v>171639</v>
      </c>
      <c r="AG571" s="480">
        <f t="shared" si="254"/>
        <v>190.71</v>
      </c>
      <c r="AH571" s="481">
        <f t="shared" si="255"/>
        <v>214344</v>
      </c>
      <c r="AI571" s="481">
        <f t="shared" si="256"/>
        <v>238.16</v>
      </c>
      <c r="AJ571" s="487"/>
      <c r="AK571" s="507"/>
      <c r="AL571" s="479">
        <f t="shared" si="257"/>
        <v>0</v>
      </c>
      <c r="AM571" s="482">
        <f t="shared" si="258"/>
        <v>0</v>
      </c>
      <c r="AN571" s="487"/>
      <c r="AO571" s="488"/>
      <c r="AP571" s="487"/>
      <c r="AQ571" s="488"/>
      <c r="AR571" s="487"/>
      <c r="AS571" s="488"/>
      <c r="AT571" s="487"/>
      <c r="AU571" s="488"/>
      <c r="AV571" s="479">
        <f t="shared" si="259"/>
        <v>0</v>
      </c>
      <c r="AW571" s="483">
        <f t="shared" si="260"/>
        <v>0</v>
      </c>
      <c r="AX571" s="481">
        <f t="shared" si="261"/>
        <v>0</v>
      </c>
      <c r="AY571" s="484">
        <f t="shared" si="262"/>
        <v>0</v>
      </c>
      <c r="AZ571" s="485">
        <f t="shared" si="263"/>
        <v>7074.7766666666666</v>
      </c>
      <c r="BA571" s="481">
        <f t="shared" si="264"/>
        <v>7059.6266666666661</v>
      </c>
    </row>
    <row r="572" spans="1:53">
      <c r="A572" s="548" t="s">
        <v>273</v>
      </c>
      <c r="B572" s="619" t="s">
        <v>540</v>
      </c>
      <c r="C572" s="619"/>
      <c r="D572" s="608">
        <v>227854</v>
      </c>
      <c r="E572" s="611">
        <v>8</v>
      </c>
      <c r="F572" s="486" t="s">
        <v>41</v>
      </c>
      <c r="G572" s="529"/>
      <c r="H572" s="506">
        <v>79277</v>
      </c>
      <c r="I572" s="488">
        <v>77918</v>
      </c>
      <c r="J572" s="506">
        <v>32230</v>
      </c>
      <c r="K572" s="488">
        <v>30661</v>
      </c>
      <c r="L572" s="506">
        <v>0</v>
      </c>
      <c r="M572" s="488">
        <v>0</v>
      </c>
      <c r="N572" s="506">
        <v>67797</v>
      </c>
      <c r="O572" s="488">
        <v>67934</v>
      </c>
      <c r="P572" s="479">
        <f t="shared" si="247"/>
        <v>179304</v>
      </c>
      <c r="Q572" s="480">
        <f t="shared" si="248"/>
        <v>5976.8</v>
      </c>
      <c r="R572" s="481">
        <f t="shared" si="249"/>
        <v>176513</v>
      </c>
      <c r="S572" s="482">
        <f t="shared" si="250"/>
        <v>5883.7666666666664</v>
      </c>
      <c r="T572" s="506">
        <v>17143</v>
      </c>
      <c r="U572" s="507">
        <v>18965</v>
      </c>
      <c r="V572" s="479">
        <f t="shared" si="251"/>
        <v>179304</v>
      </c>
      <c r="W572" s="478">
        <f t="shared" si="252"/>
        <v>176513</v>
      </c>
      <c r="X572" s="506">
        <v>27776</v>
      </c>
      <c r="Y572" s="488">
        <v>28622</v>
      </c>
      <c r="Z572" s="506">
        <v>23397</v>
      </c>
      <c r="AA572" s="488">
        <v>30335</v>
      </c>
      <c r="AB572" s="506">
        <v>24089</v>
      </c>
      <c r="AC572" s="488">
        <v>23616</v>
      </c>
      <c r="AD572" s="506">
        <v>27828</v>
      </c>
      <c r="AE572" s="507">
        <v>29017</v>
      </c>
      <c r="AF572" s="479">
        <f t="shared" si="253"/>
        <v>103090</v>
      </c>
      <c r="AG572" s="480">
        <f t="shared" si="254"/>
        <v>114.54444444444445</v>
      </c>
      <c r="AH572" s="481">
        <f t="shared" si="255"/>
        <v>111590</v>
      </c>
      <c r="AI572" s="481">
        <f t="shared" si="256"/>
        <v>123.98888888888889</v>
      </c>
      <c r="AJ572" s="487"/>
      <c r="AK572" s="507"/>
      <c r="AL572" s="479">
        <f t="shared" si="257"/>
        <v>0</v>
      </c>
      <c r="AM572" s="482">
        <f t="shared" si="258"/>
        <v>0</v>
      </c>
      <c r="AN572" s="487"/>
      <c r="AO572" s="488"/>
      <c r="AP572" s="487"/>
      <c r="AQ572" s="488"/>
      <c r="AR572" s="487"/>
      <c r="AS572" s="488"/>
      <c r="AT572" s="487"/>
      <c r="AU572" s="488"/>
      <c r="AV572" s="479">
        <f t="shared" si="259"/>
        <v>0</v>
      </c>
      <c r="AW572" s="483">
        <f t="shared" si="260"/>
        <v>0</v>
      </c>
      <c r="AX572" s="481">
        <f t="shared" si="261"/>
        <v>0</v>
      </c>
      <c r="AY572" s="484">
        <f t="shared" si="262"/>
        <v>0</v>
      </c>
      <c r="AZ572" s="485">
        <f t="shared" si="263"/>
        <v>6091.3444444444449</v>
      </c>
      <c r="BA572" s="481">
        <f t="shared" si="264"/>
        <v>6007.7555555555555</v>
      </c>
    </row>
    <row r="573" spans="1:53">
      <c r="A573" s="548" t="s">
        <v>273</v>
      </c>
      <c r="B573" s="609" t="s">
        <v>541</v>
      </c>
      <c r="C573" s="614"/>
      <c r="D573" s="608">
        <v>228547</v>
      </c>
      <c r="E573" s="611">
        <v>8</v>
      </c>
      <c r="F573" s="486" t="s">
        <v>41</v>
      </c>
      <c r="G573" s="529"/>
      <c r="H573" s="506">
        <v>412815</v>
      </c>
      <c r="I573" s="488">
        <v>404550</v>
      </c>
      <c r="J573" s="506">
        <v>184871</v>
      </c>
      <c r="K573" s="488">
        <v>210276</v>
      </c>
      <c r="L573" s="506">
        <v>0</v>
      </c>
      <c r="M573" s="488">
        <v>0</v>
      </c>
      <c r="N573" s="506">
        <v>375569</v>
      </c>
      <c r="O573" s="488">
        <v>378451</v>
      </c>
      <c r="P573" s="479">
        <f t="shared" si="247"/>
        <v>973255</v>
      </c>
      <c r="Q573" s="480">
        <f t="shared" si="248"/>
        <v>32441.833333333332</v>
      </c>
      <c r="R573" s="481">
        <f t="shared" si="249"/>
        <v>993277</v>
      </c>
      <c r="S573" s="482">
        <f t="shared" si="250"/>
        <v>33109.23333333333</v>
      </c>
      <c r="T573" s="506">
        <v>43245</v>
      </c>
      <c r="U573" s="507">
        <v>50699</v>
      </c>
      <c r="V573" s="479">
        <f t="shared" si="251"/>
        <v>973255</v>
      </c>
      <c r="W573" s="478">
        <f t="shared" si="252"/>
        <v>993277</v>
      </c>
      <c r="X573" s="506">
        <v>183936</v>
      </c>
      <c r="Y573" s="488">
        <v>191405</v>
      </c>
      <c r="Z573" s="506">
        <v>212788</v>
      </c>
      <c r="AA573" s="488">
        <v>191310</v>
      </c>
      <c r="AB573" s="506">
        <v>201120</v>
      </c>
      <c r="AC573" s="488">
        <v>169659</v>
      </c>
      <c r="AD573" s="506">
        <v>203654</v>
      </c>
      <c r="AE573" s="507">
        <v>202575</v>
      </c>
      <c r="AF573" s="479">
        <f t="shared" si="253"/>
        <v>801498</v>
      </c>
      <c r="AG573" s="480">
        <f t="shared" si="254"/>
        <v>890.55333333333328</v>
      </c>
      <c r="AH573" s="481">
        <f t="shared" si="255"/>
        <v>754949</v>
      </c>
      <c r="AI573" s="481">
        <f t="shared" si="256"/>
        <v>838.83222222222219</v>
      </c>
      <c r="AJ573" s="487"/>
      <c r="AK573" s="507"/>
      <c r="AL573" s="479">
        <f t="shared" si="257"/>
        <v>0</v>
      </c>
      <c r="AM573" s="482">
        <f t="shared" si="258"/>
        <v>0</v>
      </c>
      <c r="AN573" s="487"/>
      <c r="AO573" s="488"/>
      <c r="AP573" s="487"/>
      <c r="AQ573" s="488"/>
      <c r="AR573" s="487"/>
      <c r="AS573" s="488"/>
      <c r="AT573" s="487"/>
      <c r="AU573" s="488"/>
      <c r="AV573" s="479">
        <f t="shared" si="259"/>
        <v>0</v>
      </c>
      <c r="AW573" s="483">
        <f t="shared" si="260"/>
        <v>0</v>
      </c>
      <c r="AX573" s="481">
        <f t="shared" si="261"/>
        <v>0</v>
      </c>
      <c r="AY573" s="484">
        <f t="shared" si="262"/>
        <v>0</v>
      </c>
      <c r="AZ573" s="485">
        <f t="shared" si="263"/>
        <v>33332.386666666665</v>
      </c>
      <c r="BA573" s="481">
        <f t="shared" si="264"/>
        <v>33948.06555555555</v>
      </c>
    </row>
    <row r="574" spans="1:53">
      <c r="A574" s="548" t="s">
        <v>273</v>
      </c>
      <c r="B574" s="609" t="s">
        <v>542</v>
      </c>
      <c r="C574" s="614" t="s">
        <v>609</v>
      </c>
      <c r="D574" s="608">
        <v>229072</v>
      </c>
      <c r="E574" s="611">
        <v>8</v>
      </c>
      <c r="F574" s="486" t="s">
        <v>41</v>
      </c>
      <c r="G574" s="529"/>
      <c r="H574" s="506">
        <v>83414</v>
      </c>
      <c r="I574" s="488">
        <v>32068</v>
      </c>
      <c r="J574" s="506">
        <v>3474</v>
      </c>
      <c r="K574" s="488">
        <v>2470</v>
      </c>
      <c r="L574" s="506">
        <v>2468</v>
      </c>
      <c r="M574" s="488">
        <v>1445</v>
      </c>
      <c r="N574" s="506">
        <v>47676</v>
      </c>
      <c r="O574" s="488">
        <v>31102</v>
      </c>
      <c r="P574" s="479">
        <f t="shared" si="247"/>
        <v>137032</v>
      </c>
      <c r="Q574" s="480">
        <f t="shared" si="248"/>
        <v>4567.7333333333336</v>
      </c>
      <c r="R574" s="481">
        <f t="shared" si="249"/>
        <v>67085</v>
      </c>
      <c r="S574" s="482">
        <f t="shared" si="250"/>
        <v>2236.1666666666665</v>
      </c>
      <c r="T574" s="506">
        <v>11532</v>
      </c>
      <c r="U574" s="507">
        <v>7965</v>
      </c>
      <c r="V574" s="479">
        <f t="shared" si="251"/>
        <v>137032</v>
      </c>
      <c r="W574" s="478">
        <f t="shared" si="252"/>
        <v>67085</v>
      </c>
      <c r="X574" s="506">
        <v>23955</v>
      </c>
      <c r="Y574" s="488">
        <v>30650</v>
      </c>
      <c r="Z574" s="506">
        <v>19478</v>
      </c>
      <c r="AA574" s="488">
        <v>21432</v>
      </c>
      <c r="AB574" s="506">
        <v>24460</v>
      </c>
      <c r="AC574" s="488">
        <v>28718</v>
      </c>
      <c r="AD574" s="506">
        <v>34328</v>
      </c>
      <c r="AE574" s="507">
        <v>16992</v>
      </c>
      <c r="AF574" s="479">
        <f t="shared" si="253"/>
        <v>102221</v>
      </c>
      <c r="AG574" s="480">
        <f t="shared" si="254"/>
        <v>113.57888888888888</v>
      </c>
      <c r="AH574" s="481">
        <f t="shared" si="255"/>
        <v>97792</v>
      </c>
      <c r="AI574" s="481">
        <f t="shared" si="256"/>
        <v>108.65777777777778</v>
      </c>
      <c r="AJ574" s="487"/>
      <c r="AK574" s="507"/>
      <c r="AL574" s="479">
        <f t="shared" si="257"/>
        <v>0</v>
      </c>
      <c r="AM574" s="482">
        <f t="shared" si="258"/>
        <v>0</v>
      </c>
      <c r="AN574" s="487"/>
      <c r="AO574" s="488"/>
      <c r="AP574" s="487"/>
      <c r="AQ574" s="488"/>
      <c r="AR574" s="487"/>
      <c r="AS574" s="488"/>
      <c r="AT574" s="487"/>
      <c r="AU574" s="488"/>
      <c r="AV574" s="479">
        <f t="shared" si="259"/>
        <v>0</v>
      </c>
      <c r="AW574" s="483">
        <f t="shared" si="260"/>
        <v>0</v>
      </c>
      <c r="AX574" s="481">
        <f t="shared" si="261"/>
        <v>0</v>
      </c>
      <c r="AY574" s="484">
        <f t="shared" si="262"/>
        <v>0</v>
      </c>
      <c r="AZ574" s="485">
        <f t="shared" si="263"/>
        <v>4681.3122222222228</v>
      </c>
      <c r="BA574" s="481">
        <f t="shared" si="264"/>
        <v>2344.8244444444445</v>
      </c>
    </row>
    <row r="575" spans="1:53">
      <c r="A575" s="548" t="s">
        <v>273</v>
      </c>
      <c r="B575" s="549" t="s">
        <v>543</v>
      </c>
      <c r="C575" s="614" t="s">
        <v>609</v>
      </c>
      <c r="D575" s="608">
        <v>228680</v>
      </c>
      <c r="E575" s="606">
        <v>8</v>
      </c>
      <c r="F575" s="486" t="s">
        <v>41</v>
      </c>
      <c r="G575" s="529"/>
      <c r="H575" s="506">
        <v>51230</v>
      </c>
      <c r="I575" s="488">
        <v>44130</v>
      </c>
      <c r="J575" s="506">
        <v>33936</v>
      </c>
      <c r="K575" s="488">
        <v>30969</v>
      </c>
      <c r="L575" s="506"/>
      <c r="M575" s="488"/>
      <c r="N575" s="506">
        <v>49739</v>
      </c>
      <c r="O575" s="488">
        <v>45571</v>
      </c>
      <c r="P575" s="479">
        <f t="shared" si="247"/>
        <v>134905</v>
      </c>
      <c r="Q575" s="480">
        <f t="shared" si="248"/>
        <v>4496.833333333333</v>
      </c>
      <c r="R575" s="481">
        <f t="shared" si="249"/>
        <v>120670</v>
      </c>
      <c r="S575" s="482">
        <f t="shared" si="250"/>
        <v>4022.3333333333335</v>
      </c>
      <c r="T575" s="506">
        <v>4021</v>
      </c>
      <c r="U575" s="507">
        <v>1856</v>
      </c>
      <c r="V575" s="479">
        <f t="shared" si="251"/>
        <v>134905</v>
      </c>
      <c r="W575" s="478">
        <f t="shared" si="252"/>
        <v>120670</v>
      </c>
      <c r="X575" s="506">
        <v>868</v>
      </c>
      <c r="Y575" s="488">
        <v>1152</v>
      </c>
      <c r="Z575" s="506">
        <v>0</v>
      </c>
      <c r="AA575" s="488">
        <v>0</v>
      </c>
      <c r="AB575" s="506">
        <v>0</v>
      </c>
      <c r="AC575" s="488">
        <v>0</v>
      </c>
      <c r="AD575" s="506">
        <v>0</v>
      </c>
      <c r="AE575" s="507">
        <v>0</v>
      </c>
      <c r="AF575" s="479">
        <f t="shared" si="253"/>
        <v>868</v>
      </c>
      <c r="AG575" s="480">
        <f t="shared" si="254"/>
        <v>0.96444444444444444</v>
      </c>
      <c r="AH575" s="481">
        <f t="shared" si="255"/>
        <v>1152</v>
      </c>
      <c r="AI575" s="481">
        <f t="shared" si="256"/>
        <v>1.28</v>
      </c>
      <c r="AJ575" s="487"/>
      <c r="AK575" s="507"/>
      <c r="AL575" s="479">
        <f t="shared" si="257"/>
        <v>0</v>
      </c>
      <c r="AM575" s="482">
        <f t="shared" si="258"/>
        <v>0</v>
      </c>
      <c r="AN575" s="487"/>
      <c r="AO575" s="488"/>
      <c r="AP575" s="487"/>
      <c r="AQ575" s="488"/>
      <c r="AR575" s="487"/>
      <c r="AS575" s="488"/>
      <c r="AT575" s="487"/>
      <c r="AU575" s="488"/>
      <c r="AV575" s="479">
        <f t="shared" si="259"/>
        <v>0</v>
      </c>
      <c r="AW575" s="483">
        <f t="shared" si="260"/>
        <v>0</v>
      </c>
      <c r="AX575" s="481">
        <f t="shared" si="261"/>
        <v>0</v>
      </c>
      <c r="AY575" s="484">
        <f t="shared" si="262"/>
        <v>0</v>
      </c>
      <c r="AZ575" s="485">
        <f t="shared" si="263"/>
        <v>4497.7977777777778</v>
      </c>
      <c r="BA575" s="481">
        <f t="shared" si="264"/>
        <v>4023.6133333333337</v>
      </c>
    </row>
    <row r="576" spans="1:53">
      <c r="A576" s="548" t="s">
        <v>273</v>
      </c>
      <c r="B576" s="549" t="s">
        <v>544</v>
      </c>
      <c r="C576" s="607"/>
      <c r="D576" s="608">
        <v>225308</v>
      </c>
      <c r="E576" s="606">
        <v>8</v>
      </c>
      <c r="F576" s="486" t="s">
        <v>41</v>
      </c>
      <c r="G576" s="529"/>
      <c r="H576" s="506">
        <v>64060</v>
      </c>
      <c r="I576" s="488">
        <v>65017</v>
      </c>
      <c r="J576" s="506">
        <v>13908</v>
      </c>
      <c r="K576" s="488">
        <v>13135</v>
      </c>
      <c r="L576" s="506">
        <v>11849</v>
      </c>
      <c r="M576" s="488">
        <v>12263</v>
      </c>
      <c r="N576" s="506">
        <v>66918</v>
      </c>
      <c r="O576" s="488">
        <v>65453</v>
      </c>
      <c r="P576" s="479">
        <f t="shared" si="247"/>
        <v>156735</v>
      </c>
      <c r="Q576" s="480">
        <f t="shared" si="248"/>
        <v>5224.5</v>
      </c>
      <c r="R576" s="481">
        <f t="shared" si="249"/>
        <v>155868</v>
      </c>
      <c r="S576" s="482">
        <f t="shared" si="250"/>
        <v>5195.6000000000004</v>
      </c>
      <c r="T576" s="506">
        <v>15539</v>
      </c>
      <c r="U576" s="507">
        <v>16644</v>
      </c>
      <c r="V576" s="479">
        <f t="shared" si="251"/>
        <v>156735</v>
      </c>
      <c r="W576" s="478">
        <f t="shared" si="252"/>
        <v>155868</v>
      </c>
      <c r="X576" s="506">
        <v>57548</v>
      </c>
      <c r="Y576" s="488">
        <v>52696</v>
      </c>
      <c r="Z576" s="506">
        <v>62064</v>
      </c>
      <c r="AA576" s="488">
        <v>45763</v>
      </c>
      <c r="AB576" s="506">
        <v>55031</v>
      </c>
      <c r="AC576" s="488">
        <v>58932</v>
      </c>
      <c r="AD576" s="506">
        <v>73990</v>
      </c>
      <c r="AE576" s="507">
        <v>74418</v>
      </c>
      <c r="AF576" s="479">
        <f t="shared" si="253"/>
        <v>248633</v>
      </c>
      <c r="AG576" s="480">
        <f t="shared" si="254"/>
        <v>276.25888888888886</v>
      </c>
      <c r="AH576" s="481">
        <f t="shared" si="255"/>
        <v>231809</v>
      </c>
      <c r="AI576" s="481">
        <f t="shared" si="256"/>
        <v>257.56555555555553</v>
      </c>
      <c r="AJ576" s="487"/>
      <c r="AK576" s="507"/>
      <c r="AL576" s="479">
        <f t="shared" si="257"/>
        <v>0</v>
      </c>
      <c r="AM576" s="482">
        <f t="shared" si="258"/>
        <v>0</v>
      </c>
      <c r="AN576" s="487"/>
      <c r="AO576" s="488"/>
      <c r="AP576" s="487"/>
      <c r="AQ576" s="488"/>
      <c r="AR576" s="487"/>
      <c r="AS576" s="488"/>
      <c r="AT576" s="487"/>
      <c r="AU576" s="488"/>
      <c r="AV576" s="479">
        <f t="shared" si="259"/>
        <v>0</v>
      </c>
      <c r="AW576" s="483">
        <f t="shared" si="260"/>
        <v>0</v>
      </c>
      <c r="AX576" s="481">
        <f t="shared" si="261"/>
        <v>0</v>
      </c>
      <c r="AY576" s="484">
        <f t="shared" si="262"/>
        <v>0</v>
      </c>
      <c r="AZ576" s="485">
        <f t="shared" si="263"/>
        <v>5500.7588888888886</v>
      </c>
      <c r="BA576" s="481">
        <f t="shared" si="264"/>
        <v>5453.1655555555562</v>
      </c>
    </row>
    <row r="577" spans="1:53">
      <c r="A577" s="548" t="s">
        <v>273</v>
      </c>
      <c r="B577" s="609" t="s">
        <v>545</v>
      </c>
      <c r="C577" s="614"/>
      <c r="D577" s="608">
        <v>229355</v>
      </c>
      <c r="E577" s="611">
        <v>8</v>
      </c>
      <c r="F577" s="486" t="s">
        <v>41</v>
      </c>
      <c r="G577" s="529"/>
      <c r="H577" s="506">
        <v>102619</v>
      </c>
      <c r="I577" s="488">
        <v>103442</v>
      </c>
      <c r="J577" s="506">
        <v>25907</v>
      </c>
      <c r="K577" s="488">
        <v>26269</v>
      </c>
      <c r="L577" s="506">
        <v>7572</v>
      </c>
      <c r="M577" s="488">
        <v>7588</v>
      </c>
      <c r="N577" s="506">
        <v>103382</v>
      </c>
      <c r="O577" s="488">
        <v>102536</v>
      </c>
      <c r="P577" s="479">
        <f t="shared" si="247"/>
        <v>239480</v>
      </c>
      <c r="Q577" s="480">
        <f t="shared" si="248"/>
        <v>7982.666666666667</v>
      </c>
      <c r="R577" s="481">
        <f t="shared" si="249"/>
        <v>239835</v>
      </c>
      <c r="S577" s="482">
        <f t="shared" si="250"/>
        <v>7994.5</v>
      </c>
      <c r="T577" s="506">
        <v>8381</v>
      </c>
      <c r="U577" s="507">
        <v>16164</v>
      </c>
      <c r="V577" s="479">
        <f t="shared" si="251"/>
        <v>239480</v>
      </c>
      <c r="W577" s="478">
        <f t="shared" si="252"/>
        <v>239835</v>
      </c>
      <c r="X577" s="506">
        <v>57762</v>
      </c>
      <c r="Y577" s="488">
        <v>56760</v>
      </c>
      <c r="Z577" s="506">
        <v>66862</v>
      </c>
      <c r="AA577" s="488">
        <v>78507</v>
      </c>
      <c r="AB577" s="506">
        <v>69153</v>
      </c>
      <c r="AC577" s="488">
        <v>63166</v>
      </c>
      <c r="AD577" s="506">
        <v>78968</v>
      </c>
      <c r="AE577" s="507">
        <v>92585</v>
      </c>
      <c r="AF577" s="479">
        <f t="shared" si="253"/>
        <v>272745</v>
      </c>
      <c r="AG577" s="480">
        <f t="shared" si="254"/>
        <v>303.05</v>
      </c>
      <c r="AH577" s="481">
        <f t="shared" si="255"/>
        <v>291018</v>
      </c>
      <c r="AI577" s="481">
        <f t="shared" si="256"/>
        <v>323.35333333333335</v>
      </c>
      <c r="AJ577" s="487"/>
      <c r="AK577" s="507"/>
      <c r="AL577" s="479">
        <f t="shared" si="257"/>
        <v>0</v>
      </c>
      <c r="AM577" s="482">
        <f t="shared" si="258"/>
        <v>0</v>
      </c>
      <c r="AN577" s="487"/>
      <c r="AO577" s="488"/>
      <c r="AP577" s="487"/>
      <c r="AQ577" s="488"/>
      <c r="AR577" s="487"/>
      <c r="AS577" s="488"/>
      <c r="AT577" s="487"/>
      <c r="AU577" s="488"/>
      <c r="AV577" s="479">
        <f t="shared" si="259"/>
        <v>0</v>
      </c>
      <c r="AW577" s="483">
        <f t="shared" si="260"/>
        <v>0</v>
      </c>
      <c r="AX577" s="481">
        <f t="shared" si="261"/>
        <v>0</v>
      </c>
      <c r="AY577" s="484">
        <f t="shared" si="262"/>
        <v>0</v>
      </c>
      <c r="AZ577" s="485">
        <f t="shared" si="263"/>
        <v>8285.7166666666672</v>
      </c>
      <c r="BA577" s="481">
        <f t="shared" si="264"/>
        <v>8317.8533333333326</v>
      </c>
    </row>
    <row r="578" spans="1:53">
      <c r="A578" s="548" t="s">
        <v>273</v>
      </c>
      <c r="B578" s="609" t="s">
        <v>546</v>
      </c>
      <c r="C578" s="614"/>
      <c r="D578" s="608">
        <v>222567</v>
      </c>
      <c r="E578" s="611">
        <v>9</v>
      </c>
      <c r="F578" s="486" t="s">
        <v>41</v>
      </c>
      <c r="G578" s="529"/>
      <c r="H578" s="506">
        <v>42179</v>
      </c>
      <c r="I578" s="488">
        <v>39990</v>
      </c>
      <c r="J578" s="506">
        <v>16911</v>
      </c>
      <c r="K578" s="488">
        <v>17076</v>
      </c>
      <c r="L578" s="506">
        <v>0</v>
      </c>
      <c r="M578" s="488">
        <v>0</v>
      </c>
      <c r="N578" s="506">
        <v>42695</v>
      </c>
      <c r="O578" s="488">
        <v>42494</v>
      </c>
      <c r="P578" s="479">
        <f t="shared" si="247"/>
        <v>101785</v>
      </c>
      <c r="Q578" s="480">
        <f t="shared" si="248"/>
        <v>3392.8333333333335</v>
      </c>
      <c r="R578" s="481">
        <f t="shared" si="249"/>
        <v>99560</v>
      </c>
      <c r="S578" s="482">
        <f t="shared" si="250"/>
        <v>3318.6666666666665</v>
      </c>
      <c r="T578" s="506">
        <v>11508</v>
      </c>
      <c r="U578" s="507">
        <v>14847</v>
      </c>
      <c r="V578" s="479">
        <f t="shared" si="251"/>
        <v>101785</v>
      </c>
      <c r="W578" s="478">
        <f t="shared" si="252"/>
        <v>99560</v>
      </c>
      <c r="X578" s="506">
        <v>19831</v>
      </c>
      <c r="Y578" s="488">
        <v>18446</v>
      </c>
      <c r="Z578" s="506">
        <v>25324</v>
      </c>
      <c r="AA578" s="488">
        <v>18449</v>
      </c>
      <c r="AB578" s="506">
        <v>26131</v>
      </c>
      <c r="AC578" s="488">
        <v>21847</v>
      </c>
      <c r="AD578" s="506">
        <v>23439</v>
      </c>
      <c r="AE578" s="507">
        <v>32351</v>
      </c>
      <c r="AF578" s="479">
        <f t="shared" si="253"/>
        <v>94725</v>
      </c>
      <c r="AG578" s="480">
        <f t="shared" si="254"/>
        <v>105.25</v>
      </c>
      <c r="AH578" s="481">
        <f t="shared" si="255"/>
        <v>91093</v>
      </c>
      <c r="AI578" s="481">
        <f t="shared" si="256"/>
        <v>101.21444444444444</v>
      </c>
      <c r="AJ578" s="487"/>
      <c r="AK578" s="507"/>
      <c r="AL578" s="479">
        <f t="shared" si="257"/>
        <v>0</v>
      </c>
      <c r="AM578" s="482">
        <f t="shared" si="258"/>
        <v>0</v>
      </c>
      <c r="AN578" s="487"/>
      <c r="AO578" s="488"/>
      <c r="AP578" s="487"/>
      <c r="AQ578" s="488"/>
      <c r="AR578" s="487"/>
      <c r="AS578" s="488"/>
      <c r="AT578" s="487"/>
      <c r="AU578" s="488"/>
      <c r="AV578" s="479">
        <f t="shared" si="259"/>
        <v>0</v>
      </c>
      <c r="AW578" s="483">
        <f t="shared" si="260"/>
        <v>0</v>
      </c>
      <c r="AX578" s="481">
        <f t="shared" si="261"/>
        <v>0</v>
      </c>
      <c r="AY578" s="484">
        <f t="shared" si="262"/>
        <v>0</v>
      </c>
      <c r="AZ578" s="485">
        <f t="shared" si="263"/>
        <v>3498.0833333333335</v>
      </c>
      <c r="BA578" s="481">
        <f t="shared" si="264"/>
        <v>3419.8811111111108</v>
      </c>
    </row>
    <row r="579" spans="1:53">
      <c r="A579" s="548" t="s">
        <v>273</v>
      </c>
      <c r="B579" s="609" t="s">
        <v>547</v>
      </c>
      <c r="C579" s="614"/>
      <c r="D579" s="608">
        <v>222822</v>
      </c>
      <c r="E579" s="611">
        <v>9</v>
      </c>
      <c r="F579" s="486" t="s">
        <v>41</v>
      </c>
      <c r="G579" s="529"/>
      <c r="H579" s="506">
        <v>45965</v>
      </c>
      <c r="I579" s="488">
        <v>42876</v>
      </c>
      <c r="J579" s="506">
        <v>8750</v>
      </c>
      <c r="K579" s="488">
        <v>8513</v>
      </c>
      <c r="L579" s="506">
        <v>4132</v>
      </c>
      <c r="M579" s="488">
        <v>3831</v>
      </c>
      <c r="N579" s="506">
        <v>47271</v>
      </c>
      <c r="O579" s="488">
        <v>48373</v>
      </c>
      <c r="P579" s="479">
        <f t="shared" si="247"/>
        <v>106118</v>
      </c>
      <c r="Q579" s="480">
        <f t="shared" si="248"/>
        <v>3537.2666666666669</v>
      </c>
      <c r="R579" s="481">
        <f t="shared" si="249"/>
        <v>103593</v>
      </c>
      <c r="S579" s="482">
        <f t="shared" si="250"/>
        <v>3453.1</v>
      </c>
      <c r="T579" s="506">
        <v>12958</v>
      </c>
      <c r="U579" s="507">
        <v>14416</v>
      </c>
      <c r="V579" s="479">
        <f t="shared" si="251"/>
        <v>106118</v>
      </c>
      <c r="W579" s="478">
        <f t="shared" si="252"/>
        <v>103593</v>
      </c>
      <c r="X579" s="506">
        <v>70202</v>
      </c>
      <c r="Y579" s="488">
        <v>80926</v>
      </c>
      <c r="Z579" s="506">
        <v>34791</v>
      </c>
      <c r="AA579" s="488">
        <v>33446</v>
      </c>
      <c r="AB579" s="506">
        <v>75173</v>
      </c>
      <c r="AC579" s="488">
        <v>77163</v>
      </c>
      <c r="AD579" s="506">
        <v>31650</v>
      </c>
      <c r="AE579" s="507">
        <v>38158</v>
      </c>
      <c r="AF579" s="479">
        <f t="shared" si="253"/>
        <v>211816</v>
      </c>
      <c r="AG579" s="480">
        <f t="shared" si="254"/>
        <v>235.35111111111112</v>
      </c>
      <c r="AH579" s="481">
        <f t="shared" si="255"/>
        <v>229693</v>
      </c>
      <c r="AI579" s="481">
        <f t="shared" si="256"/>
        <v>255.21444444444444</v>
      </c>
      <c r="AJ579" s="487"/>
      <c r="AK579" s="507"/>
      <c r="AL579" s="479">
        <f t="shared" si="257"/>
        <v>0</v>
      </c>
      <c r="AM579" s="482">
        <f t="shared" si="258"/>
        <v>0</v>
      </c>
      <c r="AN579" s="487"/>
      <c r="AO579" s="488"/>
      <c r="AP579" s="487"/>
      <c r="AQ579" s="488"/>
      <c r="AR579" s="487"/>
      <c r="AS579" s="488"/>
      <c r="AT579" s="487"/>
      <c r="AU579" s="488"/>
      <c r="AV579" s="479">
        <f t="shared" si="259"/>
        <v>0</v>
      </c>
      <c r="AW579" s="483">
        <f t="shared" si="260"/>
        <v>0</v>
      </c>
      <c r="AX579" s="481">
        <f t="shared" si="261"/>
        <v>0</v>
      </c>
      <c r="AY579" s="484">
        <f t="shared" si="262"/>
        <v>0</v>
      </c>
      <c r="AZ579" s="485">
        <f t="shared" si="263"/>
        <v>3772.617777777778</v>
      </c>
      <c r="BA579" s="481">
        <f t="shared" si="264"/>
        <v>3708.3144444444442</v>
      </c>
    </row>
    <row r="580" spans="1:53">
      <c r="A580" s="548" t="s">
        <v>273</v>
      </c>
      <c r="B580" s="620" t="s">
        <v>548</v>
      </c>
      <c r="C580" s="620"/>
      <c r="D580" s="608">
        <v>223773</v>
      </c>
      <c r="E580" s="611">
        <v>9</v>
      </c>
      <c r="F580" s="486" t="s">
        <v>41</v>
      </c>
      <c r="G580" s="529"/>
      <c r="H580" s="506">
        <v>40766</v>
      </c>
      <c r="I580" s="488">
        <v>41691</v>
      </c>
      <c r="J580" s="506">
        <v>21245</v>
      </c>
      <c r="K580" s="488">
        <v>23220</v>
      </c>
      <c r="L580" s="506">
        <v>0</v>
      </c>
      <c r="M580" s="488">
        <v>0</v>
      </c>
      <c r="N580" s="506">
        <v>39274</v>
      </c>
      <c r="O580" s="488">
        <v>36815</v>
      </c>
      <c r="P580" s="479">
        <f t="shared" si="247"/>
        <v>101285</v>
      </c>
      <c r="Q580" s="480">
        <f t="shared" si="248"/>
        <v>3376.1666666666665</v>
      </c>
      <c r="R580" s="481">
        <f t="shared" si="249"/>
        <v>101726</v>
      </c>
      <c r="S580" s="482">
        <f t="shared" si="250"/>
        <v>3390.8666666666668</v>
      </c>
      <c r="T580" s="506">
        <v>10858</v>
      </c>
      <c r="U580" s="507">
        <v>11575</v>
      </c>
      <c r="V580" s="479">
        <f t="shared" si="251"/>
        <v>101285</v>
      </c>
      <c r="W580" s="478">
        <f t="shared" si="252"/>
        <v>101726</v>
      </c>
      <c r="X580" s="506">
        <v>40669</v>
      </c>
      <c r="Y580" s="488">
        <v>40893</v>
      </c>
      <c r="Z580" s="506">
        <v>56103</v>
      </c>
      <c r="AA580" s="488">
        <v>44000</v>
      </c>
      <c r="AB580" s="506">
        <v>57375</v>
      </c>
      <c r="AC580" s="488">
        <v>29347</v>
      </c>
      <c r="AD580" s="506">
        <v>47897</v>
      </c>
      <c r="AE580" s="507">
        <v>38976</v>
      </c>
      <c r="AF580" s="479">
        <f t="shared" si="253"/>
        <v>202044</v>
      </c>
      <c r="AG580" s="480">
        <f t="shared" si="254"/>
        <v>224.49333333333334</v>
      </c>
      <c r="AH580" s="481">
        <f t="shared" si="255"/>
        <v>153216</v>
      </c>
      <c r="AI580" s="481">
        <f t="shared" si="256"/>
        <v>170.24</v>
      </c>
      <c r="AJ580" s="487"/>
      <c r="AK580" s="507"/>
      <c r="AL580" s="479">
        <f t="shared" si="257"/>
        <v>0</v>
      </c>
      <c r="AM580" s="482">
        <f t="shared" si="258"/>
        <v>0</v>
      </c>
      <c r="AN580" s="487"/>
      <c r="AO580" s="488"/>
      <c r="AP580" s="487"/>
      <c r="AQ580" s="488"/>
      <c r="AR580" s="487"/>
      <c r="AS580" s="488"/>
      <c r="AT580" s="487"/>
      <c r="AU580" s="488"/>
      <c r="AV580" s="479">
        <f t="shared" si="259"/>
        <v>0</v>
      </c>
      <c r="AW580" s="483">
        <f t="shared" si="260"/>
        <v>0</v>
      </c>
      <c r="AX580" s="481">
        <f t="shared" si="261"/>
        <v>0</v>
      </c>
      <c r="AY580" s="484">
        <f t="shared" si="262"/>
        <v>0</v>
      </c>
      <c r="AZ580" s="485">
        <f t="shared" si="263"/>
        <v>3600.66</v>
      </c>
      <c r="BA580" s="481">
        <f t="shared" si="264"/>
        <v>3561.1066666666666</v>
      </c>
    </row>
    <row r="581" spans="1:53">
      <c r="A581" s="548" t="s">
        <v>273</v>
      </c>
      <c r="B581" s="609" t="s">
        <v>549</v>
      </c>
      <c r="C581" s="609"/>
      <c r="D581" s="608">
        <v>223898</v>
      </c>
      <c r="E581" s="611">
        <v>9</v>
      </c>
      <c r="F581" s="486" t="s">
        <v>41</v>
      </c>
      <c r="G581" s="529"/>
      <c r="H581" s="506">
        <v>38904</v>
      </c>
      <c r="I581" s="488">
        <v>34024</v>
      </c>
      <c r="J581" s="506">
        <v>6020</v>
      </c>
      <c r="K581" s="488">
        <v>6533</v>
      </c>
      <c r="L581" s="506">
        <v>2242</v>
      </c>
      <c r="M581" s="488">
        <v>1923</v>
      </c>
      <c r="N581" s="506">
        <v>36793</v>
      </c>
      <c r="O581" s="488">
        <v>33633</v>
      </c>
      <c r="P581" s="479">
        <f t="shared" si="247"/>
        <v>83959</v>
      </c>
      <c r="Q581" s="480">
        <f t="shared" si="248"/>
        <v>2798.6333333333332</v>
      </c>
      <c r="R581" s="481">
        <f t="shared" si="249"/>
        <v>76113</v>
      </c>
      <c r="S581" s="482">
        <f t="shared" si="250"/>
        <v>2537.1</v>
      </c>
      <c r="T581" s="506">
        <v>6498</v>
      </c>
      <c r="U581" s="507">
        <v>7313</v>
      </c>
      <c r="V581" s="479">
        <f t="shared" si="251"/>
        <v>83959</v>
      </c>
      <c r="W581" s="478">
        <f t="shared" si="252"/>
        <v>76113</v>
      </c>
      <c r="X581" s="506">
        <v>1730</v>
      </c>
      <c r="Y581" s="488">
        <v>3388</v>
      </c>
      <c r="Z581" s="506">
        <v>9240</v>
      </c>
      <c r="AA581" s="488">
        <v>2938</v>
      </c>
      <c r="AB581" s="506">
        <v>3346</v>
      </c>
      <c r="AC581" s="488">
        <v>0</v>
      </c>
      <c r="AD581" s="506">
        <v>8064</v>
      </c>
      <c r="AE581" s="507">
        <v>252</v>
      </c>
      <c r="AF581" s="479">
        <f t="shared" si="253"/>
        <v>22380</v>
      </c>
      <c r="AG581" s="480">
        <f t="shared" si="254"/>
        <v>24.866666666666667</v>
      </c>
      <c r="AH581" s="481">
        <f t="shared" si="255"/>
        <v>6578</v>
      </c>
      <c r="AI581" s="481">
        <f t="shared" si="256"/>
        <v>7.3088888888888892</v>
      </c>
      <c r="AJ581" s="487"/>
      <c r="AK581" s="507"/>
      <c r="AL581" s="479">
        <f t="shared" si="257"/>
        <v>0</v>
      </c>
      <c r="AM581" s="482">
        <f t="shared" si="258"/>
        <v>0</v>
      </c>
      <c r="AN581" s="487"/>
      <c r="AO581" s="488"/>
      <c r="AP581" s="487"/>
      <c r="AQ581" s="488"/>
      <c r="AR581" s="487"/>
      <c r="AS581" s="488"/>
      <c r="AT581" s="487"/>
      <c r="AU581" s="488"/>
      <c r="AV581" s="479">
        <f t="shared" si="259"/>
        <v>0</v>
      </c>
      <c r="AW581" s="483">
        <f t="shared" si="260"/>
        <v>0</v>
      </c>
      <c r="AX581" s="481">
        <f t="shared" si="261"/>
        <v>0</v>
      </c>
      <c r="AY581" s="484">
        <f t="shared" si="262"/>
        <v>0</v>
      </c>
      <c r="AZ581" s="485">
        <f t="shared" si="263"/>
        <v>2823.5</v>
      </c>
      <c r="BA581" s="481">
        <f t="shared" si="264"/>
        <v>2544.4088888888887</v>
      </c>
    </row>
    <row r="582" spans="1:53">
      <c r="A582" s="548" t="s">
        <v>273</v>
      </c>
      <c r="B582" s="609" t="s">
        <v>550</v>
      </c>
      <c r="C582" s="609"/>
      <c r="D582" s="608">
        <v>223320</v>
      </c>
      <c r="E582" s="611">
        <v>9</v>
      </c>
      <c r="F582" s="486" t="s">
        <v>41</v>
      </c>
      <c r="G582" s="529"/>
      <c r="H582" s="506">
        <v>30336</v>
      </c>
      <c r="I582" s="488">
        <v>29244</v>
      </c>
      <c r="J582" s="506">
        <v>7661</v>
      </c>
      <c r="K582" s="488">
        <v>7407</v>
      </c>
      <c r="L582" s="506">
        <v>2389</v>
      </c>
      <c r="M582" s="488">
        <v>2069</v>
      </c>
      <c r="N582" s="506">
        <v>30488</v>
      </c>
      <c r="O582" s="488">
        <v>30202</v>
      </c>
      <c r="P582" s="479">
        <f t="shared" si="247"/>
        <v>70874</v>
      </c>
      <c r="Q582" s="480">
        <f t="shared" si="248"/>
        <v>2362.4666666666667</v>
      </c>
      <c r="R582" s="481">
        <f t="shared" si="249"/>
        <v>68922</v>
      </c>
      <c r="S582" s="482">
        <f t="shared" si="250"/>
        <v>2297.4</v>
      </c>
      <c r="T582" s="506">
        <v>15334</v>
      </c>
      <c r="U582" s="507">
        <v>11536</v>
      </c>
      <c r="V582" s="479">
        <f t="shared" si="251"/>
        <v>70874</v>
      </c>
      <c r="W582" s="478">
        <f t="shared" si="252"/>
        <v>68922</v>
      </c>
      <c r="X582" s="506">
        <v>65541</v>
      </c>
      <c r="Y582" s="488">
        <v>45567</v>
      </c>
      <c r="Z582" s="506">
        <v>91375</v>
      </c>
      <c r="AA582" s="488">
        <v>72208</v>
      </c>
      <c r="AB582" s="506">
        <v>86943</v>
      </c>
      <c r="AC582" s="488">
        <v>76745</v>
      </c>
      <c r="AD582" s="506">
        <v>52579</v>
      </c>
      <c r="AE582" s="507">
        <v>39723</v>
      </c>
      <c r="AF582" s="479">
        <f t="shared" si="253"/>
        <v>296438</v>
      </c>
      <c r="AG582" s="480">
        <f t="shared" si="254"/>
        <v>329.37555555555554</v>
      </c>
      <c r="AH582" s="481">
        <f t="shared" si="255"/>
        <v>234243</v>
      </c>
      <c r="AI582" s="481">
        <f t="shared" si="256"/>
        <v>260.27</v>
      </c>
      <c r="AJ582" s="487"/>
      <c r="AK582" s="507"/>
      <c r="AL582" s="479">
        <f t="shared" si="257"/>
        <v>0</v>
      </c>
      <c r="AM582" s="482">
        <f t="shared" si="258"/>
        <v>0</v>
      </c>
      <c r="AN582" s="487"/>
      <c r="AO582" s="488"/>
      <c r="AP582" s="487"/>
      <c r="AQ582" s="488"/>
      <c r="AR582" s="487"/>
      <c r="AS582" s="488"/>
      <c r="AT582" s="487"/>
      <c r="AU582" s="488"/>
      <c r="AV582" s="479">
        <f t="shared" si="259"/>
        <v>0</v>
      </c>
      <c r="AW582" s="483">
        <f t="shared" si="260"/>
        <v>0</v>
      </c>
      <c r="AX582" s="481">
        <f t="shared" si="261"/>
        <v>0</v>
      </c>
      <c r="AY582" s="484">
        <f t="shared" si="262"/>
        <v>0</v>
      </c>
      <c r="AZ582" s="485">
        <f t="shared" si="263"/>
        <v>2691.8422222222221</v>
      </c>
      <c r="BA582" s="481">
        <f t="shared" si="264"/>
        <v>2557.67</v>
      </c>
    </row>
    <row r="583" spans="1:53">
      <c r="A583" s="548" t="s">
        <v>273</v>
      </c>
      <c r="B583" s="609" t="s">
        <v>551</v>
      </c>
      <c r="C583" s="609"/>
      <c r="D583" s="608">
        <v>226408</v>
      </c>
      <c r="E583" s="611">
        <v>9</v>
      </c>
      <c r="F583" s="486" t="s">
        <v>41</v>
      </c>
      <c r="G583" s="529"/>
      <c r="H583" s="506">
        <v>34440</v>
      </c>
      <c r="I583" s="488">
        <v>34589</v>
      </c>
      <c r="J583" s="506">
        <v>9005</v>
      </c>
      <c r="K583" s="488">
        <v>9194</v>
      </c>
      <c r="L583" s="506">
        <v>6715</v>
      </c>
      <c r="M583" s="488">
        <v>6548</v>
      </c>
      <c r="N583" s="506">
        <v>32222</v>
      </c>
      <c r="O583" s="488">
        <v>33692</v>
      </c>
      <c r="P583" s="479">
        <f t="shared" si="247"/>
        <v>82382</v>
      </c>
      <c r="Q583" s="480">
        <f t="shared" si="248"/>
        <v>2746.0666666666666</v>
      </c>
      <c r="R583" s="481">
        <f t="shared" si="249"/>
        <v>84023</v>
      </c>
      <c r="S583" s="482">
        <f t="shared" si="250"/>
        <v>2800.7666666666669</v>
      </c>
      <c r="T583" s="506">
        <v>9708</v>
      </c>
      <c r="U583" s="507">
        <v>12272</v>
      </c>
      <c r="V583" s="479">
        <f t="shared" si="251"/>
        <v>82382</v>
      </c>
      <c r="W583" s="478">
        <f t="shared" si="252"/>
        <v>84023</v>
      </c>
      <c r="X583" s="506">
        <v>46303</v>
      </c>
      <c r="Y583" s="488">
        <v>33857</v>
      </c>
      <c r="Z583" s="506">
        <v>29761</v>
      </c>
      <c r="AA583" s="488">
        <v>34661</v>
      </c>
      <c r="AB583" s="506">
        <v>42814</v>
      </c>
      <c r="AC583" s="488">
        <v>37751</v>
      </c>
      <c r="AD583" s="506">
        <v>38606</v>
      </c>
      <c r="AE583" s="507">
        <v>34604</v>
      </c>
      <c r="AF583" s="479">
        <f t="shared" si="253"/>
        <v>157484</v>
      </c>
      <c r="AG583" s="480">
        <f t="shared" si="254"/>
        <v>174.98222222222222</v>
      </c>
      <c r="AH583" s="481">
        <f t="shared" si="255"/>
        <v>140873</v>
      </c>
      <c r="AI583" s="481">
        <f t="shared" si="256"/>
        <v>156.52555555555554</v>
      </c>
      <c r="AJ583" s="487"/>
      <c r="AK583" s="507"/>
      <c r="AL583" s="479">
        <f t="shared" si="257"/>
        <v>0</v>
      </c>
      <c r="AM583" s="482">
        <f t="shared" si="258"/>
        <v>0</v>
      </c>
      <c r="AN583" s="487"/>
      <c r="AO583" s="488"/>
      <c r="AP583" s="487"/>
      <c r="AQ583" s="488"/>
      <c r="AR583" s="487"/>
      <c r="AS583" s="488"/>
      <c r="AT583" s="487"/>
      <c r="AU583" s="488"/>
      <c r="AV583" s="479">
        <f t="shared" si="259"/>
        <v>0</v>
      </c>
      <c r="AW583" s="483">
        <f t="shared" si="260"/>
        <v>0</v>
      </c>
      <c r="AX583" s="481">
        <f t="shared" si="261"/>
        <v>0</v>
      </c>
      <c r="AY583" s="484">
        <f t="shared" si="262"/>
        <v>0</v>
      </c>
      <c r="AZ583" s="485">
        <f t="shared" si="263"/>
        <v>2921.048888888889</v>
      </c>
      <c r="BA583" s="481">
        <f t="shared" si="264"/>
        <v>2957.2922222222223</v>
      </c>
    </row>
    <row r="584" spans="1:53">
      <c r="A584" s="548" t="s">
        <v>273</v>
      </c>
      <c r="B584" s="609" t="s">
        <v>552</v>
      </c>
      <c r="C584" s="609"/>
      <c r="D584" s="608">
        <v>225070</v>
      </c>
      <c r="E584" s="611">
        <v>9</v>
      </c>
      <c r="F584" s="486" t="s">
        <v>41</v>
      </c>
      <c r="G584" s="529"/>
      <c r="H584" s="506">
        <v>47270</v>
      </c>
      <c r="I584" s="488">
        <v>45245</v>
      </c>
      <c r="J584" s="506">
        <v>9020</v>
      </c>
      <c r="K584" s="488">
        <v>8716</v>
      </c>
      <c r="L584" s="506">
        <v>3864</v>
      </c>
      <c r="M584" s="488">
        <v>3285</v>
      </c>
      <c r="N584" s="506">
        <v>45327</v>
      </c>
      <c r="O584" s="488">
        <v>46773</v>
      </c>
      <c r="P584" s="479">
        <f t="shared" ref="P584:P647" si="265">SUM(H584,J584,L584,N584)</f>
        <v>105481</v>
      </c>
      <c r="Q584" s="480">
        <f t="shared" ref="Q584:Q647" si="266">+P584/30</f>
        <v>3516.0333333333333</v>
      </c>
      <c r="R584" s="481">
        <f t="shared" ref="R584:R647" si="267">SUM(I584,K584,M584,O584)</f>
        <v>104019</v>
      </c>
      <c r="S584" s="482">
        <f t="shared" ref="S584:S647" si="268">+R584/30</f>
        <v>3467.3</v>
      </c>
      <c r="T584" s="506">
        <v>6124</v>
      </c>
      <c r="U584" s="507">
        <v>6418</v>
      </c>
      <c r="V584" s="479">
        <f t="shared" ref="V584:V647" si="269">IF(ISBLANK(T584),0,P584)</f>
        <v>105481</v>
      </c>
      <c r="W584" s="478">
        <f t="shared" ref="W584:W647" si="270">IF(ISBLANK(U584),0,R584)</f>
        <v>104019</v>
      </c>
      <c r="X584" s="506">
        <v>30536</v>
      </c>
      <c r="Y584" s="488">
        <v>16341</v>
      </c>
      <c r="Z584" s="506">
        <v>19752</v>
      </c>
      <c r="AA584" s="488">
        <v>14243</v>
      </c>
      <c r="AB584" s="506">
        <v>27717</v>
      </c>
      <c r="AC584" s="488">
        <v>17524</v>
      </c>
      <c r="AD584" s="506">
        <v>13882</v>
      </c>
      <c r="AE584" s="507">
        <v>13093</v>
      </c>
      <c r="AF584" s="479">
        <f t="shared" ref="AF584:AF647" si="271">SUM(X584,Z584,AB584,AD584)</f>
        <v>91887</v>
      </c>
      <c r="AG584" s="480">
        <f t="shared" ref="AG584:AG647" si="272">+AF584/900</f>
        <v>102.09666666666666</v>
      </c>
      <c r="AH584" s="481">
        <f t="shared" ref="AH584:AH647" si="273">SUM(Y584,AA584,AC584,AE584)</f>
        <v>61201</v>
      </c>
      <c r="AI584" s="481">
        <f t="shared" ref="AI584:AI647" si="274">+AH584/900</f>
        <v>68.001111111111115</v>
      </c>
      <c r="AJ584" s="487"/>
      <c r="AK584" s="507"/>
      <c r="AL584" s="479">
        <f t="shared" ref="AL584:AL647" si="275">IF(ISBLANK(AJ584),0,AF584)</f>
        <v>0</v>
      </c>
      <c r="AM584" s="482">
        <f t="shared" ref="AM584:AM647" si="276">IF(ISBLANK(AK584),0,AH584)</f>
        <v>0</v>
      </c>
      <c r="AN584" s="487"/>
      <c r="AO584" s="488"/>
      <c r="AP584" s="487"/>
      <c r="AQ584" s="488"/>
      <c r="AR584" s="487"/>
      <c r="AS584" s="488"/>
      <c r="AT584" s="487"/>
      <c r="AU584" s="488"/>
      <c r="AV584" s="479">
        <f t="shared" ref="AV584:AV647" si="277">SUM(AN584,AP584,AR584,AT584)</f>
        <v>0</v>
      </c>
      <c r="AW584" s="483">
        <f t="shared" ref="AW584:AW647" si="278">+AV584/24</f>
        <v>0</v>
      </c>
      <c r="AX584" s="481">
        <f t="shared" ref="AX584:AX647" si="279">SUM(AO584,AQ584,AS584,AU584)</f>
        <v>0</v>
      </c>
      <c r="AY584" s="484">
        <f t="shared" ref="AY584:AY647" si="280">+AX584/24</f>
        <v>0</v>
      </c>
      <c r="AZ584" s="485">
        <f t="shared" ref="AZ584:AZ647" si="281">SUM(Q584,AG584,AW584)</f>
        <v>3618.13</v>
      </c>
      <c r="BA584" s="481">
        <f t="shared" ref="BA584:BA647" si="282">SUM(S584,AI584,AY584)</f>
        <v>3535.3011111111114</v>
      </c>
    </row>
    <row r="585" spans="1:53">
      <c r="A585" s="574" t="s">
        <v>273</v>
      </c>
      <c r="B585" s="609" t="s">
        <v>553</v>
      </c>
      <c r="C585" s="609"/>
      <c r="D585" s="608">
        <v>225371</v>
      </c>
      <c r="E585" s="611">
        <v>9</v>
      </c>
      <c r="F585" s="486" t="s">
        <v>41</v>
      </c>
      <c r="G585" s="529"/>
      <c r="H585" s="506">
        <v>40589</v>
      </c>
      <c r="I585" s="488">
        <v>42117</v>
      </c>
      <c r="J585" s="506">
        <v>11042</v>
      </c>
      <c r="K585" s="488">
        <v>10748</v>
      </c>
      <c r="L585" s="506">
        <v>2570</v>
      </c>
      <c r="M585" s="488">
        <v>2481</v>
      </c>
      <c r="N585" s="506">
        <v>39595</v>
      </c>
      <c r="O585" s="488">
        <v>40135</v>
      </c>
      <c r="P585" s="479">
        <f t="shared" si="265"/>
        <v>93796</v>
      </c>
      <c r="Q585" s="480">
        <f t="shared" si="266"/>
        <v>3126.5333333333333</v>
      </c>
      <c r="R585" s="481">
        <f t="shared" si="267"/>
        <v>95481</v>
      </c>
      <c r="S585" s="482">
        <f t="shared" si="268"/>
        <v>3182.7</v>
      </c>
      <c r="T585" s="506">
        <v>9460</v>
      </c>
      <c r="U585" s="507">
        <v>9983</v>
      </c>
      <c r="V585" s="479">
        <f t="shared" si="269"/>
        <v>93796</v>
      </c>
      <c r="W585" s="478">
        <f t="shared" si="270"/>
        <v>95481</v>
      </c>
      <c r="X585" s="506">
        <v>22341</v>
      </c>
      <c r="Y585" s="488">
        <v>15994</v>
      </c>
      <c r="Z585" s="506">
        <v>16733</v>
      </c>
      <c r="AA585" s="488">
        <v>6392</v>
      </c>
      <c r="AB585" s="506">
        <v>15767</v>
      </c>
      <c r="AC585" s="488">
        <v>8718</v>
      </c>
      <c r="AD585" s="506">
        <v>19476</v>
      </c>
      <c r="AE585" s="507">
        <v>12301</v>
      </c>
      <c r="AF585" s="479">
        <f t="shared" si="271"/>
        <v>74317</v>
      </c>
      <c r="AG585" s="480">
        <f t="shared" si="272"/>
        <v>82.574444444444438</v>
      </c>
      <c r="AH585" s="481">
        <f t="shared" si="273"/>
        <v>43405</v>
      </c>
      <c r="AI585" s="481">
        <f t="shared" si="274"/>
        <v>48.227777777777774</v>
      </c>
      <c r="AJ585" s="487"/>
      <c r="AK585" s="507"/>
      <c r="AL585" s="479">
        <f t="shared" si="275"/>
        <v>0</v>
      </c>
      <c r="AM585" s="482">
        <f t="shared" si="276"/>
        <v>0</v>
      </c>
      <c r="AN585" s="487"/>
      <c r="AO585" s="488"/>
      <c r="AP585" s="487"/>
      <c r="AQ585" s="488"/>
      <c r="AR585" s="487"/>
      <c r="AS585" s="488"/>
      <c r="AT585" s="487"/>
      <c r="AU585" s="488"/>
      <c r="AV585" s="479">
        <f t="shared" si="277"/>
        <v>0</v>
      </c>
      <c r="AW585" s="483">
        <f t="shared" si="278"/>
        <v>0</v>
      </c>
      <c r="AX585" s="481">
        <f t="shared" si="279"/>
        <v>0</v>
      </c>
      <c r="AY585" s="484">
        <f t="shared" si="280"/>
        <v>0</v>
      </c>
      <c r="AZ585" s="485">
        <f t="shared" si="281"/>
        <v>3209.1077777777778</v>
      </c>
      <c r="BA585" s="481">
        <f t="shared" si="282"/>
        <v>3230.9277777777775</v>
      </c>
    </row>
    <row r="586" spans="1:53">
      <c r="A586" s="574" t="s">
        <v>273</v>
      </c>
      <c r="B586" s="621" t="s">
        <v>554</v>
      </c>
      <c r="C586" s="621"/>
      <c r="D586" s="608">
        <v>225520</v>
      </c>
      <c r="E586" s="611">
        <v>9</v>
      </c>
      <c r="F586" s="486" t="s">
        <v>41</v>
      </c>
      <c r="G586" s="529"/>
      <c r="H586" s="506">
        <v>36024</v>
      </c>
      <c r="I586" s="488">
        <v>33447</v>
      </c>
      <c r="J586" s="506">
        <v>6073</v>
      </c>
      <c r="K586" s="488">
        <v>4869</v>
      </c>
      <c r="L586" s="506">
        <v>2414</v>
      </c>
      <c r="M586" s="488">
        <v>1850</v>
      </c>
      <c r="N586" s="506">
        <v>36339</v>
      </c>
      <c r="O586" s="488">
        <v>32035</v>
      </c>
      <c r="P586" s="479">
        <f t="shared" si="265"/>
        <v>80850</v>
      </c>
      <c r="Q586" s="480">
        <f t="shared" si="266"/>
        <v>2695</v>
      </c>
      <c r="R586" s="481">
        <f t="shared" si="267"/>
        <v>72201</v>
      </c>
      <c r="S586" s="482">
        <f t="shared" si="268"/>
        <v>2406.6999999999998</v>
      </c>
      <c r="T586" s="506">
        <v>15363</v>
      </c>
      <c r="U586" s="507">
        <v>15529</v>
      </c>
      <c r="V586" s="479">
        <f t="shared" si="269"/>
        <v>80850</v>
      </c>
      <c r="W586" s="478">
        <f t="shared" si="270"/>
        <v>72201</v>
      </c>
      <c r="X586" s="506">
        <v>152001</v>
      </c>
      <c r="Y586" s="488">
        <v>144936</v>
      </c>
      <c r="Z586" s="506">
        <v>158222</v>
      </c>
      <c r="AA586" s="488">
        <v>179106</v>
      </c>
      <c r="AB586" s="506">
        <v>172275</v>
      </c>
      <c r="AC586" s="488">
        <v>158654</v>
      </c>
      <c r="AD586" s="506">
        <v>156967</v>
      </c>
      <c r="AE586" s="507">
        <v>166090</v>
      </c>
      <c r="AF586" s="479">
        <f t="shared" si="271"/>
        <v>639465</v>
      </c>
      <c r="AG586" s="480">
        <f t="shared" si="272"/>
        <v>710.51666666666665</v>
      </c>
      <c r="AH586" s="481">
        <f t="shared" si="273"/>
        <v>648786</v>
      </c>
      <c r="AI586" s="481">
        <f t="shared" si="274"/>
        <v>720.87333333333333</v>
      </c>
      <c r="AJ586" s="487"/>
      <c r="AK586" s="507"/>
      <c r="AL586" s="479">
        <f t="shared" si="275"/>
        <v>0</v>
      </c>
      <c r="AM586" s="482">
        <f t="shared" si="276"/>
        <v>0</v>
      </c>
      <c r="AN586" s="487"/>
      <c r="AO586" s="488"/>
      <c r="AP586" s="487"/>
      <c r="AQ586" s="488"/>
      <c r="AR586" s="487"/>
      <c r="AS586" s="488"/>
      <c r="AT586" s="487"/>
      <c r="AU586" s="488"/>
      <c r="AV586" s="479">
        <f t="shared" si="277"/>
        <v>0</v>
      </c>
      <c r="AW586" s="483">
        <f t="shared" si="278"/>
        <v>0</v>
      </c>
      <c r="AX586" s="481">
        <f t="shared" si="279"/>
        <v>0</v>
      </c>
      <c r="AY586" s="484">
        <f t="shared" si="280"/>
        <v>0</v>
      </c>
      <c r="AZ586" s="485">
        <f t="shared" si="281"/>
        <v>3405.5166666666664</v>
      </c>
      <c r="BA586" s="481">
        <f t="shared" si="282"/>
        <v>3127.5733333333333</v>
      </c>
    </row>
    <row r="587" spans="1:53">
      <c r="A587" s="574" t="s">
        <v>273</v>
      </c>
      <c r="B587" s="609" t="s">
        <v>555</v>
      </c>
      <c r="C587" s="609"/>
      <c r="D587" s="612">
        <v>441760</v>
      </c>
      <c r="E587" s="613">
        <v>9</v>
      </c>
      <c r="F587" s="486" t="s">
        <v>41</v>
      </c>
      <c r="G587" s="529"/>
      <c r="H587" s="506">
        <v>26870</v>
      </c>
      <c r="I587" s="488">
        <v>25665</v>
      </c>
      <c r="J587" s="506">
        <v>2273</v>
      </c>
      <c r="K587" s="488">
        <v>4392</v>
      </c>
      <c r="L587" s="506">
        <v>1662</v>
      </c>
      <c r="M587" s="488">
        <v>0</v>
      </c>
      <c r="N587" s="506">
        <v>28553</v>
      </c>
      <c r="O587" s="488">
        <v>27421</v>
      </c>
      <c r="P587" s="479">
        <f t="shared" si="265"/>
        <v>59358</v>
      </c>
      <c r="Q587" s="480">
        <f t="shared" si="266"/>
        <v>1978.6</v>
      </c>
      <c r="R587" s="481">
        <f t="shared" si="267"/>
        <v>57478</v>
      </c>
      <c r="S587" s="482">
        <f t="shared" si="268"/>
        <v>1915.9333333333334</v>
      </c>
      <c r="T587" s="506">
        <v>1058</v>
      </c>
      <c r="U587" s="507">
        <v>1848</v>
      </c>
      <c r="V587" s="479">
        <f t="shared" si="269"/>
        <v>59358</v>
      </c>
      <c r="W587" s="478">
        <f t="shared" si="270"/>
        <v>57478</v>
      </c>
      <c r="X587" s="506">
        <v>23149</v>
      </c>
      <c r="Y587" s="488">
        <v>27867</v>
      </c>
      <c r="Z587" s="506">
        <v>26021</v>
      </c>
      <c r="AA587" s="488">
        <v>34349</v>
      </c>
      <c r="AB587" s="506">
        <v>29386</v>
      </c>
      <c r="AC587" s="488">
        <v>34766</v>
      </c>
      <c r="AD587" s="506">
        <v>42880</v>
      </c>
      <c r="AE587" s="507">
        <v>31407</v>
      </c>
      <c r="AF587" s="479">
        <f t="shared" si="271"/>
        <v>121436</v>
      </c>
      <c r="AG587" s="480">
        <f t="shared" si="272"/>
        <v>134.92888888888888</v>
      </c>
      <c r="AH587" s="481">
        <f t="shared" si="273"/>
        <v>128389</v>
      </c>
      <c r="AI587" s="481">
        <f t="shared" si="274"/>
        <v>142.65444444444444</v>
      </c>
      <c r="AJ587" s="487"/>
      <c r="AK587" s="507"/>
      <c r="AL587" s="479">
        <f t="shared" si="275"/>
        <v>0</v>
      </c>
      <c r="AM587" s="482">
        <f t="shared" si="276"/>
        <v>0</v>
      </c>
      <c r="AN587" s="487"/>
      <c r="AO587" s="488"/>
      <c r="AP587" s="487"/>
      <c r="AQ587" s="488"/>
      <c r="AR587" s="487"/>
      <c r="AS587" s="488"/>
      <c r="AT587" s="487"/>
      <c r="AU587" s="488"/>
      <c r="AV587" s="479">
        <f t="shared" si="277"/>
        <v>0</v>
      </c>
      <c r="AW587" s="483">
        <f t="shared" si="278"/>
        <v>0</v>
      </c>
      <c r="AX587" s="481">
        <f t="shared" si="279"/>
        <v>0</v>
      </c>
      <c r="AY587" s="484">
        <f t="shared" si="280"/>
        <v>0</v>
      </c>
      <c r="AZ587" s="485">
        <f t="shared" si="281"/>
        <v>2113.528888888889</v>
      </c>
      <c r="BA587" s="481">
        <f t="shared" si="282"/>
        <v>2058.5877777777778</v>
      </c>
    </row>
    <row r="588" spans="1:53">
      <c r="A588" s="574" t="s">
        <v>273</v>
      </c>
      <c r="B588" s="609" t="s">
        <v>556</v>
      </c>
      <c r="C588" s="609"/>
      <c r="D588" s="612">
        <v>226116</v>
      </c>
      <c r="E588" s="663">
        <v>9</v>
      </c>
      <c r="F588" s="486" t="s">
        <v>41</v>
      </c>
      <c r="G588" s="529"/>
      <c r="H588" s="506">
        <v>24987</v>
      </c>
      <c r="I588" s="488">
        <v>28861</v>
      </c>
      <c r="J588" s="506">
        <v>8681</v>
      </c>
      <c r="K588" s="488">
        <v>12076</v>
      </c>
      <c r="L588" s="506">
        <v>4534</v>
      </c>
      <c r="M588" s="488">
        <v>3835</v>
      </c>
      <c r="N588" s="506">
        <v>23547</v>
      </c>
      <c r="O588" s="488">
        <v>22087</v>
      </c>
      <c r="P588" s="479">
        <f t="shared" si="265"/>
        <v>61749</v>
      </c>
      <c r="Q588" s="480">
        <f t="shared" si="266"/>
        <v>2058.3000000000002</v>
      </c>
      <c r="R588" s="481">
        <f t="shared" si="267"/>
        <v>66859</v>
      </c>
      <c r="S588" s="482">
        <f t="shared" si="268"/>
        <v>2228.6333333333332</v>
      </c>
      <c r="T588" s="506">
        <v>2051</v>
      </c>
      <c r="U588" s="507">
        <v>1993</v>
      </c>
      <c r="V588" s="479">
        <f t="shared" si="269"/>
        <v>61749</v>
      </c>
      <c r="W588" s="478">
        <f t="shared" si="270"/>
        <v>66859</v>
      </c>
      <c r="X588" s="506">
        <v>85340</v>
      </c>
      <c r="Y588" s="488">
        <v>73200</v>
      </c>
      <c r="Z588" s="506">
        <v>57968</v>
      </c>
      <c r="AA588" s="488">
        <v>49680</v>
      </c>
      <c r="AB588" s="506">
        <v>85216</v>
      </c>
      <c r="AC588" s="488">
        <v>80236</v>
      </c>
      <c r="AD588" s="506">
        <v>81824</v>
      </c>
      <c r="AE588" s="507">
        <v>80000</v>
      </c>
      <c r="AF588" s="479">
        <f t="shared" si="271"/>
        <v>310348</v>
      </c>
      <c r="AG588" s="480">
        <f t="shared" si="272"/>
        <v>344.83111111111111</v>
      </c>
      <c r="AH588" s="481">
        <f t="shared" si="273"/>
        <v>283116</v>
      </c>
      <c r="AI588" s="481">
        <f t="shared" si="274"/>
        <v>314.57333333333332</v>
      </c>
      <c r="AJ588" s="487"/>
      <c r="AK588" s="507"/>
      <c r="AL588" s="479">
        <f t="shared" si="275"/>
        <v>0</v>
      </c>
      <c r="AM588" s="482">
        <f t="shared" si="276"/>
        <v>0</v>
      </c>
      <c r="AN588" s="487"/>
      <c r="AO588" s="488"/>
      <c r="AP588" s="487"/>
      <c r="AQ588" s="488"/>
      <c r="AR588" s="487"/>
      <c r="AS588" s="488"/>
      <c r="AT588" s="487"/>
      <c r="AU588" s="488"/>
      <c r="AV588" s="479">
        <f t="shared" si="277"/>
        <v>0</v>
      </c>
      <c r="AW588" s="483">
        <f t="shared" si="278"/>
        <v>0</v>
      </c>
      <c r="AX588" s="481">
        <f t="shared" si="279"/>
        <v>0</v>
      </c>
      <c r="AY588" s="484">
        <f t="shared" si="280"/>
        <v>0</v>
      </c>
      <c r="AZ588" s="485">
        <f t="shared" si="281"/>
        <v>2403.1311111111113</v>
      </c>
      <c r="BA588" s="481">
        <f t="shared" si="282"/>
        <v>2543.2066666666665</v>
      </c>
    </row>
    <row r="589" spans="1:53">
      <c r="A589" s="574" t="s">
        <v>273</v>
      </c>
      <c r="B589" s="609" t="s">
        <v>557</v>
      </c>
      <c r="C589" s="609"/>
      <c r="D589" s="608">
        <v>226204</v>
      </c>
      <c r="E589" s="611">
        <v>9</v>
      </c>
      <c r="F589" s="486" t="s">
        <v>41</v>
      </c>
      <c r="G589" s="529"/>
      <c r="H589" s="506">
        <v>54138</v>
      </c>
      <c r="I589" s="488">
        <v>50680</v>
      </c>
      <c r="J589" s="506">
        <v>20018</v>
      </c>
      <c r="K589" s="488">
        <v>20797</v>
      </c>
      <c r="L589" s="506">
        <v>2729</v>
      </c>
      <c r="M589" s="488">
        <v>2454</v>
      </c>
      <c r="N589" s="506">
        <v>50018</v>
      </c>
      <c r="O589" s="488">
        <v>49885</v>
      </c>
      <c r="P589" s="479">
        <f t="shared" si="265"/>
        <v>126903</v>
      </c>
      <c r="Q589" s="480">
        <f t="shared" si="266"/>
        <v>4230.1000000000004</v>
      </c>
      <c r="R589" s="481">
        <f t="shared" si="267"/>
        <v>123816</v>
      </c>
      <c r="S589" s="482">
        <f t="shared" si="268"/>
        <v>4127.2</v>
      </c>
      <c r="T589" s="506">
        <v>9643</v>
      </c>
      <c r="U589" s="507">
        <v>11868</v>
      </c>
      <c r="V589" s="479">
        <f t="shared" si="269"/>
        <v>126903</v>
      </c>
      <c r="W589" s="478">
        <f t="shared" si="270"/>
        <v>123816</v>
      </c>
      <c r="X589" s="506">
        <v>20557</v>
      </c>
      <c r="Y589" s="488">
        <v>21350</v>
      </c>
      <c r="Z589" s="506">
        <v>21350</v>
      </c>
      <c r="AA589" s="488">
        <v>14702</v>
      </c>
      <c r="AB589" s="506">
        <v>17850</v>
      </c>
      <c r="AC589" s="488">
        <v>19924</v>
      </c>
      <c r="AD589" s="506">
        <v>26603</v>
      </c>
      <c r="AE589" s="507">
        <v>22679</v>
      </c>
      <c r="AF589" s="479">
        <f t="shared" si="271"/>
        <v>86360</v>
      </c>
      <c r="AG589" s="480">
        <f t="shared" si="272"/>
        <v>95.955555555555549</v>
      </c>
      <c r="AH589" s="481">
        <f t="shared" si="273"/>
        <v>78655</v>
      </c>
      <c r="AI589" s="481">
        <f t="shared" si="274"/>
        <v>87.394444444444446</v>
      </c>
      <c r="AJ589" s="487"/>
      <c r="AK589" s="507"/>
      <c r="AL589" s="479">
        <f t="shared" si="275"/>
        <v>0</v>
      </c>
      <c r="AM589" s="482">
        <f t="shared" si="276"/>
        <v>0</v>
      </c>
      <c r="AN589" s="487"/>
      <c r="AO589" s="488"/>
      <c r="AP589" s="487"/>
      <c r="AQ589" s="488"/>
      <c r="AR589" s="487"/>
      <c r="AS589" s="488"/>
      <c r="AT589" s="487"/>
      <c r="AU589" s="488"/>
      <c r="AV589" s="479">
        <f t="shared" si="277"/>
        <v>0</v>
      </c>
      <c r="AW589" s="483">
        <f t="shared" si="278"/>
        <v>0</v>
      </c>
      <c r="AX589" s="481">
        <f t="shared" si="279"/>
        <v>0</v>
      </c>
      <c r="AY589" s="484">
        <f t="shared" si="280"/>
        <v>0</v>
      </c>
      <c r="AZ589" s="485">
        <f t="shared" si="281"/>
        <v>4326.0555555555557</v>
      </c>
      <c r="BA589" s="481">
        <f t="shared" si="282"/>
        <v>4214.594444444444</v>
      </c>
    </row>
    <row r="590" spans="1:53">
      <c r="A590" s="574" t="s">
        <v>273</v>
      </c>
      <c r="B590" s="620" t="s">
        <v>558</v>
      </c>
      <c r="C590" s="620"/>
      <c r="D590" s="608">
        <v>226930</v>
      </c>
      <c r="E590" s="611">
        <v>9</v>
      </c>
      <c r="F590" s="486" t="s">
        <v>41</v>
      </c>
      <c r="G590" s="529"/>
      <c r="H590" s="506">
        <v>58036</v>
      </c>
      <c r="I590" s="488">
        <v>56639</v>
      </c>
      <c r="J590" s="506">
        <v>26299</v>
      </c>
      <c r="K590" s="488">
        <v>28994</v>
      </c>
      <c r="L590" s="506">
        <v>0</v>
      </c>
      <c r="M590" s="488">
        <v>0</v>
      </c>
      <c r="N590" s="506">
        <v>56870</v>
      </c>
      <c r="O590" s="488">
        <v>53347</v>
      </c>
      <c r="P590" s="479">
        <f t="shared" si="265"/>
        <v>141205</v>
      </c>
      <c r="Q590" s="480">
        <f t="shared" si="266"/>
        <v>4706.833333333333</v>
      </c>
      <c r="R590" s="481">
        <f t="shared" si="267"/>
        <v>138980</v>
      </c>
      <c r="S590" s="482">
        <f t="shared" si="268"/>
        <v>4632.666666666667</v>
      </c>
      <c r="T590" s="506">
        <v>9700</v>
      </c>
      <c r="U590" s="507">
        <v>8911</v>
      </c>
      <c r="V590" s="479">
        <f t="shared" si="269"/>
        <v>141205</v>
      </c>
      <c r="W590" s="478">
        <f t="shared" si="270"/>
        <v>138980</v>
      </c>
      <c r="X590" s="506">
        <v>21474</v>
      </c>
      <c r="Y590" s="488">
        <v>24781</v>
      </c>
      <c r="Z590" s="506">
        <v>34906</v>
      </c>
      <c r="AA590" s="488">
        <v>29198</v>
      </c>
      <c r="AB590" s="506">
        <v>26101</v>
      </c>
      <c r="AC590" s="488">
        <v>40857</v>
      </c>
      <c r="AD590" s="506">
        <v>32599</v>
      </c>
      <c r="AE590" s="507">
        <v>32275</v>
      </c>
      <c r="AF590" s="479">
        <f t="shared" si="271"/>
        <v>115080</v>
      </c>
      <c r="AG590" s="480">
        <f t="shared" si="272"/>
        <v>127.86666666666666</v>
      </c>
      <c r="AH590" s="481">
        <f t="shared" si="273"/>
        <v>127111</v>
      </c>
      <c r="AI590" s="481">
        <f t="shared" si="274"/>
        <v>141.23444444444445</v>
      </c>
      <c r="AJ590" s="487"/>
      <c r="AK590" s="507"/>
      <c r="AL590" s="479">
        <f t="shared" si="275"/>
        <v>0</v>
      </c>
      <c r="AM590" s="482">
        <f t="shared" si="276"/>
        <v>0</v>
      </c>
      <c r="AN590" s="487"/>
      <c r="AO590" s="488"/>
      <c r="AP590" s="487"/>
      <c r="AQ590" s="488"/>
      <c r="AR590" s="487"/>
      <c r="AS590" s="488"/>
      <c r="AT590" s="487"/>
      <c r="AU590" s="488"/>
      <c r="AV590" s="479">
        <f t="shared" si="277"/>
        <v>0</v>
      </c>
      <c r="AW590" s="483">
        <f t="shared" si="278"/>
        <v>0</v>
      </c>
      <c r="AX590" s="481">
        <f t="shared" si="279"/>
        <v>0</v>
      </c>
      <c r="AY590" s="484">
        <f t="shared" si="280"/>
        <v>0</v>
      </c>
      <c r="AZ590" s="485">
        <f t="shared" si="281"/>
        <v>4834.7</v>
      </c>
      <c r="BA590" s="481">
        <f t="shared" si="282"/>
        <v>4773.9011111111113</v>
      </c>
    </row>
    <row r="591" spans="1:53">
      <c r="A591" s="574" t="s">
        <v>273</v>
      </c>
      <c r="B591" s="549" t="s">
        <v>559</v>
      </c>
      <c r="C591" s="549"/>
      <c r="D591" s="608">
        <v>227225</v>
      </c>
      <c r="E591" s="606">
        <v>9</v>
      </c>
      <c r="F591" s="486" t="s">
        <v>41</v>
      </c>
      <c r="G591" s="529"/>
      <c r="H591" s="506">
        <v>31558</v>
      </c>
      <c r="I591" s="488">
        <v>29247</v>
      </c>
      <c r="J591" s="506">
        <v>5728</v>
      </c>
      <c r="K591" s="488">
        <v>5411</v>
      </c>
      <c r="L591" s="506">
        <v>0</v>
      </c>
      <c r="M591" s="488">
        <v>0</v>
      </c>
      <c r="N591" s="506">
        <v>33767</v>
      </c>
      <c r="O591" s="488">
        <v>32842</v>
      </c>
      <c r="P591" s="479">
        <f t="shared" si="265"/>
        <v>71053</v>
      </c>
      <c r="Q591" s="480">
        <f t="shared" si="266"/>
        <v>2368.4333333333334</v>
      </c>
      <c r="R591" s="481">
        <f t="shared" si="267"/>
        <v>67500</v>
      </c>
      <c r="S591" s="482">
        <f t="shared" si="268"/>
        <v>2250</v>
      </c>
      <c r="T591" s="506">
        <v>5934</v>
      </c>
      <c r="U591" s="507">
        <v>5903</v>
      </c>
      <c r="V591" s="479">
        <f t="shared" si="269"/>
        <v>71053</v>
      </c>
      <c r="W591" s="478">
        <f t="shared" si="270"/>
        <v>67500</v>
      </c>
      <c r="X591" s="506">
        <v>7603</v>
      </c>
      <c r="Y591" s="488">
        <v>2573</v>
      </c>
      <c r="Z591" s="506">
        <v>11226</v>
      </c>
      <c r="AA591" s="488">
        <v>8931</v>
      </c>
      <c r="AB591" s="506">
        <v>6775</v>
      </c>
      <c r="AC591" s="488">
        <v>8669</v>
      </c>
      <c r="AD591" s="506">
        <v>3661</v>
      </c>
      <c r="AE591" s="507">
        <v>944</v>
      </c>
      <c r="AF591" s="479">
        <f t="shared" si="271"/>
        <v>29265</v>
      </c>
      <c r="AG591" s="480">
        <f t="shared" si="272"/>
        <v>32.516666666666666</v>
      </c>
      <c r="AH591" s="481">
        <f t="shared" si="273"/>
        <v>21117</v>
      </c>
      <c r="AI591" s="481">
        <f t="shared" si="274"/>
        <v>23.463333333333335</v>
      </c>
      <c r="AJ591" s="487"/>
      <c r="AK591" s="507"/>
      <c r="AL591" s="479">
        <f t="shared" si="275"/>
        <v>0</v>
      </c>
      <c r="AM591" s="482">
        <f t="shared" si="276"/>
        <v>0</v>
      </c>
      <c r="AN591" s="487"/>
      <c r="AO591" s="488"/>
      <c r="AP591" s="487"/>
      <c r="AQ591" s="488"/>
      <c r="AR591" s="487"/>
      <c r="AS591" s="488"/>
      <c r="AT591" s="487"/>
      <c r="AU591" s="488"/>
      <c r="AV591" s="479">
        <f t="shared" si="277"/>
        <v>0</v>
      </c>
      <c r="AW591" s="483">
        <f t="shared" si="278"/>
        <v>0</v>
      </c>
      <c r="AX591" s="481">
        <f t="shared" si="279"/>
        <v>0</v>
      </c>
      <c r="AY591" s="484">
        <f t="shared" si="280"/>
        <v>0</v>
      </c>
      <c r="AZ591" s="485">
        <f t="shared" si="281"/>
        <v>2400.9500000000003</v>
      </c>
      <c r="BA591" s="481">
        <f t="shared" si="282"/>
        <v>2273.4633333333331</v>
      </c>
    </row>
    <row r="592" spans="1:53">
      <c r="A592" s="574" t="s">
        <v>273</v>
      </c>
      <c r="B592" s="609" t="s">
        <v>560</v>
      </c>
      <c r="C592" s="609"/>
      <c r="D592" s="608">
        <v>227304</v>
      </c>
      <c r="E592" s="611">
        <v>9</v>
      </c>
      <c r="F592" s="486" t="s">
        <v>41</v>
      </c>
      <c r="G592" s="529"/>
      <c r="H592" s="506">
        <v>39644</v>
      </c>
      <c r="I592" s="488">
        <v>39479</v>
      </c>
      <c r="J592" s="506">
        <v>7411</v>
      </c>
      <c r="K592" s="488">
        <v>7079</v>
      </c>
      <c r="L592" s="506">
        <v>5157</v>
      </c>
      <c r="M592" s="488">
        <v>5528</v>
      </c>
      <c r="N592" s="506">
        <v>41428</v>
      </c>
      <c r="O592" s="488">
        <v>40070</v>
      </c>
      <c r="P592" s="479">
        <f t="shared" si="265"/>
        <v>93640</v>
      </c>
      <c r="Q592" s="480">
        <f t="shared" si="266"/>
        <v>3121.3333333333335</v>
      </c>
      <c r="R592" s="481">
        <f t="shared" si="267"/>
        <v>92156</v>
      </c>
      <c r="S592" s="482">
        <f t="shared" si="268"/>
        <v>3071.8666666666668</v>
      </c>
      <c r="T592" s="506">
        <v>10932</v>
      </c>
      <c r="U592" s="507">
        <v>12039</v>
      </c>
      <c r="V592" s="479">
        <f t="shared" si="269"/>
        <v>93640</v>
      </c>
      <c r="W592" s="478">
        <f t="shared" si="270"/>
        <v>92156</v>
      </c>
      <c r="X592" s="506">
        <v>87062</v>
      </c>
      <c r="Y592" s="488">
        <v>63553</v>
      </c>
      <c r="Z592" s="506">
        <v>69155</v>
      </c>
      <c r="AA592" s="488">
        <v>69525</v>
      </c>
      <c r="AB592" s="506">
        <v>76886</v>
      </c>
      <c r="AC592" s="488">
        <v>49736</v>
      </c>
      <c r="AD592" s="506">
        <v>75192</v>
      </c>
      <c r="AE592" s="507">
        <v>74381</v>
      </c>
      <c r="AF592" s="479">
        <f t="shared" si="271"/>
        <v>308295</v>
      </c>
      <c r="AG592" s="480">
        <f t="shared" si="272"/>
        <v>342.55</v>
      </c>
      <c r="AH592" s="481">
        <f t="shared" si="273"/>
        <v>257195</v>
      </c>
      <c r="AI592" s="481">
        <f t="shared" si="274"/>
        <v>285.77222222222224</v>
      </c>
      <c r="AJ592" s="487"/>
      <c r="AK592" s="507"/>
      <c r="AL592" s="479">
        <f t="shared" si="275"/>
        <v>0</v>
      </c>
      <c r="AM592" s="482">
        <f t="shared" si="276"/>
        <v>0</v>
      </c>
      <c r="AN592" s="487"/>
      <c r="AO592" s="488"/>
      <c r="AP592" s="487"/>
      <c r="AQ592" s="488"/>
      <c r="AR592" s="487"/>
      <c r="AS592" s="488"/>
      <c r="AT592" s="487"/>
      <c r="AU592" s="488"/>
      <c r="AV592" s="479">
        <f t="shared" si="277"/>
        <v>0</v>
      </c>
      <c r="AW592" s="483">
        <f t="shared" si="278"/>
        <v>0</v>
      </c>
      <c r="AX592" s="481">
        <f t="shared" si="279"/>
        <v>0</v>
      </c>
      <c r="AY592" s="484">
        <f t="shared" si="280"/>
        <v>0</v>
      </c>
      <c r="AZ592" s="485">
        <f t="shared" si="281"/>
        <v>3463.8833333333337</v>
      </c>
      <c r="BA592" s="481">
        <f t="shared" si="282"/>
        <v>3357.6388888888891</v>
      </c>
    </row>
    <row r="593" spans="1:53">
      <c r="A593" s="574" t="s">
        <v>273</v>
      </c>
      <c r="B593" s="609" t="s">
        <v>561</v>
      </c>
      <c r="C593" s="609"/>
      <c r="D593" s="608">
        <v>227401</v>
      </c>
      <c r="E593" s="611">
        <v>9</v>
      </c>
      <c r="F593" s="486" t="s">
        <v>41</v>
      </c>
      <c r="G593" s="529"/>
      <c r="H593" s="506">
        <v>54685</v>
      </c>
      <c r="I593" s="488">
        <v>47677</v>
      </c>
      <c r="J593" s="506">
        <v>9909</v>
      </c>
      <c r="K593" s="488">
        <v>10265</v>
      </c>
      <c r="L593" s="506">
        <v>4176</v>
      </c>
      <c r="M593" s="488">
        <v>3729</v>
      </c>
      <c r="N593" s="506">
        <v>52700</v>
      </c>
      <c r="O593" s="488">
        <v>51682</v>
      </c>
      <c r="P593" s="479">
        <f t="shared" si="265"/>
        <v>121470</v>
      </c>
      <c r="Q593" s="480">
        <f t="shared" si="266"/>
        <v>4049</v>
      </c>
      <c r="R593" s="481">
        <f t="shared" si="267"/>
        <v>113353</v>
      </c>
      <c r="S593" s="482">
        <f t="shared" si="268"/>
        <v>3778.4333333333334</v>
      </c>
      <c r="T593" s="506">
        <v>12380</v>
      </c>
      <c r="U593" s="507">
        <v>14002</v>
      </c>
      <c r="V593" s="479">
        <f t="shared" si="269"/>
        <v>121470</v>
      </c>
      <c r="W593" s="478">
        <f t="shared" si="270"/>
        <v>113353</v>
      </c>
      <c r="X593" s="506">
        <v>20160</v>
      </c>
      <c r="Y593" s="488">
        <v>30249</v>
      </c>
      <c r="Z593" s="506">
        <v>28023</v>
      </c>
      <c r="AA593" s="488">
        <v>19011</v>
      </c>
      <c r="AB593" s="506">
        <v>12471</v>
      </c>
      <c r="AC593" s="488">
        <v>19927</v>
      </c>
      <c r="AD593" s="506">
        <v>18601</v>
      </c>
      <c r="AE593" s="507">
        <v>36404</v>
      </c>
      <c r="AF593" s="479">
        <f t="shared" si="271"/>
        <v>79255</v>
      </c>
      <c r="AG593" s="480">
        <f t="shared" si="272"/>
        <v>88.061111111111117</v>
      </c>
      <c r="AH593" s="481">
        <f t="shared" si="273"/>
        <v>105591</v>
      </c>
      <c r="AI593" s="481">
        <f t="shared" si="274"/>
        <v>117.32333333333334</v>
      </c>
      <c r="AJ593" s="487"/>
      <c r="AK593" s="507"/>
      <c r="AL593" s="479">
        <f t="shared" si="275"/>
        <v>0</v>
      </c>
      <c r="AM593" s="482">
        <f t="shared" si="276"/>
        <v>0</v>
      </c>
      <c r="AN593" s="487"/>
      <c r="AO593" s="488"/>
      <c r="AP593" s="487"/>
      <c r="AQ593" s="488"/>
      <c r="AR593" s="487"/>
      <c r="AS593" s="488"/>
      <c r="AT593" s="487"/>
      <c r="AU593" s="488"/>
      <c r="AV593" s="479">
        <f t="shared" si="277"/>
        <v>0</v>
      </c>
      <c r="AW593" s="483">
        <f t="shared" si="278"/>
        <v>0</v>
      </c>
      <c r="AX593" s="481">
        <f t="shared" si="279"/>
        <v>0</v>
      </c>
      <c r="AY593" s="484">
        <f t="shared" si="280"/>
        <v>0</v>
      </c>
      <c r="AZ593" s="485">
        <f t="shared" si="281"/>
        <v>4137.0611111111111</v>
      </c>
      <c r="BA593" s="481">
        <f t="shared" si="282"/>
        <v>3895.7566666666667</v>
      </c>
    </row>
    <row r="594" spans="1:53">
      <c r="A594" s="574" t="s">
        <v>273</v>
      </c>
      <c r="B594" s="609" t="s">
        <v>562</v>
      </c>
      <c r="C594" s="609"/>
      <c r="D594" s="608">
        <v>228316</v>
      </c>
      <c r="E594" s="611">
        <v>9</v>
      </c>
      <c r="F594" s="486" t="s">
        <v>41</v>
      </c>
      <c r="G594" s="529"/>
      <c r="H594" s="506">
        <v>44321</v>
      </c>
      <c r="I594" s="488">
        <v>44737</v>
      </c>
      <c r="J594" s="506">
        <v>6943</v>
      </c>
      <c r="K594" s="488">
        <v>7549</v>
      </c>
      <c r="L594" s="506">
        <v>3398</v>
      </c>
      <c r="M594" s="488">
        <v>3571</v>
      </c>
      <c r="N594" s="506">
        <v>49884</v>
      </c>
      <c r="O594" s="488">
        <v>46326</v>
      </c>
      <c r="P594" s="479">
        <f t="shared" si="265"/>
        <v>104546</v>
      </c>
      <c r="Q594" s="480">
        <f t="shared" si="266"/>
        <v>3484.8666666666668</v>
      </c>
      <c r="R594" s="481">
        <f t="shared" si="267"/>
        <v>102183</v>
      </c>
      <c r="S594" s="482">
        <f t="shared" si="268"/>
        <v>3406.1</v>
      </c>
      <c r="T594" s="506">
        <v>15590</v>
      </c>
      <c r="U594" s="507">
        <v>16149</v>
      </c>
      <c r="V594" s="479">
        <f t="shared" si="269"/>
        <v>104546</v>
      </c>
      <c r="W594" s="478">
        <f t="shared" si="270"/>
        <v>102183</v>
      </c>
      <c r="X594" s="506">
        <v>23806</v>
      </c>
      <c r="Y594" s="488">
        <v>68895</v>
      </c>
      <c r="Z594" s="506">
        <v>46101</v>
      </c>
      <c r="AA594" s="488">
        <v>23866</v>
      </c>
      <c r="AB594" s="506">
        <v>33059</v>
      </c>
      <c r="AC594" s="488">
        <v>37668</v>
      </c>
      <c r="AD594" s="506">
        <v>31338</v>
      </c>
      <c r="AE594" s="507">
        <v>23769</v>
      </c>
      <c r="AF594" s="479">
        <f t="shared" si="271"/>
        <v>134304</v>
      </c>
      <c r="AG594" s="480">
        <f t="shared" si="272"/>
        <v>149.22666666666666</v>
      </c>
      <c r="AH594" s="481">
        <f t="shared" si="273"/>
        <v>154198</v>
      </c>
      <c r="AI594" s="481">
        <f t="shared" si="274"/>
        <v>171.33111111111111</v>
      </c>
      <c r="AJ594" s="487"/>
      <c r="AK594" s="507"/>
      <c r="AL594" s="479">
        <f t="shared" si="275"/>
        <v>0</v>
      </c>
      <c r="AM594" s="482">
        <f t="shared" si="276"/>
        <v>0</v>
      </c>
      <c r="AN594" s="487"/>
      <c r="AO594" s="488"/>
      <c r="AP594" s="487"/>
      <c r="AQ594" s="488"/>
      <c r="AR594" s="487"/>
      <c r="AS594" s="488"/>
      <c r="AT594" s="487"/>
      <c r="AU594" s="488"/>
      <c r="AV594" s="479">
        <f t="shared" si="277"/>
        <v>0</v>
      </c>
      <c r="AW594" s="483">
        <f t="shared" si="278"/>
        <v>0</v>
      </c>
      <c r="AX594" s="481">
        <f t="shared" si="279"/>
        <v>0</v>
      </c>
      <c r="AY594" s="484">
        <f t="shared" si="280"/>
        <v>0</v>
      </c>
      <c r="AZ594" s="485">
        <f t="shared" si="281"/>
        <v>3634.0933333333332</v>
      </c>
      <c r="BA594" s="481">
        <f t="shared" si="282"/>
        <v>3577.431111111111</v>
      </c>
    </row>
    <row r="595" spans="1:53">
      <c r="A595" s="574" t="s">
        <v>273</v>
      </c>
      <c r="B595" s="609" t="s">
        <v>563</v>
      </c>
      <c r="C595" s="609"/>
      <c r="D595" s="608">
        <v>228608</v>
      </c>
      <c r="E595" s="611">
        <v>9</v>
      </c>
      <c r="F595" s="486" t="s">
        <v>41</v>
      </c>
      <c r="G595" s="529"/>
      <c r="H595" s="506">
        <v>49675</v>
      </c>
      <c r="I595" s="488">
        <v>47922</v>
      </c>
      <c r="J595" s="506">
        <v>13686</v>
      </c>
      <c r="K595" s="488">
        <v>14085</v>
      </c>
      <c r="L595" s="506">
        <v>0</v>
      </c>
      <c r="M595" s="488">
        <v>0</v>
      </c>
      <c r="N595" s="506">
        <v>50271</v>
      </c>
      <c r="O595" s="488">
        <v>51027</v>
      </c>
      <c r="P595" s="479">
        <f t="shared" si="265"/>
        <v>113632</v>
      </c>
      <c r="Q595" s="480">
        <f t="shared" si="266"/>
        <v>3787.7333333333331</v>
      </c>
      <c r="R595" s="481">
        <f t="shared" si="267"/>
        <v>113034</v>
      </c>
      <c r="S595" s="482">
        <f t="shared" si="268"/>
        <v>3767.8</v>
      </c>
      <c r="T595" s="506">
        <v>11775</v>
      </c>
      <c r="U595" s="507">
        <v>11347</v>
      </c>
      <c r="V595" s="479">
        <f t="shared" si="269"/>
        <v>113632</v>
      </c>
      <c r="W595" s="478">
        <f t="shared" si="270"/>
        <v>113034</v>
      </c>
      <c r="X595" s="506">
        <v>19647</v>
      </c>
      <c r="Y595" s="488">
        <v>30474</v>
      </c>
      <c r="Z595" s="506">
        <v>33426</v>
      </c>
      <c r="AA595" s="488">
        <v>36776</v>
      </c>
      <c r="AB595" s="506">
        <v>38309</v>
      </c>
      <c r="AC595" s="488">
        <v>24116</v>
      </c>
      <c r="AD595" s="506">
        <v>32318</v>
      </c>
      <c r="AE595" s="507">
        <v>45345</v>
      </c>
      <c r="AF595" s="479">
        <f t="shared" si="271"/>
        <v>123700</v>
      </c>
      <c r="AG595" s="480">
        <f t="shared" si="272"/>
        <v>137.44444444444446</v>
      </c>
      <c r="AH595" s="481">
        <f t="shared" si="273"/>
        <v>136711</v>
      </c>
      <c r="AI595" s="481">
        <f t="shared" si="274"/>
        <v>151.90111111111111</v>
      </c>
      <c r="AJ595" s="487"/>
      <c r="AK595" s="507"/>
      <c r="AL595" s="479">
        <f t="shared" si="275"/>
        <v>0</v>
      </c>
      <c r="AM595" s="482">
        <f t="shared" si="276"/>
        <v>0</v>
      </c>
      <c r="AN595" s="487"/>
      <c r="AO595" s="488"/>
      <c r="AP595" s="487"/>
      <c r="AQ595" s="488"/>
      <c r="AR595" s="487"/>
      <c r="AS595" s="488"/>
      <c r="AT595" s="487"/>
      <c r="AU595" s="488"/>
      <c r="AV595" s="479">
        <f t="shared" si="277"/>
        <v>0</v>
      </c>
      <c r="AW595" s="483">
        <f t="shared" si="278"/>
        <v>0</v>
      </c>
      <c r="AX595" s="481">
        <f t="shared" si="279"/>
        <v>0</v>
      </c>
      <c r="AY595" s="484">
        <f t="shared" si="280"/>
        <v>0</v>
      </c>
      <c r="AZ595" s="485">
        <f t="shared" si="281"/>
        <v>3925.1777777777775</v>
      </c>
      <c r="BA595" s="481">
        <f t="shared" si="282"/>
        <v>3919.7011111111115</v>
      </c>
    </row>
    <row r="596" spans="1:53">
      <c r="A596" s="574" t="s">
        <v>273</v>
      </c>
      <c r="B596" s="609" t="s">
        <v>564</v>
      </c>
      <c r="C596" s="609"/>
      <c r="D596" s="608">
        <v>228699</v>
      </c>
      <c r="E596" s="611">
        <v>9</v>
      </c>
      <c r="F596" s="486" t="s">
        <v>41</v>
      </c>
      <c r="G596" s="529"/>
      <c r="H596" s="506">
        <v>34811</v>
      </c>
      <c r="I596" s="488">
        <v>32808</v>
      </c>
      <c r="J596" s="506">
        <v>8389</v>
      </c>
      <c r="K596" s="488">
        <v>7133</v>
      </c>
      <c r="L596" s="506">
        <v>0</v>
      </c>
      <c r="M596" s="488">
        <v>0</v>
      </c>
      <c r="N596" s="506">
        <v>34348</v>
      </c>
      <c r="O596" s="488">
        <v>37517</v>
      </c>
      <c r="P596" s="479">
        <f t="shared" si="265"/>
        <v>77548</v>
      </c>
      <c r="Q596" s="480">
        <f t="shared" si="266"/>
        <v>2584.9333333333334</v>
      </c>
      <c r="R596" s="481">
        <f t="shared" si="267"/>
        <v>77458</v>
      </c>
      <c r="S596" s="482">
        <f t="shared" si="268"/>
        <v>2581.9333333333334</v>
      </c>
      <c r="T596" s="506">
        <v>12273</v>
      </c>
      <c r="U596" s="507">
        <v>11159</v>
      </c>
      <c r="V596" s="479">
        <f t="shared" si="269"/>
        <v>77548</v>
      </c>
      <c r="W596" s="478">
        <f t="shared" si="270"/>
        <v>77458</v>
      </c>
      <c r="X596" s="506">
        <v>97504</v>
      </c>
      <c r="Y596" s="488">
        <v>65955</v>
      </c>
      <c r="Z596" s="506">
        <v>90332</v>
      </c>
      <c r="AA596" s="488">
        <v>73502</v>
      </c>
      <c r="AB596" s="506">
        <v>58958</v>
      </c>
      <c r="AC596" s="488">
        <v>73123</v>
      </c>
      <c r="AD596" s="506">
        <v>68737</v>
      </c>
      <c r="AE596" s="507">
        <v>80988</v>
      </c>
      <c r="AF596" s="479">
        <f t="shared" si="271"/>
        <v>315531</v>
      </c>
      <c r="AG596" s="480">
        <f t="shared" si="272"/>
        <v>350.59</v>
      </c>
      <c r="AH596" s="481">
        <f t="shared" si="273"/>
        <v>293568</v>
      </c>
      <c r="AI596" s="481">
        <f t="shared" si="274"/>
        <v>326.18666666666667</v>
      </c>
      <c r="AJ596" s="487"/>
      <c r="AK596" s="507"/>
      <c r="AL596" s="479">
        <f t="shared" si="275"/>
        <v>0</v>
      </c>
      <c r="AM596" s="482">
        <f t="shared" si="276"/>
        <v>0</v>
      </c>
      <c r="AN596" s="487"/>
      <c r="AO596" s="488"/>
      <c r="AP596" s="487"/>
      <c r="AQ596" s="488"/>
      <c r="AR596" s="487"/>
      <c r="AS596" s="488"/>
      <c r="AT596" s="487"/>
      <c r="AU596" s="488"/>
      <c r="AV596" s="479">
        <f t="shared" si="277"/>
        <v>0</v>
      </c>
      <c r="AW596" s="483">
        <f t="shared" si="278"/>
        <v>0</v>
      </c>
      <c r="AX596" s="481">
        <f t="shared" si="279"/>
        <v>0</v>
      </c>
      <c r="AY596" s="484">
        <f t="shared" si="280"/>
        <v>0</v>
      </c>
      <c r="AZ596" s="485">
        <f t="shared" si="281"/>
        <v>2935.5233333333335</v>
      </c>
      <c r="BA596" s="481">
        <f t="shared" si="282"/>
        <v>2908.12</v>
      </c>
    </row>
    <row r="597" spans="1:53">
      <c r="A597" s="574" t="s">
        <v>273</v>
      </c>
      <c r="B597" s="609" t="s">
        <v>565</v>
      </c>
      <c r="C597" s="609"/>
      <c r="D597" s="608">
        <v>229319</v>
      </c>
      <c r="E597" s="611">
        <v>9</v>
      </c>
      <c r="F597" s="486" t="s">
        <v>41</v>
      </c>
      <c r="G597" s="529"/>
      <c r="H597" s="506">
        <v>42120</v>
      </c>
      <c r="I597" s="488">
        <v>43354</v>
      </c>
      <c r="J597" s="506">
        <v>28125</v>
      </c>
      <c r="K597" s="488">
        <v>25819</v>
      </c>
      <c r="L597" s="506">
        <v>0</v>
      </c>
      <c r="M597" s="488">
        <v>0</v>
      </c>
      <c r="N597" s="506">
        <v>50505</v>
      </c>
      <c r="O597" s="488">
        <v>51167</v>
      </c>
      <c r="P597" s="479">
        <f t="shared" si="265"/>
        <v>120750</v>
      </c>
      <c r="Q597" s="480">
        <f t="shared" si="266"/>
        <v>4025</v>
      </c>
      <c r="R597" s="481">
        <f t="shared" si="267"/>
        <v>120340</v>
      </c>
      <c r="S597" s="482">
        <f t="shared" si="268"/>
        <v>4011.3333333333335</v>
      </c>
      <c r="T597" s="506">
        <v>11440</v>
      </c>
      <c r="U597" s="507">
        <v>8788</v>
      </c>
      <c r="V597" s="479">
        <f t="shared" si="269"/>
        <v>120750</v>
      </c>
      <c r="W597" s="478">
        <f t="shared" si="270"/>
        <v>120340</v>
      </c>
      <c r="X597" s="506">
        <v>21534</v>
      </c>
      <c r="Y597" s="488">
        <v>26656</v>
      </c>
      <c r="Z597" s="506">
        <v>54185</v>
      </c>
      <c r="AA597" s="488">
        <v>45128</v>
      </c>
      <c r="AB597" s="506">
        <v>20228</v>
      </c>
      <c r="AC597" s="488">
        <v>33484</v>
      </c>
      <c r="AD597" s="506">
        <v>37965</v>
      </c>
      <c r="AE597" s="507">
        <v>36440</v>
      </c>
      <c r="AF597" s="479">
        <f t="shared" si="271"/>
        <v>133912</v>
      </c>
      <c r="AG597" s="480">
        <f t="shared" si="272"/>
        <v>148.79111111111112</v>
      </c>
      <c r="AH597" s="481">
        <f t="shared" si="273"/>
        <v>141708</v>
      </c>
      <c r="AI597" s="481">
        <f t="shared" si="274"/>
        <v>157.45333333333335</v>
      </c>
      <c r="AJ597" s="487"/>
      <c r="AK597" s="507"/>
      <c r="AL597" s="479">
        <f t="shared" si="275"/>
        <v>0</v>
      </c>
      <c r="AM597" s="482">
        <f t="shared" si="276"/>
        <v>0</v>
      </c>
      <c r="AN597" s="487"/>
      <c r="AO597" s="488"/>
      <c r="AP597" s="487"/>
      <c r="AQ597" s="488"/>
      <c r="AR597" s="487"/>
      <c r="AS597" s="488"/>
      <c r="AT597" s="487"/>
      <c r="AU597" s="488"/>
      <c r="AV597" s="479">
        <f t="shared" si="277"/>
        <v>0</v>
      </c>
      <c r="AW597" s="483">
        <f t="shared" si="278"/>
        <v>0</v>
      </c>
      <c r="AX597" s="481">
        <f t="shared" si="279"/>
        <v>0</v>
      </c>
      <c r="AY597" s="484">
        <f t="shared" si="280"/>
        <v>0</v>
      </c>
      <c r="AZ597" s="485">
        <f t="shared" si="281"/>
        <v>4173.7911111111107</v>
      </c>
      <c r="BA597" s="481">
        <f t="shared" si="282"/>
        <v>4168.7866666666669</v>
      </c>
    </row>
    <row r="598" spans="1:53">
      <c r="A598" s="574" t="s">
        <v>273</v>
      </c>
      <c r="B598" s="609" t="s">
        <v>566</v>
      </c>
      <c r="C598" s="609"/>
      <c r="D598" s="612">
        <v>229504</v>
      </c>
      <c r="E598" s="613">
        <v>9</v>
      </c>
      <c r="F598" s="486" t="s">
        <v>41</v>
      </c>
      <c r="G598" s="529"/>
      <c r="H598" s="506">
        <v>28647</v>
      </c>
      <c r="I598" s="488">
        <v>27793</v>
      </c>
      <c r="J598" s="506">
        <v>4437</v>
      </c>
      <c r="K598" s="488">
        <v>4414</v>
      </c>
      <c r="L598" s="506">
        <v>5412</v>
      </c>
      <c r="M598" s="488">
        <v>5024</v>
      </c>
      <c r="N598" s="506">
        <v>26792</v>
      </c>
      <c r="O598" s="488">
        <v>27022</v>
      </c>
      <c r="P598" s="479">
        <f t="shared" si="265"/>
        <v>65288</v>
      </c>
      <c r="Q598" s="480">
        <f t="shared" si="266"/>
        <v>2176.2666666666669</v>
      </c>
      <c r="R598" s="481">
        <f t="shared" si="267"/>
        <v>64253</v>
      </c>
      <c r="S598" s="482">
        <f t="shared" si="268"/>
        <v>2141.7666666666669</v>
      </c>
      <c r="T598" s="506">
        <v>4879</v>
      </c>
      <c r="U598" s="507">
        <v>4667</v>
      </c>
      <c r="V598" s="479">
        <f t="shared" si="269"/>
        <v>65288</v>
      </c>
      <c r="W598" s="478">
        <f t="shared" si="270"/>
        <v>64253</v>
      </c>
      <c r="X598" s="506">
        <v>49399</v>
      </c>
      <c r="Y598" s="488">
        <v>60994</v>
      </c>
      <c r="Z598" s="506">
        <v>37725</v>
      </c>
      <c r="AA598" s="488">
        <v>54073</v>
      </c>
      <c r="AB598" s="506">
        <v>30659</v>
      </c>
      <c r="AC598" s="488">
        <v>35153</v>
      </c>
      <c r="AD598" s="506">
        <v>63520</v>
      </c>
      <c r="AE598" s="507">
        <v>80697</v>
      </c>
      <c r="AF598" s="479">
        <f t="shared" si="271"/>
        <v>181303</v>
      </c>
      <c r="AG598" s="480">
        <f t="shared" si="272"/>
        <v>201.44777777777779</v>
      </c>
      <c r="AH598" s="481">
        <f t="shared" si="273"/>
        <v>230917</v>
      </c>
      <c r="AI598" s="481">
        <f t="shared" si="274"/>
        <v>256.57444444444445</v>
      </c>
      <c r="AJ598" s="487"/>
      <c r="AK598" s="507"/>
      <c r="AL598" s="479">
        <f t="shared" si="275"/>
        <v>0</v>
      </c>
      <c r="AM598" s="482">
        <f t="shared" si="276"/>
        <v>0</v>
      </c>
      <c r="AN598" s="487"/>
      <c r="AO598" s="488"/>
      <c r="AP598" s="487"/>
      <c r="AQ598" s="488"/>
      <c r="AR598" s="487"/>
      <c r="AS598" s="488"/>
      <c r="AT598" s="487"/>
      <c r="AU598" s="488"/>
      <c r="AV598" s="479">
        <f t="shared" si="277"/>
        <v>0</v>
      </c>
      <c r="AW598" s="483">
        <f t="shared" si="278"/>
        <v>0</v>
      </c>
      <c r="AX598" s="481">
        <f t="shared" si="279"/>
        <v>0</v>
      </c>
      <c r="AY598" s="484">
        <f t="shared" si="280"/>
        <v>0</v>
      </c>
      <c r="AZ598" s="485">
        <f t="shared" si="281"/>
        <v>2377.7144444444448</v>
      </c>
      <c r="BA598" s="481">
        <f t="shared" si="282"/>
        <v>2398.3411111111113</v>
      </c>
    </row>
    <row r="599" spans="1:53">
      <c r="A599" s="574" t="s">
        <v>273</v>
      </c>
      <c r="B599" s="609" t="s">
        <v>567</v>
      </c>
      <c r="C599" s="609"/>
      <c r="D599" s="608">
        <v>229540</v>
      </c>
      <c r="E599" s="611">
        <v>9</v>
      </c>
      <c r="F599" s="486" t="s">
        <v>41</v>
      </c>
      <c r="G599" s="529"/>
      <c r="H599" s="506">
        <v>36447</v>
      </c>
      <c r="I599" s="488">
        <v>34462</v>
      </c>
      <c r="J599" s="506">
        <v>9994</v>
      </c>
      <c r="K599" s="488">
        <v>10701</v>
      </c>
      <c r="L599" s="506">
        <v>0</v>
      </c>
      <c r="M599" s="488">
        <v>0</v>
      </c>
      <c r="N599" s="506">
        <v>36068</v>
      </c>
      <c r="O599" s="488">
        <v>34759</v>
      </c>
      <c r="P599" s="479">
        <f t="shared" si="265"/>
        <v>82509</v>
      </c>
      <c r="Q599" s="480">
        <f t="shared" si="266"/>
        <v>2750.3</v>
      </c>
      <c r="R599" s="481">
        <f t="shared" si="267"/>
        <v>79922</v>
      </c>
      <c r="S599" s="482">
        <f t="shared" si="268"/>
        <v>2664.0666666666666</v>
      </c>
      <c r="T599" s="506">
        <v>4948</v>
      </c>
      <c r="U599" s="507">
        <v>5722</v>
      </c>
      <c r="V599" s="479">
        <f t="shared" si="269"/>
        <v>82509</v>
      </c>
      <c r="W599" s="478">
        <f t="shared" si="270"/>
        <v>79922</v>
      </c>
      <c r="X599" s="506">
        <v>38286</v>
      </c>
      <c r="Y599" s="488">
        <v>43706</v>
      </c>
      <c r="Z599" s="506">
        <v>30715</v>
      </c>
      <c r="AA599" s="488">
        <v>24617</v>
      </c>
      <c r="AB599" s="506">
        <v>31139</v>
      </c>
      <c r="AC599" s="488">
        <v>40627</v>
      </c>
      <c r="AD599" s="506">
        <v>50562</v>
      </c>
      <c r="AE599" s="507">
        <v>59597</v>
      </c>
      <c r="AF599" s="479">
        <f t="shared" si="271"/>
        <v>150702</v>
      </c>
      <c r="AG599" s="480">
        <f t="shared" si="272"/>
        <v>167.44666666666666</v>
      </c>
      <c r="AH599" s="481">
        <f t="shared" si="273"/>
        <v>168547</v>
      </c>
      <c r="AI599" s="481">
        <f t="shared" si="274"/>
        <v>187.27444444444444</v>
      </c>
      <c r="AJ599" s="487"/>
      <c r="AK599" s="507"/>
      <c r="AL599" s="479">
        <f t="shared" si="275"/>
        <v>0</v>
      </c>
      <c r="AM599" s="482">
        <f t="shared" si="276"/>
        <v>0</v>
      </c>
      <c r="AN599" s="487"/>
      <c r="AO599" s="488"/>
      <c r="AP599" s="487"/>
      <c r="AQ599" s="488"/>
      <c r="AR599" s="487"/>
      <c r="AS599" s="488"/>
      <c r="AT599" s="487"/>
      <c r="AU599" s="488"/>
      <c r="AV599" s="479">
        <f t="shared" si="277"/>
        <v>0</v>
      </c>
      <c r="AW599" s="483">
        <f t="shared" si="278"/>
        <v>0</v>
      </c>
      <c r="AX599" s="481">
        <f t="shared" si="279"/>
        <v>0</v>
      </c>
      <c r="AY599" s="484">
        <f t="shared" si="280"/>
        <v>0</v>
      </c>
      <c r="AZ599" s="485">
        <f t="shared" si="281"/>
        <v>2917.7466666666669</v>
      </c>
      <c r="BA599" s="481">
        <f t="shared" si="282"/>
        <v>2851.3411111111109</v>
      </c>
    </row>
    <row r="600" spans="1:53">
      <c r="A600" s="574" t="s">
        <v>273</v>
      </c>
      <c r="B600" s="609" t="s">
        <v>568</v>
      </c>
      <c r="C600" s="609"/>
      <c r="D600" s="608">
        <v>229799</v>
      </c>
      <c r="E600" s="611">
        <v>9</v>
      </c>
      <c r="F600" s="486" t="s">
        <v>41</v>
      </c>
      <c r="G600" s="529"/>
      <c r="H600" s="506">
        <v>48298</v>
      </c>
      <c r="I600" s="488">
        <v>48145</v>
      </c>
      <c r="J600" s="506">
        <v>7287</v>
      </c>
      <c r="K600" s="488">
        <v>8449</v>
      </c>
      <c r="L600" s="506">
        <v>5019</v>
      </c>
      <c r="M600" s="488">
        <v>4193</v>
      </c>
      <c r="N600" s="506">
        <v>52039</v>
      </c>
      <c r="O600" s="488">
        <v>53500</v>
      </c>
      <c r="P600" s="479">
        <f t="shared" si="265"/>
        <v>112643</v>
      </c>
      <c r="Q600" s="480">
        <f t="shared" si="266"/>
        <v>3754.7666666666669</v>
      </c>
      <c r="R600" s="481">
        <f t="shared" si="267"/>
        <v>114287</v>
      </c>
      <c r="S600" s="482">
        <f t="shared" si="268"/>
        <v>3809.5666666666666</v>
      </c>
      <c r="T600" s="506">
        <v>8355</v>
      </c>
      <c r="U600" s="507">
        <v>8601</v>
      </c>
      <c r="V600" s="479">
        <f t="shared" si="269"/>
        <v>112643</v>
      </c>
      <c r="W600" s="478">
        <f t="shared" si="270"/>
        <v>114287</v>
      </c>
      <c r="X600" s="506">
        <v>44781</v>
      </c>
      <c r="Y600" s="488">
        <v>52062</v>
      </c>
      <c r="Z600" s="506">
        <v>31773</v>
      </c>
      <c r="AA600" s="488">
        <v>34781</v>
      </c>
      <c r="AB600" s="506">
        <v>27407</v>
      </c>
      <c r="AC600" s="488">
        <v>42426</v>
      </c>
      <c r="AD600" s="506">
        <v>61744</v>
      </c>
      <c r="AE600" s="507">
        <v>89712</v>
      </c>
      <c r="AF600" s="479">
        <f t="shared" si="271"/>
        <v>165705</v>
      </c>
      <c r="AG600" s="480">
        <f t="shared" si="272"/>
        <v>184.11666666666667</v>
      </c>
      <c r="AH600" s="481">
        <f t="shared" si="273"/>
        <v>218981</v>
      </c>
      <c r="AI600" s="481">
        <f t="shared" si="274"/>
        <v>243.31222222222223</v>
      </c>
      <c r="AJ600" s="487"/>
      <c r="AK600" s="507"/>
      <c r="AL600" s="479">
        <f t="shared" si="275"/>
        <v>0</v>
      </c>
      <c r="AM600" s="482">
        <f t="shared" si="276"/>
        <v>0</v>
      </c>
      <c r="AN600" s="487"/>
      <c r="AO600" s="488"/>
      <c r="AP600" s="487"/>
      <c r="AQ600" s="488"/>
      <c r="AR600" s="487"/>
      <c r="AS600" s="488"/>
      <c r="AT600" s="487"/>
      <c r="AU600" s="488"/>
      <c r="AV600" s="479">
        <f t="shared" si="277"/>
        <v>0</v>
      </c>
      <c r="AW600" s="483">
        <f t="shared" si="278"/>
        <v>0</v>
      </c>
      <c r="AX600" s="481">
        <f t="shared" si="279"/>
        <v>0</v>
      </c>
      <c r="AY600" s="484">
        <f t="shared" si="280"/>
        <v>0</v>
      </c>
      <c r="AZ600" s="485">
        <f t="shared" si="281"/>
        <v>3938.8833333333337</v>
      </c>
      <c r="BA600" s="481">
        <f t="shared" si="282"/>
        <v>4052.8788888888889</v>
      </c>
    </row>
    <row r="601" spans="1:53">
      <c r="A601" s="574" t="s">
        <v>273</v>
      </c>
      <c r="B601" s="609" t="s">
        <v>569</v>
      </c>
      <c r="C601" s="609"/>
      <c r="D601" s="608">
        <v>229841</v>
      </c>
      <c r="E601" s="611">
        <v>9</v>
      </c>
      <c r="F601" s="486" t="s">
        <v>41</v>
      </c>
      <c r="G601" s="529"/>
      <c r="H601" s="506">
        <v>62253</v>
      </c>
      <c r="I601" s="488">
        <v>62004</v>
      </c>
      <c r="J601" s="506">
        <v>12994</v>
      </c>
      <c r="K601" s="488">
        <v>13306</v>
      </c>
      <c r="L601" s="506">
        <v>6713</v>
      </c>
      <c r="M601" s="488">
        <v>6618</v>
      </c>
      <c r="N601" s="506">
        <v>66069</v>
      </c>
      <c r="O601" s="488">
        <v>64724</v>
      </c>
      <c r="P601" s="479">
        <f t="shared" si="265"/>
        <v>148029</v>
      </c>
      <c r="Q601" s="480">
        <f t="shared" si="266"/>
        <v>4934.3</v>
      </c>
      <c r="R601" s="481">
        <f t="shared" si="267"/>
        <v>146652</v>
      </c>
      <c r="S601" s="482">
        <f t="shared" si="268"/>
        <v>4888.3999999999996</v>
      </c>
      <c r="T601" s="506">
        <v>8677</v>
      </c>
      <c r="U601" s="507">
        <v>9391</v>
      </c>
      <c r="V601" s="479">
        <f t="shared" si="269"/>
        <v>148029</v>
      </c>
      <c r="W601" s="478">
        <f t="shared" si="270"/>
        <v>146652</v>
      </c>
      <c r="X601" s="506">
        <v>9872</v>
      </c>
      <c r="Y601" s="488">
        <v>8641</v>
      </c>
      <c r="Z601" s="506">
        <v>7593</v>
      </c>
      <c r="AA601" s="488">
        <v>7613</v>
      </c>
      <c r="AB601" s="506">
        <v>11020</v>
      </c>
      <c r="AC601" s="488">
        <v>9455</v>
      </c>
      <c r="AD601" s="506">
        <v>11674</v>
      </c>
      <c r="AE601" s="507">
        <v>9953</v>
      </c>
      <c r="AF601" s="479">
        <f t="shared" si="271"/>
        <v>40159</v>
      </c>
      <c r="AG601" s="480">
        <f t="shared" si="272"/>
        <v>44.621111111111112</v>
      </c>
      <c r="AH601" s="481">
        <f t="shared" si="273"/>
        <v>35662</v>
      </c>
      <c r="AI601" s="481">
        <f t="shared" si="274"/>
        <v>39.624444444444443</v>
      </c>
      <c r="AJ601" s="487"/>
      <c r="AK601" s="507"/>
      <c r="AL601" s="479">
        <f t="shared" si="275"/>
        <v>0</v>
      </c>
      <c r="AM601" s="482">
        <f t="shared" si="276"/>
        <v>0</v>
      </c>
      <c r="AN601" s="487"/>
      <c r="AO601" s="488"/>
      <c r="AP601" s="487"/>
      <c r="AQ601" s="488"/>
      <c r="AR601" s="487"/>
      <c r="AS601" s="488"/>
      <c r="AT601" s="487"/>
      <c r="AU601" s="488"/>
      <c r="AV601" s="479">
        <f t="shared" si="277"/>
        <v>0</v>
      </c>
      <c r="AW601" s="483">
        <f t="shared" si="278"/>
        <v>0</v>
      </c>
      <c r="AX601" s="481">
        <f t="shared" si="279"/>
        <v>0</v>
      </c>
      <c r="AY601" s="484">
        <f t="shared" si="280"/>
        <v>0</v>
      </c>
      <c r="AZ601" s="485">
        <f t="shared" si="281"/>
        <v>4978.9211111111117</v>
      </c>
      <c r="BA601" s="481">
        <f t="shared" si="282"/>
        <v>4928.0244444444443</v>
      </c>
    </row>
    <row r="602" spans="1:53">
      <c r="A602" s="574" t="s">
        <v>273</v>
      </c>
      <c r="B602" s="609" t="s">
        <v>570</v>
      </c>
      <c r="C602" s="609"/>
      <c r="D602" s="608">
        <v>223922</v>
      </c>
      <c r="E602" s="611">
        <v>10</v>
      </c>
      <c r="F602" s="486" t="s">
        <v>41</v>
      </c>
      <c r="G602" s="529"/>
      <c r="H602" s="506">
        <v>14059</v>
      </c>
      <c r="I602" s="488">
        <v>12273</v>
      </c>
      <c r="J602" s="506">
        <v>2558</v>
      </c>
      <c r="K602" s="488">
        <v>2474</v>
      </c>
      <c r="L602" s="506">
        <v>1309</v>
      </c>
      <c r="M602" s="488">
        <v>936</v>
      </c>
      <c r="N602" s="506">
        <v>12820</v>
      </c>
      <c r="O602" s="488">
        <v>12312</v>
      </c>
      <c r="P602" s="479">
        <f t="shared" si="265"/>
        <v>30746</v>
      </c>
      <c r="Q602" s="480">
        <f t="shared" si="266"/>
        <v>1024.8666666666666</v>
      </c>
      <c r="R602" s="481">
        <f t="shared" si="267"/>
        <v>27995</v>
      </c>
      <c r="S602" s="482">
        <f t="shared" si="268"/>
        <v>933.16666666666663</v>
      </c>
      <c r="T602" s="506">
        <v>4521</v>
      </c>
      <c r="U602" s="507">
        <v>4128</v>
      </c>
      <c r="V602" s="479">
        <f t="shared" si="269"/>
        <v>30746</v>
      </c>
      <c r="W602" s="478">
        <f t="shared" si="270"/>
        <v>27995</v>
      </c>
      <c r="X602" s="506">
        <v>5338</v>
      </c>
      <c r="Y602" s="488">
        <v>1976</v>
      </c>
      <c r="Z602" s="506">
        <v>2380</v>
      </c>
      <c r="AA602" s="488">
        <v>7423</v>
      </c>
      <c r="AB602" s="506">
        <v>1015</v>
      </c>
      <c r="AC602" s="488">
        <v>4622</v>
      </c>
      <c r="AD602" s="506">
        <v>4265</v>
      </c>
      <c r="AE602" s="507">
        <v>5656</v>
      </c>
      <c r="AF602" s="479">
        <f t="shared" si="271"/>
        <v>12998</v>
      </c>
      <c r="AG602" s="480">
        <f t="shared" si="272"/>
        <v>14.442222222222222</v>
      </c>
      <c r="AH602" s="481">
        <f t="shared" si="273"/>
        <v>19677</v>
      </c>
      <c r="AI602" s="481">
        <f t="shared" si="274"/>
        <v>21.863333333333333</v>
      </c>
      <c r="AJ602" s="487"/>
      <c r="AK602" s="507"/>
      <c r="AL602" s="479">
        <f t="shared" si="275"/>
        <v>0</v>
      </c>
      <c r="AM602" s="482">
        <f t="shared" si="276"/>
        <v>0</v>
      </c>
      <c r="AN602" s="487"/>
      <c r="AO602" s="488"/>
      <c r="AP602" s="487"/>
      <c r="AQ602" s="488"/>
      <c r="AR602" s="487"/>
      <c r="AS602" s="488"/>
      <c r="AT602" s="487"/>
      <c r="AU602" s="488"/>
      <c r="AV602" s="479">
        <f t="shared" si="277"/>
        <v>0</v>
      </c>
      <c r="AW602" s="483">
        <f t="shared" si="278"/>
        <v>0</v>
      </c>
      <c r="AX602" s="481">
        <f t="shared" si="279"/>
        <v>0</v>
      </c>
      <c r="AY602" s="484">
        <f t="shared" si="280"/>
        <v>0</v>
      </c>
      <c r="AZ602" s="485">
        <f t="shared" si="281"/>
        <v>1039.3088888888888</v>
      </c>
      <c r="BA602" s="481">
        <f t="shared" si="282"/>
        <v>955.03</v>
      </c>
    </row>
    <row r="603" spans="1:53">
      <c r="A603" s="574" t="s">
        <v>273</v>
      </c>
      <c r="B603" s="609" t="s">
        <v>571</v>
      </c>
      <c r="C603" s="609"/>
      <c r="D603" s="608">
        <v>224891</v>
      </c>
      <c r="E603" s="611">
        <v>10</v>
      </c>
      <c r="F603" s="486" t="s">
        <v>41</v>
      </c>
      <c r="G603" s="529"/>
      <c r="H603" s="506">
        <v>9349</v>
      </c>
      <c r="I603" s="488">
        <v>10474</v>
      </c>
      <c r="J603" s="506">
        <v>1459</v>
      </c>
      <c r="K603" s="488">
        <v>1727</v>
      </c>
      <c r="L603" s="506">
        <v>446</v>
      </c>
      <c r="M603" s="488">
        <v>382</v>
      </c>
      <c r="N603" s="506">
        <v>10735</v>
      </c>
      <c r="O603" s="488">
        <v>10513</v>
      </c>
      <c r="P603" s="479">
        <f t="shared" si="265"/>
        <v>21989</v>
      </c>
      <c r="Q603" s="480">
        <f t="shared" si="266"/>
        <v>732.9666666666667</v>
      </c>
      <c r="R603" s="481">
        <f t="shared" si="267"/>
        <v>23096</v>
      </c>
      <c r="S603" s="482">
        <f t="shared" si="268"/>
        <v>769.86666666666667</v>
      </c>
      <c r="T603" s="506">
        <v>4119</v>
      </c>
      <c r="U603" s="507">
        <v>4593</v>
      </c>
      <c r="V603" s="479">
        <f t="shared" si="269"/>
        <v>21989</v>
      </c>
      <c r="W603" s="478">
        <f t="shared" si="270"/>
        <v>23096</v>
      </c>
      <c r="X603" s="506">
        <v>20402</v>
      </c>
      <c r="Y603" s="488">
        <v>12306</v>
      </c>
      <c r="Z603" s="506">
        <v>20380</v>
      </c>
      <c r="AA603" s="488">
        <v>18406</v>
      </c>
      <c r="AB603" s="506">
        <v>20062</v>
      </c>
      <c r="AC603" s="488">
        <v>12910</v>
      </c>
      <c r="AD603" s="506">
        <v>21579</v>
      </c>
      <c r="AE603" s="507">
        <v>21199</v>
      </c>
      <c r="AF603" s="479">
        <f t="shared" si="271"/>
        <v>82423</v>
      </c>
      <c r="AG603" s="480">
        <f t="shared" si="272"/>
        <v>91.581111111111113</v>
      </c>
      <c r="AH603" s="481">
        <f t="shared" si="273"/>
        <v>64821</v>
      </c>
      <c r="AI603" s="481">
        <f t="shared" si="274"/>
        <v>72.023333333333326</v>
      </c>
      <c r="AJ603" s="487"/>
      <c r="AK603" s="507"/>
      <c r="AL603" s="479">
        <f t="shared" si="275"/>
        <v>0</v>
      </c>
      <c r="AM603" s="482">
        <f t="shared" si="276"/>
        <v>0</v>
      </c>
      <c r="AN603" s="487"/>
      <c r="AO603" s="488"/>
      <c r="AP603" s="487"/>
      <c r="AQ603" s="488"/>
      <c r="AR603" s="487"/>
      <c r="AS603" s="488"/>
      <c r="AT603" s="487"/>
      <c r="AU603" s="488"/>
      <c r="AV603" s="479">
        <f t="shared" si="277"/>
        <v>0</v>
      </c>
      <c r="AW603" s="483">
        <f t="shared" si="278"/>
        <v>0</v>
      </c>
      <c r="AX603" s="481">
        <f t="shared" si="279"/>
        <v>0</v>
      </c>
      <c r="AY603" s="484">
        <f t="shared" si="280"/>
        <v>0</v>
      </c>
      <c r="AZ603" s="485">
        <f t="shared" si="281"/>
        <v>824.54777777777781</v>
      </c>
      <c r="BA603" s="481">
        <f t="shared" si="282"/>
        <v>841.89</v>
      </c>
    </row>
    <row r="604" spans="1:53">
      <c r="A604" s="574" t="s">
        <v>273</v>
      </c>
      <c r="B604" s="609" t="s">
        <v>572</v>
      </c>
      <c r="C604" s="609"/>
      <c r="D604" s="608">
        <v>224961</v>
      </c>
      <c r="E604" s="611">
        <v>10</v>
      </c>
      <c r="F604" s="486" t="s">
        <v>41</v>
      </c>
      <c r="G604" s="529"/>
      <c r="H604" s="506">
        <v>19746</v>
      </c>
      <c r="I604" s="488">
        <v>20142</v>
      </c>
      <c r="J604" s="506">
        <v>4579</v>
      </c>
      <c r="K604" s="488">
        <v>4834</v>
      </c>
      <c r="L604" s="506">
        <v>3749</v>
      </c>
      <c r="M604" s="488">
        <v>3726</v>
      </c>
      <c r="N604" s="506">
        <v>17918</v>
      </c>
      <c r="O604" s="488">
        <v>17433</v>
      </c>
      <c r="P604" s="479">
        <f t="shared" si="265"/>
        <v>45992</v>
      </c>
      <c r="Q604" s="480">
        <f t="shared" si="266"/>
        <v>1533.0666666666666</v>
      </c>
      <c r="R604" s="481">
        <f t="shared" si="267"/>
        <v>46135</v>
      </c>
      <c r="S604" s="482">
        <f t="shared" si="268"/>
        <v>1537.8333333333333</v>
      </c>
      <c r="T604" s="506">
        <v>2677</v>
      </c>
      <c r="U604" s="507">
        <v>3047</v>
      </c>
      <c r="V604" s="479">
        <f t="shared" si="269"/>
        <v>45992</v>
      </c>
      <c r="W604" s="478">
        <f t="shared" si="270"/>
        <v>46135</v>
      </c>
      <c r="X604" s="506">
        <v>3464</v>
      </c>
      <c r="Y604" s="488">
        <v>1012</v>
      </c>
      <c r="Z604" s="506">
        <v>1632</v>
      </c>
      <c r="AA604" s="488">
        <v>1311</v>
      </c>
      <c r="AB604" s="506">
        <v>0</v>
      </c>
      <c r="AC604" s="488">
        <v>1172</v>
      </c>
      <c r="AD604" s="506">
        <v>1838</v>
      </c>
      <c r="AE604" s="507">
        <v>2474</v>
      </c>
      <c r="AF604" s="479">
        <f t="shared" si="271"/>
        <v>6934</v>
      </c>
      <c r="AG604" s="480">
        <f t="shared" si="272"/>
        <v>7.7044444444444444</v>
      </c>
      <c r="AH604" s="481">
        <f t="shared" si="273"/>
        <v>5969</v>
      </c>
      <c r="AI604" s="481">
        <f t="shared" si="274"/>
        <v>6.6322222222222225</v>
      </c>
      <c r="AJ604" s="487"/>
      <c r="AK604" s="507"/>
      <c r="AL604" s="479">
        <f t="shared" si="275"/>
        <v>0</v>
      </c>
      <c r="AM604" s="482">
        <f t="shared" si="276"/>
        <v>0</v>
      </c>
      <c r="AN604" s="487"/>
      <c r="AO604" s="488"/>
      <c r="AP604" s="487"/>
      <c r="AQ604" s="488"/>
      <c r="AR604" s="487"/>
      <c r="AS604" s="488"/>
      <c r="AT604" s="487"/>
      <c r="AU604" s="488"/>
      <c r="AV604" s="479">
        <f t="shared" si="277"/>
        <v>0</v>
      </c>
      <c r="AW604" s="483">
        <f t="shared" si="278"/>
        <v>0</v>
      </c>
      <c r="AX604" s="481">
        <f t="shared" si="279"/>
        <v>0</v>
      </c>
      <c r="AY604" s="484">
        <f t="shared" si="280"/>
        <v>0</v>
      </c>
      <c r="AZ604" s="485">
        <f t="shared" si="281"/>
        <v>1540.7711111111109</v>
      </c>
      <c r="BA604" s="481">
        <f t="shared" si="282"/>
        <v>1544.4655555555555</v>
      </c>
    </row>
    <row r="605" spans="1:53">
      <c r="A605" s="574" t="s">
        <v>273</v>
      </c>
      <c r="B605" s="609" t="s">
        <v>573</v>
      </c>
      <c r="C605" s="609"/>
      <c r="D605" s="612">
        <v>226107</v>
      </c>
      <c r="E605" s="613">
        <v>10</v>
      </c>
      <c r="F605" s="486" t="s">
        <v>41</v>
      </c>
      <c r="G605" s="529"/>
      <c r="H605" s="506">
        <v>21669</v>
      </c>
      <c r="I605" s="488">
        <v>21777</v>
      </c>
      <c r="J605" s="506">
        <v>6563</v>
      </c>
      <c r="K605" s="488">
        <v>6229</v>
      </c>
      <c r="L605" s="506">
        <v>0</v>
      </c>
      <c r="M605" s="488">
        <v>0</v>
      </c>
      <c r="N605" s="506">
        <v>23618</v>
      </c>
      <c r="O605" s="488">
        <v>21967</v>
      </c>
      <c r="P605" s="479">
        <f t="shared" si="265"/>
        <v>51850</v>
      </c>
      <c r="Q605" s="480">
        <f t="shared" si="266"/>
        <v>1728.3333333333333</v>
      </c>
      <c r="R605" s="481">
        <f t="shared" si="267"/>
        <v>49973</v>
      </c>
      <c r="S605" s="482">
        <f t="shared" si="268"/>
        <v>1665.7666666666667</v>
      </c>
      <c r="T605" s="506">
        <v>4364</v>
      </c>
      <c r="U605" s="507">
        <v>4486</v>
      </c>
      <c r="V605" s="479">
        <f t="shared" si="269"/>
        <v>51850</v>
      </c>
      <c r="W605" s="478">
        <f t="shared" si="270"/>
        <v>49973</v>
      </c>
      <c r="X605" s="506">
        <v>2234</v>
      </c>
      <c r="Y605" s="488">
        <v>3363</v>
      </c>
      <c r="Z605" s="506">
        <v>1716</v>
      </c>
      <c r="AA605" s="488">
        <v>1284</v>
      </c>
      <c r="AB605" s="506">
        <v>616</v>
      </c>
      <c r="AC605" s="488">
        <v>984</v>
      </c>
      <c r="AD605" s="506">
        <v>2060</v>
      </c>
      <c r="AE605" s="507">
        <v>1284</v>
      </c>
      <c r="AF605" s="479">
        <f t="shared" si="271"/>
        <v>6626</v>
      </c>
      <c r="AG605" s="480">
        <f t="shared" si="272"/>
        <v>7.362222222222222</v>
      </c>
      <c r="AH605" s="481">
        <f t="shared" si="273"/>
        <v>6915</v>
      </c>
      <c r="AI605" s="481">
        <f t="shared" si="274"/>
        <v>7.6833333333333336</v>
      </c>
      <c r="AJ605" s="487"/>
      <c r="AK605" s="507"/>
      <c r="AL605" s="479">
        <f t="shared" si="275"/>
        <v>0</v>
      </c>
      <c r="AM605" s="482">
        <f t="shared" si="276"/>
        <v>0</v>
      </c>
      <c r="AN605" s="487"/>
      <c r="AO605" s="488"/>
      <c r="AP605" s="487"/>
      <c r="AQ605" s="488"/>
      <c r="AR605" s="487"/>
      <c r="AS605" s="488"/>
      <c r="AT605" s="487"/>
      <c r="AU605" s="488"/>
      <c r="AV605" s="479">
        <f t="shared" si="277"/>
        <v>0</v>
      </c>
      <c r="AW605" s="483">
        <f t="shared" si="278"/>
        <v>0</v>
      </c>
      <c r="AX605" s="481">
        <f t="shared" si="279"/>
        <v>0</v>
      </c>
      <c r="AY605" s="484">
        <f t="shared" si="280"/>
        <v>0</v>
      </c>
      <c r="AZ605" s="485">
        <f t="shared" si="281"/>
        <v>1735.6955555555555</v>
      </c>
      <c r="BA605" s="481">
        <f t="shared" si="282"/>
        <v>1673.45</v>
      </c>
    </row>
    <row r="606" spans="1:53">
      <c r="A606" s="574" t="s">
        <v>273</v>
      </c>
      <c r="B606" s="622" t="s">
        <v>574</v>
      </c>
      <c r="C606" s="622"/>
      <c r="D606" s="623" t="s">
        <v>505</v>
      </c>
      <c r="E606" s="613">
        <v>10</v>
      </c>
      <c r="F606" s="486" t="s">
        <v>41</v>
      </c>
      <c r="G606" s="529"/>
      <c r="H606" s="506">
        <v>4347</v>
      </c>
      <c r="I606" s="488">
        <v>4506</v>
      </c>
      <c r="J606" s="506">
        <v>784</v>
      </c>
      <c r="K606" s="488">
        <v>1101</v>
      </c>
      <c r="L606" s="506">
        <v>0</v>
      </c>
      <c r="M606" s="488">
        <v>0</v>
      </c>
      <c r="N606" s="506">
        <v>4923</v>
      </c>
      <c r="O606" s="488">
        <v>6246</v>
      </c>
      <c r="P606" s="479">
        <f t="shared" si="265"/>
        <v>10054</v>
      </c>
      <c r="Q606" s="480">
        <f t="shared" si="266"/>
        <v>335.13333333333333</v>
      </c>
      <c r="R606" s="481">
        <f t="shared" si="267"/>
        <v>11853</v>
      </c>
      <c r="S606" s="482">
        <f t="shared" si="268"/>
        <v>395.1</v>
      </c>
      <c r="T606" s="506">
        <v>0</v>
      </c>
      <c r="U606" s="507">
        <v>0</v>
      </c>
      <c r="V606" s="479">
        <f t="shared" si="269"/>
        <v>10054</v>
      </c>
      <c r="W606" s="478">
        <f t="shared" si="270"/>
        <v>11853</v>
      </c>
      <c r="X606" s="506">
        <v>15160</v>
      </c>
      <c r="Y606" s="488">
        <v>15136</v>
      </c>
      <c r="Z606" s="506">
        <v>12288</v>
      </c>
      <c r="AA606" s="488">
        <v>15616</v>
      </c>
      <c r="AB606" s="506">
        <v>8960</v>
      </c>
      <c r="AC606" s="488">
        <v>12688</v>
      </c>
      <c r="AD606" s="506">
        <v>8248</v>
      </c>
      <c r="AE606" s="507">
        <v>16128</v>
      </c>
      <c r="AF606" s="479">
        <f t="shared" si="271"/>
        <v>44656</v>
      </c>
      <c r="AG606" s="480">
        <f t="shared" si="272"/>
        <v>49.617777777777775</v>
      </c>
      <c r="AH606" s="481">
        <f t="shared" si="273"/>
        <v>59568</v>
      </c>
      <c r="AI606" s="481">
        <f t="shared" si="274"/>
        <v>66.186666666666667</v>
      </c>
      <c r="AJ606" s="487"/>
      <c r="AK606" s="507"/>
      <c r="AL606" s="479">
        <f t="shared" si="275"/>
        <v>0</v>
      </c>
      <c r="AM606" s="482">
        <f t="shared" si="276"/>
        <v>0</v>
      </c>
      <c r="AN606" s="487"/>
      <c r="AO606" s="488"/>
      <c r="AP606" s="487"/>
      <c r="AQ606" s="488"/>
      <c r="AR606" s="487"/>
      <c r="AS606" s="488"/>
      <c r="AT606" s="487"/>
      <c r="AU606" s="488"/>
      <c r="AV606" s="479">
        <f t="shared" si="277"/>
        <v>0</v>
      </c>
      <c r="AW606" s="483">
        <f t="shared" si="278"/>
        <v>0</v>
      </c>
      <c r="AX606" s="481">
        <f t="shared" si="279"/>
        <v>0</v>
      </c>
      <c r="AY606" s="484">
        <f t="shared" si="280"/>
        <v>0</v>
      </c>
      <c r="AZ606" s="485">
        <f t="shared" si="281"/>
        <v>384.75111111111107</v>
      </c>
      <c r="BA606" s="481">
        <f t="shared" si="282"/>
        <v>461.28666666666669</v>
      </c>
    </row>
    <row r="607" spans="1:53">
      <c r="A607" s="574" t="s">
        <v>273</v>
      </c>
      <c r="B607" s="609" t="s">
        <v>575</v>
      </c>
      <c r="C607" s="609"/>
      <c r="D607" s="608">
        <v>227386</v>
      </c>
      <c r="E607" s="611">
        <v>10</v>
      </c>
      <c r="F607" s="486" t="s">
        <v>41</v>
      </c>
      <c r="G607" s="529"/>
      <c r="H607" s="506">
        <v>23217</v>
      </c>
      <c r="I607" s="488">
        <v>23464</v>
      </c>
      <c r="J607" s="506">
        <v>3474</v>
      </c>
      <c r="K607" s="488">
        <v>3839</v>
      </c>
      <c r="L607" s="506">
        <v>1720</v>
      </c>
      <c r="M607" s="488">
        <v>1430</v>
      </c>
      <c r="N607" s="506">
        <v>25475</v>
      </c>
      <c r="O607" s="488">
        <v>27012</v>
      </c>
      <c r="P607" s="479">
        <f t="shared" si="265"/>
        <v>53886</v>
      </c>
      <c r="Q607" s="480">
        <f t="shared" si="266"/>
        <v>1796.2</v>
      </c>
      <c r="R607" s="481">
        <f t="shared" si="267"/>
        <v>55745</v>
      </c>
      <c r="S607" s="482">
        <f t="shared" si="268"/>
        <v>1858.1666666666667</v>
      </c>
      <c r="T607" s="506">
        <v>4716</v>
      </c>
      <c r="U607" s="507">
        <v>5264</v>
      </c>
      <c r="V607" s="479">
        <f t="shared" si="269"/>
        <v>53886</v>
      </c>
      <c r="W607" s="478">
        <f t="shared" si="270"/>
        <v>55745</v>
      </c>
      <c r="X607" s="506">
        <v>10491</v>
      </c>
      <c r="Y607" s="488">
        <v>10810</v>
      </c>
      <c r="Z607" s="506">
        <v>8811</v>
      </c>
      <c r="AA607" s="488">
        <v>11775</v>
      </c>
      <c r="AB607" s="506">
        <v>7199</v>
      </c>
      <c r="AC607" s="488">
        <v>10901</v>
      </c>
      <c r="AD607" s="506">
        <v>13957</v>
      </c>
      <c r="AE607" s="507">
        <v>12106</v>
      </c>
      <c r="AF607" s="479">
        <f t="shared" si="271"/>
        <v>40458</v>
      </c>
      <c r="AG607" s="480">
        <f t="shared" si="272"/>
        <v>44.953333333333333</v>
      </c>
      <c r="AH607" s="481">
        <f t="shared" si="273"/>
        <v>45592</v>
      </c>
      <c r="AI607" s="481">
        <f t="shared" si="274"/>
        <v>50.657777777777781</v>
      </c>
      <c r="AJ607" s="487"/>
      <c r="AK607" s="507"/>
      <c r="AL607" s="479">
        <f t="shared" si="275"/>
        <v>0</v>
      </c>
      <c r="AM607" s="482">
        <f t="shared" si="276"/>
        <v>0</v>
      </c>
      <c r="AN607" s="487"/>
      <c r="AO607" s="488"/>
      <c r="AP607" s="487"/>
      <c r="AQ607" s="488"/>
      <c r="AR607" s="487"/>
      <c r="AS607" s="488"/>
      <c r="AT607" s="487"/>
      <c r="AU607" s="488"/>
      <c r="AV607" s="479">
        <f t="shared" si="277"/>
        <v>0</v>
      </c>
      <c r="AW607" s="483">
        <f t="shared" si="278"/>
        <v>0</v>
      </c>
      <c r="AX607" s="481">
        <f t="shared" si="279"/>
        <v>0</v>
      </c>
      <c r="AY607" s="484">
        <f t="shared" si="280"/>
        <v>0</v>
      </c>
      <c r="AZ607" s="485">
        <f t="shared" si="281"/>
        <v>1841.1533333333334</v>
      </c>
      <c r="BA607" s="481">
        <f t="shared" si="282"/>
        <v>1908.8244444444445</v>
      </c>
    </row>
    <row r="608" spans="1:53">
      <c r="A608" s="574" t="s">
        <v>273</v>
      </c>
      <c r="B608" s="609" t="s">
        <v>576</v>
      </c>
      <c r="C608" s="609"/>
      <c r="D608" s="608">
        <v>227687</v>
      </c>
      <c r="E608" s="611">
        <v>10</v>
      </c>
      <c r="F608" s="486" t="s">
        <v>41</v>
      </c>
      <c r="G608" s="529"/>
      <c r="H608" s="506">
        <v>16285</v>
      </c>
      <c r="I608" s="488">
        <v>17823</v>
      </c>
      <c r="J608" s="506">
        <v>3662</v>
      </c>
      <c r="K608" s="488">
        <v>3981</v>
      </c>
      <c r="L608" s="506">
        <v>1126</v>
      </c>
      <c r="M608" s="488">
        <v>1043</v>
      </c>
      <c r="N608" s="506">
        <v>19687</v>
      </c>
      <c r="O608" s="488">
        <v>19607</v>
      </c>
      <c r="P608" s="479">
        <f t="shared" si="265"/>
        <v>40760</v>
      </c>
      <c r="Q608" s="480">
        <f t="shared" si="266"/>
        <v>1358.6666666666667</v>
      </c>
      <c r="R608" s="481">
        <f t="shared" si="267"/>
        <v>42454</v>
      </c>
      <c r="S608" s="482">
        <f t="shared" si="268"/>
        <v>1415.1333333333334</v>
      </c>
      <c r="T608" s="506">
        <v>5401</v>
      </c>
      <c r="U608" s="507">
        <v>6874</v>
      </c>
      <c r="V608" s="479">
        <f t="shared" si="269"/>
        <v>40760</v>
      </c>
      <c r="W608" s="478">
        <f t="shared" si="270"/>
        <v>42454</v>
      </c>
      <c r="X608" s="506">
        <v>2480</v>
      </c>
      <c r="Y608" s="488">
        <v>10114</v>
      </c>
      <c r="Z608" s="506">
        <v>1105</v>
      </c>
      <c r="AA608" s="488">
        <v>7352</v>
      </c>
      <c r="AB608" s="506">
        <v>4880</v>
      </c>
      <c r="AC608" s="488">
        <v>5580</v>
      </c>
      <c r="AD608" s="506">
        <v>7368</v>
      </c>
      <c r="AE608" s="507">
        <v>7432</v>
      </c>
      <c r="AF608" s="479">
        <f t="shared" si="271"/>
        <v>15833</v>
      </c>
      <c r="AG608" s="480">
        <f t="shared" si="272"/>
        <v>17.592222222222222</v>
      </c>
      <c r="AH608" s="481">
        <f t="shared" si="273"/>
        <v>30478</v>
      </c>
      <c r="AI608" s="481">
        <f t="shared" si="274"/>
        <v>33.864444444444445</v>
      </c>
      <c r="AJ608" s="487"/>
      <c r="AK608" s="507"/>
      <c r="AL608" s="479">
        <f t="shared" si="275"/>
        <v>0</v>
      </c>
      <c r="AM608" s="482">
        <f t="shared" si="276"/>
        <v>0</v>
      </c>
      <c r="AN608" s="487"/>
      <c r="AO608" s="488"/>
      <c r="AP608" s="487"/>
      <c r="AQ608" s="488"/>
      <c r="AR608" s="487"/>
      <c r="AS608" s="488"/>
      <c r="AT608" s="487"/>
      <c r="AU608" s="488"/>
      <c r="AV608" s="479">
        <f t="shared" si="277"/>
        <v>0</v>
      </c>
      <c r="AW608" s="483">
        <f t="shared" si="278"/>
        <v>0</v>
      </c>
      <c r="AX608" s="481">
        <f t="shared" si="279"/>
        <v>0</v>
      </c>
      <c r="AY608" s="484">
        <f t="shared" si="280"/>
        <v>0</v>
      </c>
      <c r="AZ608" s="485">
        <f t="shared" si="281"/>
        <v>1376.258888888889</v>
      </c>
      <c r="BA608" s="481">
        <f t="shared" si="282"/>
        <v>1448.9977777777779</v>
      </c>
    </row>
    <row r="609" spans="1:53">
      <c r="A609" s="574" t="s">
        <v>273</v>
      </c>
      <c r="B609" s="624" t="s">
        <v>577</v>
      </c>
      <c r="C609" s="624"/>
      <c r="D609" s="608">
        <v>382911</v>
      </c>
      <c r="E609" s="611">
        <v>10</v>
      </c>
      <c r="F609" s="486" t="s">
        <v>41</v>
      </c>
      <c r="G609" s="529"/>
      <c r="H609" s="506">
        <v>1357</v>
      </c>
      <c r="I609" s="488">
        <v>1348</v>
      </c>
      <c r="J609" s="506">
        <v>36</v>
      </c>
      <c r="K609" s="488">
        <v>18</v>
      </c>
      <c r="L609" s="506">
        <v>3</v>
      </c>
      <c r="M609" s="488">
        <v>6</v>
      </c>
      <c r="N609" s="506">
        <v>1548</v>
      </c>
      <c r="O609" s="488">
        <v>1470</v>
      </c>
      <c r="P609" s="479">
        <f t="shared" si="265"/>
        <v>2944</v>
      </c>
      <c r="Q609" s="480">
        <f t="shared" si="266"/>
        <v>98.13333333333334</v>
      </c>
      <c r="R609" s="481">
        <f t="shared" si="267"/>
        <v>2842</v>
      </c>
      <c r="S609" s="482">
        <f t="shared" si="268"/>
        <v>94.733333333333334</v>
      </c>
      <c r="T609" s="506">
        <v>0</v>
      </c>
      <c r="U609" s="507">
        <v>36</v>
      </c>
      <c r="V609" s="479">
        <f t="shared" si="269"/>
        <v>2944</v>
      </c>
      <c r="W609" s="478">
        <f t="shared" si="270"/>
        <v>2842</v>
      </c>
      <c r="X609" s="506"/>
      <c r="Y609" s="488"/>
      <c r="Z609" s="506"/>
      <c r="AA609" s="488"/>
      <c r="AB609" s="506"/>
      <c r="AC609" s="488"/>
      <c r="AD609" s="506"/>
      <c r="AE609" s="507"/>
      <c r="AF609" s="479">
        <f t="shared" si="271"/>
        <v>0</v>
      </c>
      <c r="AG609" s="480">
        <f t="shared" si="272"/>
        <v>0</v>
      </c>
      <c r="AH609" s="481">
        <f t="shared" si="273"/>
        <v>0</v>
      </c>
      <c r="AI609" s="481">
        <f t="shared" si="274"/>
        <v>0</v>
      </c>
      <c r="AJ609" s="487"/>
      <c r="AK609" s="507"/>
      <c r="AL609" s="479">
        <f t="shared" si="275"/>
        <v>0</v>
      </c>
      <c r="AM609" s="482">
        <f t="shared" si="276"/>
        <v>0</v>
      </c>
      <c r="AN609" s="487"/>
      <c r="AO609" s="488"/>
      <c r="AP609" s="487"/>
      <c r="AQ609" s="488"/>
      <c r="AR609" s="487"/>
      <c r="AS609" s="488"/>
      <c r="AT609" s="487"/>
      <c r="AU609" s="488"/>
      <c r="AV609" s="479">
        <f t="shared" si="277"/>
        <v>0</v>
      </c>
      <c r="AW609" s="483">
        <f t="shared" si="278"/>
        <v>0</v>
      </c>
      <c r="AX609" s="481">
        <f t="shared" si="279"/>
        <v>0</v>
      </c>
      <c r="AY609" s="484">
        <f t="shared" si="280"/>
        <v>0</v>
      </c>
      <c r="AZ609" s="485">
        <f t="shared" si="281"/>
        <v>98.13333333333334</v>
      </c>
      <c r="BA609" s="481">
        <f t="shared" si="282"/>
        <v>94.733333333333334</v>
      </c>
    </row>
    <row r="610" spans="1:53">
      <c r="A610" s="574" t="s">
        <v>273</v>
      </c>
      <c r="B610" s="609" t="s">
        <v>578</v>
      </c>
      <c r="C610" s="609"/>
      <c r="D610" s="608">
        <v>408394</v>
      </c>
      <c r="E610" s="611">
        <v>10</v>
      </c>
      <c r="F610" s="486" t="s">
        <v>41</v>
      </c>
      <c r="G610" s="529"/>
      <c r="H610" s="506">
        <v>7037</v>
      </c>
      <c r="I610" s="488">
        <v>6856</v>
      </c>
      <c r="J610" s="506">
        <v>4869</v>
      </c>
      <c r="K610" s="488">
        <v>4743</v>
      </c>
      <c r="L610" s="506">
        <v>0</v>
      </c>
      <c r="M610" s="488">
        <v>0</v>
      </c>
      <c r="N610" s="506">
        <v>6961</v>
      </c>
      <c r="O610" s="488">
        <v>7225</v>
      </c>
      <c r="P610" s="479">
        <f t="shared" si="265"/>
        <v>18867</v>
      </c>
      <c r="Q610" s="480">
        <f t="shared" si="266"/>
        <v>628.9</v>
      </c>
      <c r="R610" s="481">
        <f t="shared" si="267"/>
        <v>18824</v>
      </c>
      <c r="S610" s="482">
        <f t="shared" si="268"/>
        <v>627.4666666666667</v>
      </c>
      <c r="T610" s="506">
        <v>1901</v>
      </c>
      <c r="U610" s="507">
        <v>1843</v>
      </c>
      <c r="V610" s="479">
        <f t="shared" si="269"/>
        <v>18867</v>
      </c>
      <c r="W610" s="478">
        <f t="shared" si="270"/>
        <v>18824</v>
      </c>
      <c r="X610" s="506">
        <v>4184</v>
      </c>
      <c r="Y610" s="488">
        <v>4035</v>
      </c>
      <c r="Z610" s="506">
        <v>6216</v>
      </c>
      <c r="AA610" s="488">
        <v>6032</v>
      </c>
      <c r="AB610" s="506">
        <v>7206</v>
      </c>
      <c r="AC610" s="488">
        <v>4992</v>
      </c>
      <c r="AD610" s="506">
        <v>4859</v>
      </c>
      <c r="AE610" s="507">
        <v>4650</v>
      </c>
      <c r="AF610" s="479">
        <f t="shared" si="271"/>
        <v>22465</v>
      </c>
      <c r="AG610" s="480">
        <f t="shared" si="272"/>
        <v>24.961111111111112</v>
      </c>
      <c r="AH610" s="481">
        <f t="shared" si="273"/>
        <v>19709</v>
      </c>
      <c r="AI610" s="481">
        <f t="shared" si="274"/>
        <v>21.898888888888887</v>
      </c>
      <c r="AJ610" s="487"/>
      <c r="AK610" s="507"/>
      <c r="AL610" s="479">
        <f t="shared" si="275"/>
        <v>0</v>
      </c>
      <c r="AM610" s="482">
        <f t="shared" si="276"/>
        <v>0</v>
      </c>
      <c r="AN610" s="487"/>
      <c r="AO610" s="488"/>
      <c r="AP610" s="487"/>
      <c r="AQ610" s="488"/>
      <c r="AR610" s="487"/>
      <c r="AS610" s="488"/>
      <c r="AT610" s="487"/>
      <c r="AU610" s="488"/>
      <c r="AV610" s="479">
        <f t="shared" si="277"/>
        <v>0</v>
      </c>
      <c r="AW610" s="483">
        <f t="shared" si="278"/>
        <v>0</v>
      </c>
      <c r="AX610" s="481">
        <f t="shared" si="279"/>
        <v>0</v>
      </c>
      <c r="AY610" s="484">
        <f t="shared" si="280"/>
        <v>0</v>
      </c>
      <c r="AZ610" s="485">
        <f t="shared" si="281"/>
        <v>653.86111111111109</v>
      </c>
      <c r="BA610" s="481">
        <f t="shared" si="282"/>
        <v>649.3655555555556</v>
      </c>
    </row>
    <row r="611" spans="1:53">
      <c r="A611" s="574" t="s">
        <v>273</v>
      </c>
      <c r="B611" s="609" t="s">
        <v>579</v>
      </c>
      <c r="C611" s="609"/>
      <c r="D611" s="612">
        <v>229328</v>
      </c>
      <c r="E611" s="613">
        <v>10</v>
      </c>
      <c r="F611" s="486" t="s">
        <v>41</v>
      </c>
      <c r="G611" s="529"/>
      <c r="H611" s="506">
        <v>8866</v>
      </c>
      <c r="I611" s="488">
        <v>8599</v>
      </c>
      <c r="J611" s="506">
        <v>6651</v>
      </c>
      <c r="K611" s="488">
        <v>6628</v>
      </c>
      <c r="L611" s="506">
        <v>0</v>
      </c>
      <c r="M611" s="488">
        <v>0</v>
      </c>
      <c r="N611" s="506">
        <v>8078</v>
      </c>
      <c r="O611" s="488">
        <v>11121</v>
      </c>
      <c r="P611" s="479">
        <f t="shared" si="265"/>
        <v>23595</v>
      </c>
      <c r="Q611" s="480">
        <f t="shared" si="266"/>
        <v>786.5</v>
      </c>
      <c r="R611" s="481">
        <f t="shared" si="267"/>
        <v>26348</v>
      </c>
      <c r="S611" s="482">
        <f t="shared" si="268"/>
        <v>878.26666666666665</v>
      </c>
      <c r="T611" s="506">
        <v>381</v>
      </c>
      <c r="U611" s="507">
        <v>1943</v>
      </c>
      <c r="V611" s="479">
        <f t="shared" si="269"/>
        <v>23595</v>
      </c>
      <c r="W611" s="478">
        <f t="shared" si="270"/>
        <v>26348</v>
      </c>
      <c r="X611" s="506">
        <v>9980</v>
      </c>
      <c r="Y611" s="488">
        <v>2120</v>
      </c>
      <c r="Z611" s="506">
        <v>8544</v>
      </c>
      <c r="AA611" s="488">
        <v>7216</v>
      </c>
      <c r="AB611" s="506">
        <v>12996</v>
      </c>
      <c r="AC611" s="488">
        <v>3198</v>
      </c>
      <c r="AD611" s="506">
        <v>8336</v>
      </c>
      <c r="AE611" s="507">
        <v>3260</v>
      </c>
      <c r="AF611" s="479">
        <f t="shared" si="271"/>
        <v>39856</v>
      </c>
      <c r="AG611" s="480">
        <f t="shared" si="272"/>
        <v>44.284444444444446</v>
      </c>
      <c r="AH611" s="481">
        <f t="shared" si="273"/>
        <v>15794</v>
      </c>
      <c r="AI611" s="481">
        <f t="shared" si="274"/>
        <v>17.548888888888889</v>
      </c>
      <c r="AJ611" s="487"/>
      <c r="AK611" s="507"/>
      <c r="AL611" s="479">
        <f t="shared" si="275"/>
        <v>0</v>
      </c>
      <c r="AM611" s="482">
        <f t="shared" si="276"/>
        <v>0</v>
      </c>
      <c r="AN611" s="487"/>
      <c r="AO611" s="488"/>
      <c r="AP611" s="487"/>
      <c r="AQ611" s="488"/>
      <c r="AR611" s="487"/>
      <c r="AS611" s="488"/>
      <c r="AT611" s="487"/>
      <c r="AU611" s="488"/>
      <c r="AV611" s="479">
        <f t="shared" si="277"/>
        <v>0</v>
      </c>
      <c r="AW611" s="483">
        <f t="shared" si="278"/>
        <v>0</v>
      </c>
      <c r="AX611" s="481">
        <f t="shared" si="279"/>
        <v>0</v>
      </c>
      <c r="AY611" s="484">
        <f t="shared" si="280"/>
        <v>0</v>
      </c>
      <c r="AZ611" s="485">
        <f t="shared" si="281"/>
        <v>830.78444444444449</v>
      </c>
      <c r="BA611" s="481">
        <f t="shared" si="282"/>
        <v>895.81555555555553</v>
      </c>
    </row>
    <row r="612" spans="1:53">
      <c r="A612" s="574" t="s">
        <v>273</v>
      </c>
      <c r="B612" s="609" t="s">
        <v>580</v>
      </c>
      <c r="C612" s="609"/>
      <c r="D612" s="608">
        <v>229832</v>
      </c>
      <c r="E612" s="611">
        <v>10</v>
      </c>
      <c r="F612" s="486" t="s">
        <v>41</v>
      </c>
      <c r="G612" s="529"/>
      <c r="H612" s="506">
        <v>18418</v>
      </c>
      <c r="I612" s="488">
        <v>17903</v>
      </c>
      <c r="J612" s="506">
        <v>8321</v>
      </c>
      <c r="K612" s="488">
        <v>8393</v>
      </c>
      <c r="L612" s="506">
        <v>2290</v>
      </c>
      <c r="M612" s="488">
        <v>2760</v>
      </c>
      <c r="N612" s="506">
        <v>17958</v>
      </c>
      <c r="O612" s="488">
        <v>17048</v>
      </c>
      <c r="P612" s="479">
        <f t="shared" si="265"/>
        <v>46987</v>
      </c>
      <c r="Q612" s="480">
        <f t="shared" si="266"/>
        <v>1566.2333333333333</v>
      </c>
      <c r="R612" s="481">
        <f t="shared" si="267"/>
        <v>46104</v>
      </c>
      <c r="S612" s="482">
        <f t="shared" si="268"/>
        <v>1536.8</v>
      </c>
      <c r="T612" s="506">
        <v>8280</v>
      </c>
      <c r="U612" s="507">
        <v>7916</v>
      </c>
      <c r="V612" s="479">
        <f t="shared" si="269"/>
        <v>46987</v>
      </c>
      <c r="W612" s="478">
        <f t="shared" si="270"/>
        <v>46104</v>
      </c>
      <c r="X612" s="506">
        <v>39988</v>
      </c>
      <c r="Y612" s="488">
        <v>45219</v>
      </c>
      <c r="Z612" s="506">
        <v>42642</v>
      </c>
      <c r="AA612" s="488">
        <v>41568</v>
      </c>
      <c r="AB612" s="506">
        <v>20974</v>
      </c>
      <c r="AC612" s="488">
        <v>22066</v>
      </c>
      <c r="AD612" s="506">
        <v>47085</v>
      </c>
      <c r="AE612" s="507">
        <v>30300</v>
      </c>
      <c r="AF612" s="479">
        <f t="shared" si="271"/>
        <v>150689</v>
      </c>
      <c r="AG612" s="480">
        <f t="shared" si="272"/>
        <v>167.43222222222221</v>
      </c>
      <c r="AH612" s="481">
        <f t="shared" si="273"/>
        <v>139153</v>
      </c>
      <c r="AI612" s="481">
        <f t="shared" si="274"/>
        <v>154.61444444444444</v>
      </c>
      <c r="AJ612" s="487"/>
      <c r="AK612" s="507"/>
      <c r="AL612" s="479">
        <f t="shared" si="275"/>
        <v>0</v>
      </c>
      <c r="AM612" s="482">
        <f t="shared" si="276"/>
        <v>0</v>
      </c>
      <c r="AN612" s="487"/>
      <c r="AO612" s="488"/>
      <c r="AP612" s="487"/>
      <c r="AQ612" s="488"/>
      <c r="AR612" s="487"/>
      <c r="AS612" s="488"/>
      <c r="AT612" s="487"/>
      <c r="AU612" s="488"/>
      <c r="AV612" s="479">
        <f t="shared" si="277"/>
        <v>0</v>
      </c>
      <c r="AW612" s="483">
        <f t="shared" si="278"/>
        <v>0</v>
      </c>
      <c r="AX612" s="481">
        <f t="shared" si="279"/>
        <v>0</v>
      </c>
      <c r="AY612" s="484">
        <f t="shared" si="280"/>
        <v>0</v>
      </c>
      <c r="AZ612" s="485">
        <f t="shared" si="281"/>
        <v>1733.6655555555556</v>
      </c>
      <c r="BA612" s="481">
        <f t="shared" si="282"/>
        <v>1691.4144444444444</v>
      </c>
    </row>
    <row r="613" spans="1:53">
      <c r="A613" s="574" t="s">
        <v>273</v>
      </c>
      <c r="B613" s="619" t="s">
        <v>581</v>
      </c>
      <c r="C613" s="619"/>
      <c r="D613" s="548"/>
      <c r="E613" s="626">
        <v>11</v>
      </c>
      <c r="F613" s="486" t="s">
        <v>41</v>
      </c>
      <c r="G613" s="529"/>
      <c r="H613" s="627">
        <v>462610</v>
      </c>
      <c r="I613" s="628">
        <f>I617+I621</f>
        <v>466810</v>
      </c>
      <c r="J613" s="627">
        <v>185595</v>
      </c>
      <c r="K613" s="628">
        <f>K617+K621</f>
        <v>176466</v>
      </c>
      <c r="L613" s="627">
        <v>0</v>
      </c>
      <c r="M613" s="629">
        <f>M617+M621</f>
        <v>0</v>
      </c>
      <c r="N613" s="627">
        <v>424563</v>
      </c>
      <c r="O613" s="629">
        <f>O617+O621</f>
        <v>420420</v>
      </c>
      <c r="P613" s="479">
        <f t="shared" si="265"/>
        <v>1072768</v>
      </c>
      <c r="Q613" s="480">
        <f t="shared" si="266"/>
        <v>35758.933333333334</v>
      </c>
      <c r="R613" s="481">
        <f t="shared" si="267"/>
        <v>1063696</v>
      </c>
      <c r="S613" s="482">
        <f t="shared" si="268"/>
        <v>35456.533333333333</v>
      </c>
      <c r="T613" s="627">
        <v>83873</v>
      </c>
      <c r="U613" s="629">
        <f>U617+U621</f>
        <v>84789</v>
      </c>
      <c r="V613" s="479">
        <f t="shared" si="269"/>
        <v>1072768</v>
      </c>
      <c r="W613" s="478">
        <f t="shared" si="270"/>
        <v>1063696</v>
      </c>
      <c r="X613" s="627">
        <v>146380</v>
      </c>
      <c r="Y613" s="628">
        <f>Y617+Y621</f>
        <v>144847</v>
      </c>
      <c r="Z613" s="627">
        <v>167556</v>
      </c>
      <c r="AA613" s="628">
        <f>AA617+AA621</f>
        <v>163080</v>
      </c>
      <c r="AB613" s="627">
        <v>151927</v>
      </c>
      <c r="AC613" s="628">
        <f>AC617+AC621</f>
        <v>172507</v>
      </c>
      <c r="AD613" s="627">
        <v>160897</v>
      </c>
      <c r="AE613" s="628">
        <f>AE617+AE621</f>
        <v>161929</v>
      </c>
      <c r="AF613" s="479">
        <f t="shared" si="271"/>
        <v>626760</v>
      </c>
      <c r="AG613" s="480">
        <f t="shared" si="272"/>
        <v>696.4</v>
      </c>
      <c r="AH613" s="481">
        <f t="shared" si="273"/>
        <v>642363</v>
      </c>
      <c r="AI613" s="481">
        <f t="shared" si="274"/>
        <v>713.73666666666668</v>
      </c>
      <c r="AJ613" s="487"/>
      <c r="AK613" s="507"/>
      <c r="AL613" s="479">
        <f t="shared" si="275"/>
        <v>0</v>
      </c>
      <c r="AM613" s="482">
        <f t="shared" si="276"/>
        <v>0</v>
      </c>
      <c r="AN613" s="487"/>
      <c r="AO613" s="488"/>
      <c r="AP613" s="487"/>
      <c r="AQ613" s="488"/>
      <c r="AR613" s="487"/>
      <c r="AS613" s="488"/>
      <c r="AT613" s="487"/>
      <c r="AU613" s="488"/>
      <c r="AV613" s="479">
        <f t="shared" si="277"/>
        <v>0</v>
      </c>
      <c r="AW613" s="483">
        <f t="shared" si="278"/>
        <v>0</v>
      </c>
      <c r="AX613" s="481">
        <f t="shared" si="279"/>
        <v>0</v>
      </c>
      <c r="AY613" s="484">
        <f t="shared" si="280"/>
        <v>0</v>
      </c>
      <c r="AZ613" s="485">
        <f t="shared" si="281"/>
        <v>36455.333333333336</v>
      </c>
      <c r="BA613" s="481">
        <f t="shared" si="282"/>
        <v>36170.269999999997</v>
      </c>
    </row>
    <row r="614" spans="1:53">
      <c r="A614" s="574" t="s">
        <v>273</v>
      </c>
      <c r="B614" s="615" t="s">
        <v>582</v>
      </c>
      <c r="C614" s="615"/>
      <c r="D614" s="548"/>
      <c r="E614" s="626">
        <v>11</v>
      </c>
      <c r="F614" s="486" t="s">
        <v>41</v>
      </c>
      <c r="G614" s="529"/>
      <c r="H614" s="627">
        <v>568362</v>
      </c>
      <c r="I614" s="628">
        <f>I618+I619</f>
        <v>554155</v>
      </c>
      <c r="J614" s="627">
        <v>283608</v>
      </c>
      <c r="K614" s="628">
        <f>K618+K619</f>
        <v>304437</v>
      </c>
      <c r="L614" s="627">
        <v>0</v>
      </c>
      <c r="M614" s="629">
        <f>M618+M619</f>
        <v>0</v>
      </c>
      <c r="N614" s="627">
        <v>518278</v>
      </c>
      <c r="O614" s="629">
        <f>O618+O619</f>
        <v>486181</v>
      </c>
      <c r="P614" s="479">
        <f t="shared" si="265"/>
        <v>1370248</v>
      </c>
      <c r="Q614" s="480">
        <f t="shared" si="266"/>
        <v>45674.933333333334</v>
      </c>
      <c r="R614" s="481">
        <f t="shared" si="267"/>
        <v>1344773</v>
      </c>
      <c r="S614" s="482">
        <f t="shared" si="268"/>
        <v>44825.76666666667</v>
      </c>
      <c r="T614" s="627">
        <v>96376</v>
      </c>
      <c r="U614" s="629">
        <f>U618+U619</f>
        <v>109912</v>
      </c>
      <c r="V614" s="479">
        <f t="shared" si="269"/>
        <v>1370248</v>
      </c>
      <c r="W614" s="478">
        <f t="shared" si="270"/>
        <v>1344773</v>
      </c>
      <c r="X614" s="627">
        <v>728897</v>
      </c>
      <c r="Y614" s="628">
        <f>Y618+Y619</f>
        <v>756491</v>
      </c>
      <c r="Z614" s="627">
        <v>806582</v>
      </c>
      <c r="AA614" s="628">
        <f>AA618+AA619</f>
        <v>747074</v>
      </c>
      <c r="AB614" s="627">
        <v>734099</v>
      </c>
      <c r="AC614" s="628">
        <f>AC618+AC619</f>
        <v>709204</v>
      </c>
      <c r="AD614" s="627">
        <v>843837</v>
      </c>
      <c r="AE614" s="628">
        <f>AE618+AE619</f>
        <v>868668</v>
      </c>
      <c r="AF614" s="479">
        <f t="shared" si="271"/>
        <v>3113415</v>
      </c>
      <c r="AG614" s="480">
        <f t="shared" si="272"/>
        <v>3459.35</v>
      </c>
      <c r="AH614" s="481">
        <f t="shared" si="273"/>
        <v>3081437</v>
      </c>
      <c r="AI614" s="481">
        <f t="shared" si="274"/>
        <v>3423.818888888889</v>
      </c>
      <c r="AJ614" s="487"/>
      <c r="AK614" s="507"/>
      <c r="AL614" s="479">
        <f t="shared" si="275"/>
        <v>0</v>
      </c>
      <c r="AM614" s="482">
        <f t="shared" si="276"/>
        <v>0</v>
      </c>
      <c r="AN614" s="487"/>
      <c r="AO614" s="488"/>
      <c r="AP614" s="487"/>
      <c r="AQ614" s="488"/>
      <c r="AR614" s="487"/>
      <c r="AS614" s="488"/>
      <c r="AT614" s="487"/>
      <c r="AU614" s="488"/>
      <c r="AV614" s="479">
        <f t="shared" si="277"/>
        <v>0</v>
      </c>
      <c r="AW614" s="483">
        <f t="shared" si="278"/>
        <v>0</v>
      </c>
      <c r="AX614" s="481">
        <f t="shared" si="279"/>
        <v>0</v>
      </c>
      <c r="AY614" s="484">
        <f t="shared" si="280"/>
        <v>0</v>
      </c>
      <c r="AZ614" s="485">
        <f t="shared" si="281"/>
        <v>49134.283333333333</v>
      </c>
      <c r="BA614" s="481">
        <f t="shared" si="282"/>
        <v>48249.585555555561</v>
      </c>
    </row>
    <row r="615" spans="1:53">
      <c r="A615" s="574" t="s">
        <v>273</v>
      </c>
      <c r="B615" s="621" t="s">
        <v>583</v>
      </c>
      <c r="C615" s="621"/>
      <c r="D615" s="548"/>
      <c r="E615" s="626">
        <v>11</v>
      </c>
      <c r="F615" s="486" t="s">
        <v>41</v>
      </c>
      <c r="G615" s="529"/>
      <c r="H615" s="627">
        <v>37381</v>
      </c>
      <c r="I615" s="628">
        <f>I620+I622</f>
        <v>34795</v>
      </c>
      <c r="J615" s="627">
        <v>6109</v>
      </c>
      <c r="K615" s="628">
        <f>K620+K622</f>
        <v>4887</v>
      </c>
      <c r="L615" s="627">
        <v>2417</v>
      </c>
      <c r="M615" s="629">
        <f>M620+M622</f>
        <v>1856</v>
      </c>
      <c r="N615" s="627">
        <v>37887</v>
      </c>
      <c r="O615" s="629">
        <f>O620+O622</f>
        <v>33505</v>
      </c>
      <c r="P615" s="479">
        <f t="shared" si="265"/>
        <v>83794</v>
      </c>
      <c r="Q615" s="480">
        <f t="shared" si="266"/>
        <v>2793.1333333333332</v>
      </c>
      <c r="R615" s="481">
        <f t="shared" si="267"/>
        <v>75043</v>
      </c>
      <c r="S615" s="482">
        <f t="shared" si="268"/>
        <v>2501.4333333333334</v>
      </c>
      <c r="T615" s="627">
        <v>15363</v>
      </c>
      <c r="U615" s="629">
        <f>U620+U622</f>
        <v>15565</v>
      </c>
      <c r="V615" s="479">
        <f t="shared" si="269"/>
        <v>83794</v>
      </c>
      <c r="W615" s="478">
        <f t="shared" si="270"/>
        <v>75043</v>
      </c>
      <c r="X615" s="627">
        <v>152001</v>
      </c>
      <c r="Y615" s="628">
        <f>Y620+Y622</f>
        <v>144936</v>
      </c>
      <c r="Z615" s="627">
        <v>158222</v>
      </c>
      <c r="AA615" s="628">
        <f>AA620+AA622</f>
        <v>179106</v>
      </c>
      <c r="AB615" s="627">
        <v>172275</v>
      </c>
      <c r="AC615" s="628">
        <f>AC620+AC622</f>
        <v>158654</v>
      </c>
      <c r="AD615" s="627">
        <v>156967</v>
      </c>
      <c r="AE615" s="628">
        <f>AE620+AE622</f>
        <v>166090</v>
      </c>
      <c r="AF615" s="479">
        <f t="shared" si="271"/>
        <v>639465</v>
      </c>
      <c r="AG615" s="480">
        <f t="shared" si="272"/>
        <v>710.51666666666665</v>
      </c>
      <c r="AH615" s="481">
        <f t="shared" si="273"/>
        <v>648786</v>
      </c>
      <c r="AI615" s="481">
        <f t="shared" si="274"/>
        <v>720.87333333333333</v>
      </c>
      <c r="AJ615" s="487"/>
      <c r="AK615" s="507"/>
      <c r="AL615" s="479">
        <f t="shared" si="275"/>
        <v>0</v>
      </c>
      <c r="AM615" s="482">
        <f t="shared" si="276"/>
        <v>0</v>
      </c>
      <c r="AN615" s="487"/>
      <c r="AO615" s="488"/>
      <c r="AP615" s="487"/>
      <c r="AQ615" s="488"/>
      <c r="AR615" s="487"/>
      <c r="AS615" s="488"/>
      <c r="AT615" s="487"/>
      <c r="AU615" s="488"/>
      <c r="AV615" s="479">
        <f t="shared" si="277"/>
        <v>0</v>
      </c>
      <c r="AW615" s="483">
        <f t="shared" si="278"/>
        <v>0</v>
      </c>
      <c r="AX615" s="481">
        <f t="shared" si="279"/>
        <v>0</v>
      </c>
      <c r="AY615" s="484">
        <f t="shared" si="280"/>
        <v>0</v>
      </c>
      <c r="AZ615" s="485">
        <f t="shared" si="281"/>
        <v>3503.6499999999996</v>
      </c>
      <c r="BA615" s="481">
        <f t="shared" si="282"/>
        <v>3222.3066666666668</v>
      </c>
    </row>
    <row r="616" spans="1:53">
      <c r="A616" s="574" t="s">
        <v>273</v>
      </c>
      <c r="B616" s="605" t="s">
        <v>584</v>
      </c>
      <c r="C616" s="576" t="s">
        <v>585</v>
      </c>
      <c r="D616" s="819">
        <v>443711</v>
      </c>
      <c r="E616" s="611">
        <v>99</v>
      </c>
      <c r="F616" s="486" t="s">
        <v>41</v>
      </c>
      <c r="G616" s="529"/>
      <c r="H616" s="506"/>
      <c r="I616" s="632"/>
      <c r="J616" s="506">
        <v>13413</v>
      </c>
      <c r="K616" s="632">
        <v>14760</v>
      </c>
      <c r="L616" s="506">
        <v>3793</v>
      </c>
      <c r="M616" s="488">
        <v>3202</v>
      </c>
      <c r="N616" s="506">
        <v>16167</v>
      </c>
      <c r="O616" s="488">
        <v>16208</v>
      </c>
      <c r="P616" s="479">
        <f t="shared" si="265"/>
        <v>33373</v>
      </c>
      <c r="Q616" s="480">
        <f t="shared" si="266"/>
        <v>1112.4333333333334</v>
      </c>
      <c r="R616" s="481">
        <f t="shared" si="267"/>
        <v>34170</v>
      </c>
      <c r="S616" s="482">
        <f t="shared" si="268"/>
        <v>1139</v>
      </c>
      <c r="T616" s="506">
        <v>0</v>
      </c>
      <c r="U616" s="507"/>
      <c r="V616" s="479">
        <f t="shared" si="269"/>
        <v>33373</v>
      </c>
      <c r="W616" s="478">
        <f t="shared" si="270"/>
        <v>0</v>
      </c>
      <c r="X616" s="506"/>
      <c r="Y616" s="632"/>
      <c r="Z616" s="506"/>
      <c r="AA616" s="632"/>
      <c r="AB616" s="506"/>
      <c r="AC616" s="632"/>
      <c r="AD616" s="506"/>
      <c r="AE616" s="633"/>
      <c r="AF616" s="479">
        <f t="shared" si="271"/>
        <v>0</v>
      </c>
      <c r="AG616" s="480">
        <f t="shared" si="272"/>
        <v>0</v>
      </c>
      <c r="AH616" s="481">
        <f t="shared" si="273"/>
        <v>0</v>
      </c>
      <c r="AI616" s="481">
        <f t="shared" si="274"/>
        <v>0</v>
      </c>
      <c r="AJ616" s="487"/>
      <c r="AK616" s="507"/>
      <c r="AL616" s="479">
        <f t="shared" si="275"/>
        <v>0</v>
      </c>
      <c r="AM616" s="482">
        <f t="shared" si="276"/>
        <v>0</v>
      </c>
      <c r="AN616" s="487"/>
      <c r="AO616" s="488"/>
      <c r="AP616" s="487">
        <v>1428</v>
      </c>
      <c r="AQ616" s="488">
        <v>1440</v>
      </c>
      <c r="AR616" s="487">
        <v>1194</v>
      </c>
      <c r="AS616" s="488">
        <v>1125</v>
      </c>
      <c r="AT616" s="487">
        <v>1527</v>
      </c>
      <c r="AU616" s="488">
        <v>1329</v>
      </c>
      <c r="AV616" s="479">
        <f t="shared" si="277"/>
        <v>4149</v>
      </c>
      <c r="AW616" s="483">
        <f t="shared" si="278"/>
        <v>172.875</v>
      </c>
      <c r="AX616" s="481">
        <f t="shared" si="279"/>
        <v>3894</v>
      </c>
      <c r="AY616" s="484">
        <f t="shared" si="280"/>
        <v>162.25</v>
      </c>
      <c r="AZ616" s="485">
        <f t="shared" si="281"/>
        <v>1285.3083333333334</v>
      </c>
      <c r="BA616" s="481">
        <f t="shared" si="282"/>
        <v>1301.25</v>
      </c>
    </row>
    <row r="617" spans="1:53">
      <c r="A617" s="574" t="s">
        <v>273</v>
      </c>
      <c r="B617" s="619" t="s">
        <v>581</v>
      </c>
      <c r="C617" s="625"/>
      <c r="D617" s="548"/>
      <c r="E617" s="634" t="s">
        <v>274</v>
      </c>
      <c r="F617" s="486" t="s">
        <v>41</v>
      </c>
      <c r="G617" s="529"/>
      <c r="H617" s="627">
        <v>458263</v>
      </c>
      <c r="I617" s="628">
        <f>SUM(I566,I567,I569,I572)</f>
        <v>462304</v>
      </c>
      <c r="J617" s="627">
        <v>184811</v>
      </c>
      <c r="K617" s="628">
        <f>SUM(K566,K567,K569,K572)</f>
        <v>175365</v>
      </c>
      <c r="L617" s="627">
        <v>0</v>
      </c>
      <c r="M617" s="629">
        <f>SUM(M566,M567,M569,M572)</f>
        <v>0</v>
      </c>
      <c r="N617" s="627">
        <v>419640</v>
      </c>
      <c r="O617" s="629">
        <f>SUM(O566,O567,O569,O572)</f>
        <v>414174</v>
      </c>
      <c r="P617" s="479">
        <f t="shared" si="265"/>
        <v>1062714</v>
      </c>
      <c r="Q617" s="480">
        <f t="shared" si="266"/>
        <v>35423.800000000003</v>
      </c>
      <c r="R617" s="481">
        <f t="shared" si="267"/>
        <v>1051843</v>
      </c>
      <c r="S617" s="482">
        <f t="shared" si="268"/>
        <v>35061.433333333334</v>
      </c>
      <c r="T617" s="627">
        <v>83873</v>
      </c>
      <c r="U617" s="629">
        <f>SUM(U566,U567,U569,U572)</f>
        <v>84789</v>
      </c>
      <c r="V617" s="479">
        <f t="shared" si="269"/>
        <v>1062714</v>
      </c>
      <c r="W617" s="478">
        <f t="shared" si="270"/>
        <v>1051843</v>
      </c>
      <c r="X617" s="627">
        <v>131220</v>
      </c>
      <c r="Y617" s="628">
        <f>SUM(Y566,Y567,Y569,Y572)</f>
        <v>129711</v>
      </c>
      <c r="Z617" s="627">
        <v>155268</v>
      </c>
      <c r="AA617" s="628">
        <f>SUM(AA566,AA567,AA569,AA572)</f>
        <v>147464</v>
      </c>
      <c r="AB617" s="627">
        <v>142967</v>
      </c>
      <c r="AC617" s="628">
        <f>SUM(AC566,AC567,AC569,AC572)</f>
        <v>159819</v>
      </c>
      <c r="AD617" s="627">
        <v>152649</v>
      </c>
      <c r="AE617" s="628">
        <f>SUM(AE566,AE567,AE569,AE572)</f>
        <v>145801</v>
      </c>
      <c r="AF617" s="479">
        <f t="shared" si="271"/>
        <v>582104</v>
      </c>
      <c r="AG617" s="480">
        <f t="shared" si="272"/>
        <v>646.78222222222223</v>
      </c>
      <c r="AH617" s="481">
        <f t="shared" si="273"/>
        <v>582795</v>
      </c>
      <c r="AI617" s="481">
        <f t="shared" si="274"/>
        <v>647.54999999999995</v>
      </c>
      <c r="AJ617" s="487"/>
      <c r="AK617" s="507"/>
      <c r="AL617" s="479">
        <f t="shared" si="275"/>
        <v>0</v>
      </c>
      <c r="AM617" s="482">
        <f t="shared" si="276"/>
        <v>0</v>
      </c>
      <c r="AN617" s="487"/>
      <c r="AO617" s="488"/>
      <c r="AP617" s="487"/>
      <c r="AQ617" s="488"/>
      <c r="AR617" s="487"/>
      <c r="AS617" s="488"/>
      <c r="AT617" s="487"/>
      <c r="AU617" s="488"/>
      <c r="AV617" s="479">
        <f t="shared" si="277"/>
        <v>0</v>
      </c>
      <c r="AW617" s="483">
        <f t="shared" si="278"/>
        <v>0</v>
      </c>
      <c r="AX617" s="481">
        <f t="shared" si="279"/>
        <v>0</v>
      </c>
      <c r="AY617" s="484">
        <f t="shared" si="280"/>
        <v>0</v>
      </c>
      <c r="AZ617" s="485">
        <f t="shared" si="281"/>
        <v>36070.582222222227</v>
      </c>
      <c r="BA617" s="481">
        <f t="shared" si="282"/>
        <v>35708.983333333337</v>
      </c>
    </row>
    <row r="618" spans="1:53">
      <c r="A618" s="574" t="s">
        <v>273</v>
      </c>
      <c r="B618" s="615" t="s">
        <v>582</v>
      </c>
      <c r="C618" s="630"/>
      <c r="D618" s="548"/>
      <c r="E618" s="634" t="s">
        <v>274</v>
      </c>
      <c r="F618" s="486" t="s">
        <v>41</v>
      </c>
      <c r="G618" s="529"/>
      <c r="H618" s="627">
        <v>469560</v>
      </c>
      <c r="I618" s="628">
        <f>SUM(I551,I555,I556,I565,I568)</f>
        <v>455825</v>
      </c>
      <c r="J618" s="627">
        <v>236064</v>
      </c>
      <c r="K618" s="628">
        <f>SUM(K551,K555,K556,K565,K568)</f>
        <v>252223</v>
      </c>
      <c r="L618" s="627">
        <v>0</v>
      </c>
      <c r="M618" s="629">
        <f>SUM(M551,M555,M556,M565,M568)</f>
        <v>0</v>
      </c>
      <c r="N618" s="627">
        <v>422134</v>
      </c>
      <c r="O618" s="629">
        <f>SUM(O551,O555,O556,O565,O568)</f>
        <v>396019</v>
      </c>
      <c r="P618" s="479">
        <f t="shared" si="265"/>
        <v>1127758</v>
      </c>
      <c r="Q618" s="480">
        <f t="shared" si="266"/>
        <v>37591.933333333334</v>
      </c>
      <c r="R618" s="481">
        <f t="shared" si="267"/>
        <v>1104067</v>
      </c>
      <c r="S618" s="482">
        <f t="shared" si="268"/>
        <v>36802.23333333333</v>
      </c>
      <c r="T618" s="627">
        <v>75818</v>
      </c>
      <c r="U618" s="629">
        <f>SUM(U551,U555,U556,U565,U568)</f>
        <v>89426</v>
      </c>
      <c r="V618" s="479">
        <f t="shared" si="269"/>
        <v>1127758</v>
      </c>
      <c r="W618" s="478">
        <f t="shared" si="270"/>
        <v>1104067</v>
      </c>
      <c r="X618" s="627">
        <v>666754</v>
      </c>
      <c r="Y618" s="628">
        <f>SUM(Y551,Y555,Y556,Y565,Y568)</f>
        <v>690817</v>
      </c>
      <c r="Z618" s="627">
        <v>715573</v>
      </c>
      <c r="AA618" s="628">
        <f>SUM(AA551,AA555,AA556,AA565,AA568)</f>
        <v>673876</v>
      </c>
      <c r="AB618" s="627">
        <v>650623</v>
      </c>
      <c r="AC618" s="628">
        <f>SUM(AC551,AC555,AC556,AC565,AC568)</f>
        <v>639000</v>
      </c>
      <c r="AD618" s="627">
        <v>763341</v>
      </c>
      <c r="AE618" s="628">
        <f>SUM(AE551,AE555,AE556,AE565,AE568)</f>
        <v>797417</v>
      </c>
      <c r="AF618" s="479">
        <f t="shared" si="271"/>
        <v>2796291</v>
      </c>
      <c r="AG618" s="480">
        <f t="shared" si="272"/>
        <v>3106.99</v>
      </c>
      <c r="AH618" s="481">
        <f t="shared" si="273"/>
        <v>2801110</v>
      </c>
      <c r="AI618" s="481">
        <f t="shared" si="274"/>
        <v>3112.3444444444444</v>
      </c>
      <c r="AJ618" s="487"/>
      <c r="AK618" s="507"/>
      <c r="AL618" s="479">
        <f t="shared" si="275"/>
        <v>0</v>
      </c>
      <c r="AM618" s="482">
        <f t="shared" si="276"/>
        <v>0</v>
      </c>
      <c r="AN618" s="487"/>
      <c r="AO618" s="488"/>
      <c r="AP618" s="487"/>
      <c r="AQ618" s="488"/>
      <c r="AR618" s="487"/>
      <c r="AS618" s="488"/>
      <c r="AT618" s="487"/>
      <c r="AU618" s="488"/>
      <c r="AV618" s="479">
        <f t="shared" si="277"/>
        <v>0</v>
      </c>
      <c r="AW618" s="483">
        <f t="shared" si="278"/>
        <v>0</v>
      </c>
      <c r="AX618" s="481">
        <f t="shared" si="279"/>
        <v>0</v>
      </c>
      <c r="AY618" s="484">
        <f t="shared" si="280"/>
        <v>0</v>
      </c>
      <c r="AZ618" s="485">
        <f t="shared" si="281"/>
        <v>40698.923333333332</v>
      </c>
      <c r="BA618" s="481">
        <f t="shared" si="282"/>
        <v>39914.577777777777</v>
      </c>
    </row>
    <row r="619" spans="1:53">
      <c r="A619" s="574" t="s">
        <v>273</v>
      </c>
      <c r="B619" s="620" t="s">
        <v>582</v>
      </c>
      <c r="C619" s="635"/>
      <c r="D619" s="548"/>
      <c r="E619" s="634" t="s">
        <v>275</v>
      </c>
      <c r="F619" s="486" t="s">
        <v>41</v>
      </c>
      <c r="G619" s="529"/>
      <c r="H619" s="627">
        <v>98802</v>
      </c>
      <c r="I619" s="628">
        <f>I580+I590</f>
        <v>98330</v>
      </c>
      <c r="J619" s="627">
        <v>47544</v>
      </c>
      <c r="K619" s="628">
        <f>K580+K590</f>
        <v>52214</v>
      </c>
      <c r="L619" s="627">
        <v>0</v>
      </c>
      <c r="M619" s="629">
        <f>M580+M590</f>
        <v>0</v>
      </c>
      <c r="N619" s="627">
        <v>96144</v>
      </c>
      <c r="O619" s="629">
        <f>O580+O590</f>
        <v>90162</v>
      </c>
      <c r="P619" s="479">
        <f t="shared" si="265"/>
        <v>242490</v>
      </c>
      <c r="Q619" s="480">
        <f t="shared" si="266"/>
        <v>8083</v>
      </c>
      <c r="R619" s="481">
        <f t="shared" si="267"/>
        <v>240706</v>
      </c>
      <c r="S619" s="482">
        <f t="shared" si="268"/>
        <v>8023.5333333333338</v>
      </c>
      <c r="T619" s="627">
        <v>20558</v>
      </c>
      <c r="U619" s="629">
        <f>U580+U590</f>
        <v>20486</v>
      </c>
      <c r="V619" s="479">
        <f t="shared" si="269"/>
        <v>242490</v>
      </c>
      <c r="W619" s="478">
        <f t="shared" si="270"/>
        <v>240706</v>
      </c>
      <c r="X619" s="627">
        <v>62143</v>
      </c>
      <c r="Y619" s="628">
        <f>Y580+Y590</f>
        <v>65674</v>
      </c>
      <c r="Z619" s="627">
        <v>91009</v>
      </c>
      <c r="AA619" s="628">
        <f>AA580+AA590</f>
        <v>73198</v>
      </c>
      <c r="AB619" s="627">
        <v>83476</v>
      </c>
      <c r="AC619" s="628">
        <f>AC580+AC590</f>
        <v>70204</v>
      </c>
      <c r="AD619" s="627">
        <v>80496</v>
      </c>
      <c r="AE619" s="628">
        <f>AE580+AE590</f>
        <v>71251</v>
      </c>
      <c r="AF619" s="479">
        <f t="shared" si="271"/>
        <v>317124</v>
      </c>
      <c r="AG619" s="480">
        <f t="shared" si="272"/>
        <v>352.36</v>
      </c>
      <c r="AH619" s="481">
        <f t="shared" si="273"/>
        <v>280327</v>
      </c>
      <c r="AI619" s="481">
        <f t="shared" si="274"/>
        <v>311.47444444444443</v>
      </c>
      <c r="AJ619" s="487"/>
      <c r="AK619" s="507"/>
      <c r="AL619" s="479">
        <f t="shared" si="275"/>
        <v>0</v>
      </c>
      <c r="AM619" s="482">
        <f t="shared" si="276"/>
        <v>0</v>
      </c>
      <c r="AN619" s="487"/>
      <c r="AO619" s="488"/>
      <c r="AP619" s="487"/>
      <c r="AQ619" s="488"/>
      <c r="AR619" s="487"/>
      <c r="AS619" s="488"/>
      <c r="AT619" s="487"/>
      <c r="AU619" s="488"/>
      <c r="AV619" s="479">
        <f t="shared" si="277"/>
        <v>0</v>
      </c>
      <c r="AW619" s="483">
        <f t="shared" si="278"/>
        <v>0</v>
      </c>
      <c r="AX619" s="481">
        <f t="shared" si="279"/>
        <v>0</v>
      </c>
      <c r="AY619" s="484">
        <f t="shared" si="280"/>
        <v>0</v>
      </c>
      <c r="AZ619" s="485">
        <f t="shared" si="281"/>
        <v>8435.36</v>
      </c>
      <c r="BA619" s="481">
        <f t="shared" si="282"/>
        <v>8335.0077777777788</v>
      </c>
    </row>
    <row r="620" spans="1:53">
      <c r="A620" s="574" t="s">
        <v>273</v>
      </c>
      <c r="B620" s="621" t="s">
        <v>583</v>
      </c>
      <c r="C620" s="631"/>
      <c r="D620" s="548"/>
      <c r="E620" s="634" t="s">
        <v>275</v>
      </c>
      <c r="F620" s="486" t="s">
        <v>41</v>
      </c>
      <c r="G620" s="529"/>
      <c r="H620" s="627">
        <v>36024</v>
      </c>
      <c r="I620" s="628">
        <f>I586</f>
        <v>33447</v>
      </c>
      <c r="J620" s="627">
        <v>6073</v>
      </c>
      <c r="K620" s="628">
        <f>K586</f>
        <v>4869</v>
      </c>
      <c r="L620" s="627">
        <v>2414</v>
      </c>
      <c r="M620" s="629">
        <f>M586</f>
        <v>1850</v>
      </c>
      <c r="N620" s="627">
        <v>36339</v>
      </c>
      <c r="O620" s="629">
        <f>O586</f>
        <v>32035</v>
      </c>
      <c r="P620" s="479">
        <f t="shared" si="265"/>
        <v>80850</v>
      </c>
      <c r="Q620" s="480">
        <f t="shared" si="266"/>
        <v>2695</v>
      </c>
      <c r="R620" s="481">
        <f t="shared" si="267"/>
        <v>72201</v>
      </c>
      <c r="S620" s="482">
        <f t="shared" si="268"/>
        <v>2406.6999999999998</v>
      </c>
      <c r="T620" s="627">
        <v>15363</v>
      </c>
      <c r="U620" s="629">
        <f>U586</f>
        <v>15529</v>
      </c>
      <c r="V620" s="479">
        <f t="shared" si="269"/>
        <v>80850</v>
      </c>
      <c r="W620" s="478">
        <f t="shared" si="270"/>
        <v>72201</v>
      </c>
      <c r="X620" s="627">
        <v>152001</v>
      </c>
      <c r="Y620" s="628">
        <f>Y586</f>
        <v>144936</v>
      </c>
      <c r="Z620" s="627">
        <v>158222</v>
      </c>
      <c r="AA620" s="628">
        <f>AA586</f>
        <v>179106</v>
      </c>
      <c r="AB620" s="627">
        <v>172275</v>
      </c>
      <c r="AC620" s="628">
        <f>AC586</f>
        <v>158654</v>
      </c>
      <c r="AD620" s="627">
        <v>156967</v>
      </c>
      <c r="AE620" s="628">
        <f>AE586</f>
        <v>166090</v>
      </c>
      <c r="AF620" s="479">
        <f t="shared" si="271"/>
        <v>639465</v>
      </c>
      <c r="AG620" s="480">
        <f t="shared" si="272"/>
        <v>710.51666666666665</v>
      </c>
      <c r="AH620" s="481">
        <f t="shared" si="273"/>
        <v>648786</v>
      </c>
      <c r="AI620" s="481">
        <f t="shared" si="274"/>
        <v>720.87333333333333</v>
      </c>
      <c r="AJ620" s="487"/>
      <c r="AK620" s="507"/>
      <c r="AL620" s="479">
        <f t="shared" si="275"/>
        <v>0</v>
      </c>
      <c r="AM620" s="482">
        <f t="shared" si="276"/>
        <v>0</v>
      </c>
      <c r="AN620" s="487"/>
      <c r="AO620" s="488"/>
      <c r="AP620" s="487"/>
      <c r="AQ620" s="488"/>
      <c r="AR620" s="487"/>
      <c r="AS620" s="488"/>
      <c r="AT620" s="487"/>
      <c r="AU620" s="488"/>
      <c r="AV620" s="479">
        <f t="shared" si="277"/>
        <v>0</v>
      </c>
      <c r="AW620" s="483">
        <f t="shared" si="278"/>
        <v>0</v>
      </c>
      <c r="AX620" s="481">
        <f t="shared" si="279"/>
        <v>0</v>
      </c>
      <c r="AY620" s="484">
        <f t="shared" si="280"/>
        <v>0</v>
      </c>
      <c r="AZ620" s="485">
        <f t="shared" si="281"/>
        <v>3405.5166666666664</v>
      </c>
      <c r="BA620" s="481">
        <f t="shared" si="282"/>
        <v>3127.5733333333333</v>
      </c>
    </row>
    <row r="621" spans="1:53">
      <c r="A621" s="574" t="s">
        <v>273</v>
      </c>
      <c r="B621" s="622" t="s">
        <v>581</v>
      </c>
      <c r="C621" s="636"/>
      <c r="D621" s="548"/>
      <c r="E621" s="634" t="s">
        <v>145</v>
      </c>
      <c r="F621" s="486" t="s">
        <v>41</v>
      </c>
      <c r="G621" s="529"/>
      <c r="H621" s="627">
        <v>4347</v>
      </c>
      <c r="I621" s="628">
        <f>I606</f>
        <v>4506</v>
      </c>
      <c r="J621" s="627">
        <v>784</v>
      </c>
      <c r="K621" s="628">
        <f>K606</f>
        <v>1101</v>
      </c>
      <c r="L621" s="627">
        <v>0</v>
      </c>
      <c r="M621" s="629">
        <f>M606</f>
        <v>0</v>
      </c>
      <c r="N621" s="627">
        <v>4923</v>
      </c>
      <c r="O621" s="629">
        <f>O606</f>
        <v>6246</v>
      </c>
      <c r="P621" s="479">
        <f t="shared" si="265"/>
        <v>10054</v>
      </c>
      <c r="Q621" s="480">
        <f t="shared" si="266"/>
        <v>335.13333333333333</v>
      </c>
      <c r="R621" s="481">
        <f t="shared" si="267"/>
        <v>11853</v>
      </c>
      <c r="S621" s="482">
        <f t="shared" si="268"/>
        <v>395.1</v>
      </c>
      <c r="T621" s="627">
        <v>0</v>
      </c>
      <c r="U621" s="629">
        <f>U606</f>
        <v>0</v>
      </c>
      <c r="V621" s="479">
        <f t="shared" si="269"/>
        <v>10054</v>
      </c>
      <c r="W621" s="478">
        <f t="shared" si="270"/>
        <v>11853</v>
      </c>
      <c r="X621" s="627">
        <v>15160</v>
      </c>
      <c r="Y621" s="628">
        <f>Y606</f>
        <v>15136</v>
      </c>
      <c r="Z621" s="627">
        <v>12288</v>
      </c>
      <c r="AA621" s="628">
        <f>AA606</f>
        <v>15616</v>
      </c>
      <c r="AB621" s="627">
        <v>8960</v>
      </c>
      <c r="AC621" s="628">
        <f>AC606</f>
        <v>12688</v>
      </c>
      <c r="AD621" s="627">
        <v>8248</v>
      </c>
      <c r="AE621" s="628">
        <f>AE606</f>
        <v>16128</v>
      </c>
      <c r="AF621" s="479">
        <f t="shared" si="271"/>
        <v>44656</v>
      </c>
      <c r="AG621" s="480">
        <f t="shared" si="272"/>
        <v>49.617777777777775</v>
      </c>
      <c r="AH621" s="481">
        <f t="shared" si="273"/>
        <v>59568</v>
      </c>
      <c r="AI621" s="481">
        <f t="shared" si="274"/>
        <v>66.186666666666667</v>
      </c>
      <c r="AJ621" s="487"/>
      <c r="AK621" s="507"/>
      <c r="AL621" s="479">
        <f t="shared" si="275"/>
        <v>0</v>
      </c>
      <c r="AM621" s="482">
        <f t="shared" si="276"/>
        <v>0</v>
      </c>
      <c r="AN621" s="487"/>
      <c r="AO621" s="488"/>
      <c r="AP621" s="487"/>
      <c r="AQ621" s="488"/>
      <c r="AR621" s="487"/>
      <c r="AS621" s="488"/>
      <c r="AT621" s="487"/>
      <c r="AU621" s="488"/>
      <c r="AV621" s="479">
        <f t="shared" si="277"/>
        <v>0</v>
      </c>
      <c r="AW621" s="483">
        <f t="shared" si="278"/>
        <v>0</v>
      </c>
      <c r="AX621" s="481">
        <f t="shared" si="279"/>
        <v>0</v>
      </c>
      <c r="AY621" s="484">
        <f t="shared" si="280"/>
        <v>0</v>
      </c>
      <c r="AZ621" s="485">
        <f t="shared" si="281"/>
        <v>384.75111111111107</v>
      </c>
      <c r="BA621" s="481">
        <f t="shared" si="282"/>
        <v>461.28666666666669</v>
      </c>
    </row>
    <row r="622" spans="1:53">
      <c r="A622" s="574" t="s">
        <v>273</v>
      </c>
      <c r="B622" s="624" t="s">
        <v>583</v>
      </c>
      <c r="C622" s="637"/>
      <c r="D622" s="548"/>
      <c r="E622" s="634" t="s">
        <v>145</v>
      </c>
      <c r="F622" s="486" t="s">
        <v>41</v>
      </c>
      <c r="G622" s="529"/>
      <c r="H622" s="627">
        <v>1357</v>
      </c>
      <c r="I622" s="628">
        <f>I609</f>
        <v>1348</v>
      </c>
      <c r="J622" s="627">
        <v>36</v>
      </c>
      <c r="K622" s="628">
        <f>K609</f>
        <v>18</v>
      </c>
      <c r="L622" s="627">
        <v>3</v>
      </c>
      <c r="M622" s="629">
        <f>M609</f>
        <v>6</v>
      </c>
      <c r="N622" s="627">
        <v>1548</v>
      </c>
      <c r="O622" s="629">
        <f>O609</f>
        <v>1470</v>
      </c>
      <c r="P622" s="479">
        <f t="shared" si="265"/>
        <v>2944</v>
      </c>
      <c r="Q622" s="480">
        <f t="shared" si="266"/>
        <v>98.13333333333334</v>
      </c>
      <c r="R622" s="481">
        <f t="shared" si="267"/>
        <v>2842</v>
      </c>
      <c r="S622" s="482">
        <f t="shared" si="268"/>
        <v>94.733333333333334</v>
      </c>
      <c r="T622" s="627">
        <v>0</v>
      </c>
      <c r="U622" s="629">
        <f>U609</f>
        <v>36</v>
      </c>
      <c r="V622" s="479">
        <f t="shared" si="269"/>
        <v>2944</v>
      </c>
      <c r="W622" s="478">
        <f t="shared" si="270"/>
        <v>2842</v>
      </c>
      <c r="X622" s="627">
        <v>0</v>
      </c>
      <c r="Y622" s="628">
        <f>Y609</f>
        <v>0</v>
      </c>
      <c r="Z622" s="627">
        <v>0</v>
      </c>
      <c r="AA622" s="628">
        <f>AA609</f>
        <v>0</v>
      </c>
      <c r="AB622" s="627">
        <v>0</v>
      </c>
      <c r="AC622" s="628">
        <f>AC609</f>
        <v>0</v>
      </c>
      <c r="AD622" s="627">
        <v>0</v>
      </c>
      <c r="AE622" s="628">
        <f>AE609</f>
        <v>0</v>
      </c>
      <c r="AF622" s="479">
        <f t="shared" si="271"/>
        <v>0</v>
      </c>
      <c r="AG622" s="480">
        <f t="shared" si="272"/>
        <v>0</v>
      </c>
      <c r="AH622" s="481">
        <f t="shared" si="273"/>
        <v>0</v>
      </c>
      <c r="AI622" s="481">
        <f t="shared" si="274"/>
        <v>0</v>
      </c>
      <c r="AJ622" s="487"/>
      <c r="AK622" s="507"/>
      <c r="AL622" s="479">
        <f t="shared" si="275"/>
        <v>0</v>
      </c>
      <c r="AM622" s="482">
        <f t="shared" si="276"/>
        <v>0</v>
      </c>
      <c r="AN622" s="487"/>
      <c r="AO622" s="488"/>
      <c r="AP622" s="487"/>
      <c r="AQ622" s="488"/>
      <c r="AR622" s="487"/>
      <c r="AS622" s="488"/>
      <c r="AT622" s="487"/>
      <c r="AU622" s="488"/>
      <c r="AV622" s="479">
        <f t="shared" si="277"/>
        <v>0</v>
      </c>
      <c r="AW622" s="483">
        <f t="shared" si="278"/>
        <v>0</v>
      </c>
      <c r="AX622" s="481">
        <f t="shared" si="279"/>
        <v>0</v>
      </c>
      <c r="AY622" s="484">
        <f t="shared" si="280"/>
        <v>0</v>
      </c>
      <c r="AZ622" s="485">
        <f t="shared" si="281"/>
        <v>98.13333333333334</v>
      </c>
      <c r="BA622" s="481">
        <f t="shared" si="282"/>
        <v>94.733333333333334</v>
      </c>
    </row>
    <row r="623" spans="1:53" ht="15">
      <c r="A623" s="798" t="s">
        <v>288</v>
      </c>
      <c r="B623" s="799" t="s">
        <v>907</v>
      </c>
      <c r="C623" s="772"/>
      <c r="D623" s="800">
        <v>232186</v>
      </c>
      <c r="E623" s="751">
        <v>1</v>
      </c>
      <c r="F623" s="486" t="s">
        <v>41</v>
      </c>
      <c r="G623" s="529" t="s">
        <v>41</v>
      </c>
      <c r="H623" s="506"/>
      <c r="I623" s="488"/>
      <c r="J623" s="506">
        <v>258730</v>
      </c>
      <c r="K623" s="773">
        <v>263037</v>
      </c>
      <c r="L623" s="506">
        <v>59362</v>
      </c>
      <c r="M623" s="774">
        <v>53609</v>
      </c>
      <c r="N623" s="506">
        <v>268629.5</v>
      </c>
      <c r="O623" s="775">
        <v>284867</v>
      </c>
      <c r="P623" s="479">
        <f t="shared" si="265"/>
        <v>586721.5</v>
      </c>
      <c r="Q623" s="480">
        <f t="shared" si="266"/>
        <v>19557.383333333335</v>
      </c>
      <c r="R623" s="481">
        <f t="shared" si="267"/>
        <v>601513</v>
      </c>
      <c r="S623" s="482">
        <f t="shared" si="268"/>
        <v>20050.433333333334</v>
      </c>
      <c r="T623" s="506">
        <v>27627</v>
      </c>
      <c r="U623" s="776">
        <v>23333</v>
      </c>
      <c r="V623" s="479">
        <f t="shared" si="269"/>
        <v>586721.5</v>
      </c>
      <c r="W623" s="478">
        <f t="shared" si="270"/>
        <v>601513</v>
      </c>
      <c r="X623" s="506"/>
      <c r="Y623" s="488"/>
      <c r="Z623" s="506"/>
      <c r="AA623" s="488"/>
      <c r="AB623" s="506"/>
      <c r="AC623" s="488"/>
      <c r="AD623" s="506"/>
      <c r="AE623" s="507"/>
      <c r="AF623" s="479">
        <f t="shared" si="271"/>
        <v>0</v>
      </c>
      <c r="AG623" s="480">
        <f t="shared" si="272"/>
        <v>0</v>
      </c>
      <c r="AH623" s="481">
        <f t="shared" si="273"/>
        <v>0</v>
      </c>
      <c r="AI623" s="481">
        <f t="shared" si="274"/>
        <v>0</v>
      </c>
      <c r="AJ623" s="487"/>
      <c r="AK623" s="507"/>
      <c r="AL623" s="479">
        <f t="shared" si="275"/>
        <v>0</v>
      </c>
      <c r="AM623" s="482">
        <f t="shared" si="276"/>
        <v>0</v>
      </c>
      <c r="AN623" s="487"/>
      <c r="AO623" s="488"/>
      <c r="AP623" s="487">
        <v>78204</v>
      </c>
      <c r="AQ623" s="777">
        <v>76077.100000000006</v>
      </c>
      <c r="AR623" s="487">
        <v>19755</v>
      </c>
      <c r="AS623" s="778">
        <v>20177.5</v>
      </c>
      <c r="AT623" s="487">
        <v>77898</v>
      </c>
      <c r="AU623" s="779">
        <v>75631</v>
      </c>
      <c r="AV623" s="479">
        <f t="shared" si="277"/>
        <v>175857</v>
      </c>
      <c r="AW623" s="483">
        <f t="shared" si="278"/>
        <v>7327.375</v>
      </c>
      <c r="AX623" s="481">
        <f t="shared" si="279"/>
        <v>171885.6</v>
      </c>
      <c r="AY623" s="484">
        <f t="shared" si="280"/>
        <v>7161.9000000000005</v>
      </c>
      <c r="AZ623" s="485">
        <f t="shared" si="281"/>
        <v>26884.758333333335</v>
      </c>
      <c r="BA623" s="481">
        <f t="shared" si="282"/>
        <v>27212.333333333336</v>
      </c>
    </row>
    <row r="624" spans="1:53" ht="15">
      <c r="A624" s="798" t="s">
        <v>288</v>
      </c>
      <c r="B624" s="736" t="s">
        <v>908</v>
      </c>
      <c r="C624" s="732"/>
      <c r="D624" s="800">
        <v>232982</v>
      </c>
      <c r="E624" s="751">
        <v>1</v>
      </c>
      <c r="F624" s="486" t="s">
        <v>41</v>
      </c>
      <c r="G624" s="529" t="s">
        <v>41</v>
      </c>
      <c r="H624" s="506"/>
      <c r="I624" s="488"/>
      <c r="J624" s="506">
        <v>217547</v>
      </c>
      <c r="K624" s="773">
        <v>221331</v>
      </c>
      <c r="L624" s="506">
        <v>56292</v>
      </c>
      <c r="M624" s="774">
        <v>53718</v>
      </c>
      <c r="N624" s="506">
        <v>237481</v>
      </c>
      <c r="O624" s="775">
        <v>241240</v>
      </c>
      <c r="P624" s="479">
        <f t="shared" si="265"/>
        <v>511320</v>
      </c>
      <c r="Q624" s="480">
        <f t="shared" si="266"/>
        <v>17044</v>
      </c>
      <c r="R624" s="481">
        <f t="shared" si="267"/>
        <v>516289</v>
      </c>
      <c r="S624" s="482">
        <f t="shared" si="268"/>
        <v>17209.633333333335</v>
      </c>
      <c r="T624" s="506">
        <v>16</v>
      </c>
      <c r="U624" s="776">
        <v>78</v>
      </c>
      <c r="V624" s="479">
        <f t="shared" si="269"/>
        <v>511320</v>
      </c>
      <c r="W624" s="478">
        <f t="shared" si="270"/>
        <v>516289</v>
      </c>
      <c r="X624" s="506"/>
      <c r="Y624" s="488"/>
      <c r="Z624" s="506"/>
      <c r="AA624" s="488"/>
      <c r="AB624" s="506"/>
      <c r="AC624" s="488"/>
      <c r="AD624" s="506"/>
      <c r="AE624" s="507"/>
      <c r="AF624" s="479">
        <f t="shared" si="271"/>
        <v>0</v>
      </c>
      <c r="AG624" s="480">
        <f t="shared" si="272"/>
        <v>0</v>
      </c>
      <c r="AH624" s="481">
        <f t="shared" si="273"/>
        <v>0</v>
      </c>
      <c r="AI624" s="481">
        <f t="shared" si="274"/>
        <v>0</v>
      </c>
      <c r="AJ624" s="487"/>
      <c r="AK624" s="507"/>
      <c r="AL624" s="479">
        <f t="shared" si="275"/>
        <v>0</v>
      </c>
      <c r="AM624" s="482">
        <f t="shared" si="276"/>
        <v>0</v>
      </c>
      <c r="AN624" s="487"/>
      <c r="AO624" s="488"/>
      <c r="AP624" s="487">
        <v>29111</v>
      </c>
      <c r="AQ624" s="777">
        <v>28300</v>
      </c>
      <c r="AR624" s="487">
        <v>13687</v>
      </c>
      <c r="AS624" s="778">
        <v>14213</v>
      </c>
      <c r="AT624" s="487">
        <v>29777</v>
      </c>
      <c r="AU624" s="779">
        <v>29735</v>
      </c>
      <c r="AV624" s="479">
        <f t="shared" si="277"/>
        <v>72575</v>
      </c>
      <c r="AW624" s="483">
        <f t="shared" si="278"/>
        <v>3023.9583333333335</v>
      </c>
      <c r="AX624" s="481">
        <f t="shared" si="279"/>
        <v>72248</v>
      </c>
      <c r="AY624" s="484">
        <f t="shared" si="280"/>
        <v>3010.3333333333335</v>
      </c>
      <c r="AZ624" s="485">
        <f t="shared" si="281"/>
        <v>20067.958333333332</v>
      </c>
      <c r="BA624" s="481">
        <f t="shared" si="282"/>
        <v>20219.966666666667</v>
      </c>
    </row>
    <row r="625" spans="1:53" ht="15">
      <c r="A625" s="798" t="s">
        <v>288</v>
      </c>
      <c r="B625" s="736" t="s">
        <v>909</v>
      </c>
      <c r="C625" s="732"/>
      <c r="D625" s="800">
        <v>234076</v>
      </c>
      <c r="E625" s="751">
        <v>1</v>
      </c>
      <c r="F625" s="486" t="s">
        <v>41</v>
      </c>
      <c r="G625" s="529" t="s">
        <v>41</v>
      </c>
      <c r="H625" s="506"/>
      <c r="I625" s="488"/>
      <c r="J625" s="506">
        <v>219150.5</v>
      </c>
      <c r="K625" s="773">
        <v>220375.5</v>
      </c>
      <c r="L625" s="506">
        <v>24822</v>
      </c>
      <c r="M625" s="774">
        <v>23301</v>
      </c>
      <c r="N625" s="506">
        <v>223124</v>
      </c>
      <c r="O625" s="775">
        <v>226532.5</v>
      </c>
      <c r="P625" s="479">
        <f t="shared" si="265"/>
        <v>467096.5</v>
      </c>
      <c r="Q625" s="480">
        <f t="shared" si="266"/>
        <v>15569.883333333333</v>
      </c>
      <c r="R625" s="481">
        <f t="shared" si="267"/>
        <v>470209</v>
      </c>
      <c r="S625" s="482">
        <f t="shared" si="268"/>
        <v>15673.633333333333</v>
      </c>
      <c r="T625" s="506">
        <v>0</v>
      </c>
      <c r="U625" s="776">
        <v>0</v>
      </c>
      <c r="V625" s="479">
        <f t="shared" si="269"/>
        <v>467096.5</v>
      </c>
      <c r="W625" s="478">
        <f t="shared" si="270"/>
        <v>470209</v>
      </c>
      <c r="X625" s="506"/>
      <c r="Y625" s="488"/>
      <c r="Z625" s="506"/>
      <c r="AA625" s="488"/>
      <c r="AB625" s="506"/>
      <c r="AC625" s="488"/>
      <c r="AD625" s="506"/>
      <c r="AE625" s="507"/>
      <c r="AF625" s="479">
        <f t="shared" si="271"/>
        <v>0</v>
      </c>
      <c r="AG625" s="480">
        <f t="shared" si="272"/>
        <v>0</v>
      </c>
      <c r="AH625" s="481">
        <f t="shared" si="273"/>
        <v>0</v>
      </c>
      <c r="AI625" s="481">
        <f t="shared" si="274"/>
        <v>0</v>
      </c>
      <c r="AJ625" s="487"/>
      <c r="AK625" s="507"/>
      <c r="AL625" s="479">
        <f t="shared" si="275"/>
        <v>0</v>
      </c>
      <c r="AM625" s="482">
        <f t="shared" si="276"/>
        <v>0</v>
      </c>
      <c r="AN625" s="487"/>
      <c r="AO625" s="488"/>
      <c r="AP625" s="487">
        <v>90536</v>
      </c>
      <c r="AQ625" s="777">
        <v>88118.5</v>
      </c>
      <c r="AR625" s="487">
        <v>15852</v>
      </c>
      <c r="AS625" s="778">
        <v>14940.5</v>
      </c>
      <c r="AT625" s="487">
        <v>89139.5</v>
      </c>
      <c r="AU625" s="779">
        <v>84458.5</v>
      </c>
      <c r="AV625" s="479">
        <f t="shared" si="277"/>
        <v>195527.5</v>
      </c>
      <c r="AW625" s="483">
        <f t="shared" si="278"/>
        <v>8146.979166666667</v>
      </c>
      <c r="AX625" s="481">
        <f t="shared" si="279"/>
        <v>187517.5</v>
      </c>
      <c r="AY625" s="484">
        <f t="shared" si="280"/>
        <v>7813.229166666667</v>
      </c>
      <c r="AZ625" s="485">
        <f t="shared" si="281"/>
        <v>23716.862499999999</v>
      </c>
      <c r="BA625" s="481">
        <f t="shared" si="282"/>
        <v>23486.862499999999</v>
      </c>
    </row>
    <row r="626" spans="1:53" ht="15">
      <c r="A626" s="798" t="s">
        <v>288</v>
      </c>
      <c r="B626" s="736" t="s">
        <v>910</v>
      </c>
      <c r="C626" s="732"/>
      <c r="D626" s="800">
        <v>233921</v>
      </c>
      <c r="E626" s="751">
        <v>1</v>
      </c>
      <c r="F626" s="486" t="s">
        <v>41</v>
      </c>
      <c r="G626" s="529" t="s">
        <v>41</v>
      </c>
      <c r="H626" s="506"/>
      <c r="I626" s="488"/>
      <c r="J626" s="506">
        <v>345714</v>
      </c>
      <c r="K626" s="773">
        <v>350552</v>
      </c>
      <c r="L626" s="506">
        <v>37098</v>
      </c>
      <c r="M626" s="774">
        <v>36715</v>
      </c>
      <c r="N626" s="506">
        <v>368881</v>
      </c>
      <c r="O626" s="775">
        <v>369480</v>
      </c>
      <c r="P626" s="479">
        <f t="shared" si="265"/>
        <v>751693</v>
      </c>
      <c r="Q626" s="480">
        <f t="shared" si="266"/>
        <v>25056.433333333334</v>
      </c>
      <c r="R626" s="481">
        <f t="shared" si="267"/>
        <v>756747</v>
      </c>
      <c r="S626" s="482">
        <f t="shared" si="268"/>
        <v>25224.9</v>
      </c>
      <c r="T626" s="506">
        <v>0</v>
      </c>
      <c r="U626" s="776">
        <v>0</v>
      </c>
      <c r="V626" s="479">
        <f t="shared" si="269"/>
        <v>751693</v>
      </c>
      <c r="W626" s="478">
        <f t="shared" si="270"/>
        <v>756747</v>
      </c>
      <c r="X626" s="506"/>
      <c r="Y626" s="488"/>
      <c r="Z626" s="506"/>
      <c r="AA626" s="488"/>
      <c r="AB626" s="506"/>
      <c r="AC626" s="488"/>
      <c r="AD626" s="506"/>
      <c r="AE626" s="507"/>
      <c r="AF626" s="479">
        <f t="shared" si="271"/>
        <v>0</v>
      </c>
      <c r="AG626" s="480">
        <f t="shared" si="272"/>
        <v>0</v>
      </c>
      <c r="AH626" s="481">
        <f t="shared" si="273"/>
        <v>0</v>
      </c>
      <c r="AI626" s="481">
        <f t="shared" si="274"/>
        <v>0</v>
      </c>
      <c r="AJ626" s="487"/>
      <c r="AK626" s="507"/>
      <c r="AL626" s="479">
        <f t="shared" si="275"/>
        <v>0</v>
      </c>
      <c r="AM626" s="482">
        <f t="shared" si="276"/>
        <v>0</v>
      </c>
      <c r="AN626" s="487"/>
      <c r="AO626" s="488"/>
      <c r="AP626" s="487">
        <v>66593</v>
      </c>
      <c r="AQ626" s="777">
        <v>67158</v>
      </c>
      <c r="AR626" s="487">
        <v>7811</v>
      </c>
      <c r="AS626" s="778">
        <v>8193</v>
      </c>
      <c r="AT626" s="487">
        <v>69942</v>
      </c>
      <c r="AU626" s="779">
        <v>68492.399999999994</v>
      </c>
      <c r="AV626" s="479">
        <f t="shared" si="277"/>
        <v>144346</v>
      </c>
      <c r="AW626" s="483">
        <f t="shared" si="278"/>
        <v>6014.416666666667</v>
      </c>
      <c r="AX626" s="481">
        <f t="shared" si="279"/>
        <v>143843.4</v>
      </c>
      <c r="AY626" s="484">
        <f t="shared" si="280"/>
        <v>5993.4749999999995</v>
      </c>
      <c r="AZ626" s="485">
        <f t="shared" si="281"/>
        <v>31070.850000000002</v>
      </c>
      <c r="BA626" s="481">
        <f t="shared" si="282"/>
        <v>31218.375</v>
      </c>
    </row>
    <row r="627" spans="1:53" ht="15">
      <c r="A627" s="798" t="s">
        <v>288</v>
      </c>
      <c r="B627" s="736" t="s">
        <v>911</v>
      </c>
      <c r="C627" s="732"/>
      <c r="D627" s="800">
        <v>231624</v>
      </c>
      <c r="E627" s="751">
        <v>2</v>
      </c>
      <c r="F627" s="486" t="s">
        <v>41</v>
      </c>
      <c r="G627" s="529" t="s">
        <v>41</v>
      </c>
      <c r="H627" s="506"/>
      <c r="I627" s="488"/>
      <c r="J627" s="506">
        <v>83289.5</v>
      </c>
      <c r="K627" s="773">
        <v>85280</v>
      </c>
      <c r="L627" s="506">
        <v>8318</v>
      </c>
      <c r="M627" s="774">
        <v>8691</v>
      </c>
      <c r="N627" s="506">
        <v>88067.5</v>
      </c>
      <c r="O627" s="775">
        <v>89825.4</v>
      </c>
      <c r="P627" s="479">
        <f t="shared" si="265"/>
        <v>179675</v>
      </c>
      <c r="Q627" s="480">
        <f t="shared" si="266"/>
        <v>5989.166666666667</v>
      </c>
      <c r="R627" s="481">
        <f t="shared" si="267"/>
        <v>183796.4</v>
      </c>
      <c r="S627" s="482">
        <f t="shared" si="268"/>
        <v>6126.5466666666662</v>
      </c>
      <c r="T627" s="506">
        <v>0</v>
      </c>
      <c r="U627" s="776">
        <v>0</v>
      </c>
      <c r="V627" s="479">
        <f t="shared" si="269"/>
        <v>179675</v>
      </c>
      <c r="W627" s="478">
        <f t="shared" si="270"/>
        <v>183796.4</v>
      </c>
      <c r="X627" s="506"/>
      <c r="Y627" s="488"/>
      <c r="Z627" s="506"/>
      <c r="AA627" s="488"/>
      <c r="AB627" s="506"/>
      <c r="AC627" s="488"/>
      <c r="AD627" s="506"/>
      <c r="AE627" s="507"/>
      <c r="AF627" s="479">
        <f t="shared" si="271"/>
        <v>0</v>
      </c>
      <c r="AG627" s="480">
        <f t="shared" si="272"/>
        <v>0</v>
      </c>
      <c r="AH627" s="481">
        <f t="shared" si="273"/>
        <v>0</v>
      </c>
      <c r="AI627" s="481">
        <f t="shared" si="274"/>
        <v>0</v>
      </c>
      <c r="AJ627" s="487"/>
      <c r="AK627" s="507"/>
      <c r="AL627" s="479">
        <f t="shared" si="275"/>
        <v>0</v>
      </c>
      <c r="AM627" s="482">
        <f t="shared" si="276"/>
        <v>0</v>
      </c>
      <c r="AN627" s="487"/>
      <c r="AO627" s="488"/>
      <c r="AP627" s="487">
        <v>25470</v>
      </c>
      <c r="AQ627" s="777">
        <v>25182</v>
      </c>
      <c r="AR627" s="487">
        <v>4713</v>
      </c>
      <c r="AS627" s="778">
        <v>4678</v>
      </c>
      <c r="AT627" s="487">
        <v>25548.5</v>
      </c>
      <c r="AU627" s="779">
        <v>25021</v>
      </c>
      <c r="AV627" s="479">
        <f t="shared" si="277"/>
        <v>55731.5</v>
      </c>
      <c r="AW627" s="483">
        <f t="shared" si="278"/>
        <v>2322.1458333333335</v>
      </c>
      <c r="AX627" s="481">
        <f t="shared" si="279"/>
        <v>54881</v>
      </c>
      <c r="AY627" s="484">
        <f t="shared" si="280"/>
        <v>2286.7083333333335</v>
      </c>
      <c r="AZ627" s="485">
        <f t="shared" si="281"/>
        <v>8311.3125</v>
      </c>
      <c r="BA627" s="481">
        <f t="shared" si="282"/>
        <v>8413.2549999999992</v>
      </c>
    </row>
    <row r="628" spans="1:53" ht="15">
      <c r="A628" s="798" t="s">
        <v>288</v>
      </c>
      <c r="B628" s="736" t="s">
        <v>912</v>
      </c>
      <c r="C628" s="732" t="s">
        <v>619</v>
      </c>
      <c r="D628" s="800">
        <v>234030</v>
      </c>
      <c r="E628" s="751">
        <v>2</v>
      </c>
      <c r="F628" s="486" t="s">
        <v>41</v>
      </c>
      <c r="G628" s="529" t="s">
        <v>41</v>
      </c>
      <c r="H628" s="506"/>
      <c r="I628" s="488"/>
      <c r="J628" s="506">
        <v>297494</v>
      </c>
      <c r="K628" s="773">
        <v>296226.5</v>
      </c>
      <c r="L628" s="506">
        <v>43629.5</v>
      </c>
      <c r="M628" s="774">
        <v>40408.5</v>
      </c>
      <c r="N628" s="506">
        <v>319380</v>
      </c>
      <c r="O628" s="775">
        <v>315041.5</v>
      </c>
      <c r="P628" s="479">
        <f t="shared" si="265"/>
        <v>660503.5</v>
      </c>
      <c r="Q628" s="480">
        <f t="shared" si="266"/>
        <v>22016.783333333333</v>
      </c>
      <c r="R628" s="481">
        <f t="shared" si="267"/>
        <v>651676.5</v>
      </c>
      <c r="S628" s="482">
        <f t="shared" si="268"/>
        <v>21722.55</v>
      </c>
      <c r="T628" s="506">
        <v>7800</v>
      </c>
      <c r="U628" s="776">
        <v>8235</v>
      </c>
      <c r="V628" s="479">
        <f t="shared" si="269"/>
        <v>660503.5</v>
      </c>
      <c r="W628" s="478">
        <f t="shared" si="270"/>
        <v>651676.5</v>
      </c>
      <c r="X628" s="506"/>
      <c r="Y628" s="488"/>
      <c r="Z628" s="506"/>
      <c r="AA628" s="488"/>
      <c r="AB628" s="506"/>
      <c r="AC628" s="488"/>
      <c r="AD628" s="506"/>
      <c r="AE628" s="507"/>
      <c r="AF628" s="479">
        <f t="shared" si="271"/>
        <v>0</v>
      </c>
      <c r="AG628" s="480">
        <f t="shared" si="272"/>
        <v>0</v>
      </c>
      <c r="AH628" s="481">
        <f t="shared" si="273"/>
        <v>0</v>
      </c>
      <c r="AI628" s="481">
        <f t="shared" si="274"/>
        <v>0</v>
      </c>
      <c r="AJ628" s="487"/>
      <c r="AK628" s="507"/>
      <c r="AL628" s="479">
        <f t="shared" si="275"/>
        <v>0</v>
      </c>
      <c r="AM628" s="482">
        <f t="shared" si="276"/>
        <v>0</v>
      </c>
      <c r="AN628" s="487"/>
      <c r="AO628" s="488"/>
      <c r="AP628" s="487">
        <v>60606.5</v>
      </c>
      <c r="AQ628" s="777">
        <v>59981</v>
      </c>
      <c r="AR628" s="487">
        <v>14248</v>
      </c>
      <c r="AS628" s="778">
        <v>13129.5</v>
      </c>
      <c r="AT628" s="487">
        <v>63336.5</v>
      </c>
      <c r="AU628" s="779">
        <v>60431</v>
      </c>
      <c r="AV628" s="479">
        <f t="shared" si="277"/>
        <v>138191</v>
      </c>
      <c r="AW628" s="483">
        <f t="shared" si="278"/>
        <v>5757.958333333333</v>
      </c>
      <c r="AX628" s="481">
        <f t="shared" si="279"/>
        <v>133541.5</v>
      </c>
      <c r="AY628" s="484">
        <f t="shared" si="280"/>
        <v>5564.229166666667</v>
      </c>
      <c r="AZ628" s="485">
        <f t="shared" si="281"/>
        <v>27774.741666666665</v>
      </c>
      <c r="BA628" s="481">
        <f t="shared" si="282"/>
        <v>27286.779166666667</v>
      </c>
    </row>
    <row r="629" spans="1:53" ht="15">
      <c r="A629" s="798" t="s">
        <v>288</v>
      </c>
      <c r="B629" s="736" t="s">
        <v>945</v>
      </c>
      <c r="C629" s="732"/>
      <c r="D629" s="800">
        <v>232423</v>
      </c>
      <c r="E629" s="751">
        <v>3</v>
      </c>
      <c r="F629" s="486" t="s">
        <v>41</v>
      </c>
      <c r="G629" s="529" t="s">
        <v>41</v>
      </c>
      <c r="H629" s="506"/>
      <c r="I629" s="488"/>
      <c r="J629" s="506">
        <v>248853</v>
      </c>
      <c r="K629" s="773">
        <v>254870</v>
      </c>
      <c r="L629" s="506">
        <v>26986</v>
      </c>
      <c r="M629" s="774">
        <v>26041</v>
      </c>
      <c r="N629" s="506">
        <v>265966</v>
      </c>
      <c r="O629" s="775">
        <v>271584</v>
      </c>
      <c r="P629" s="479">
        <f t="shared" si="265"/>
        <v>541805</v>
      </c>
      <c r="Q629" s="480">
        <f t="shared" si="266"/>
        <v>18060.166666666668</v>
      </c>
      <c r="R629" s="481">
        <f t="shared" si="267"/>
        <v>552495</v>
      </c>
      <c r="S629" s="482">
        <f t="shared" si="268"/>
        <v>18416.5</v>
      </c>
      <c r="T629" s="506">
        <v>5944</v>
      </c>
      <c r="U629" s="776">
        <v>7085</v>
      </c>
      <c r="V629" s="479">
        <f t="shared" si="269"/>
        <v>541805</v>
      </c>
      <c r="W629" s="478">
        <f t="shared" si="270"/>
        <v>552495</v>
      </c>
      <c r="X629" s="506"/>
      <c r="Y629" s="488"/>
      <c r="Z629" s="506"/>
      <c r="AA629" s="488"/>
      <c r="AB629" s="506"/>
      <c r="AC629" s="488"/>
      <c r="AD629" s="506"/>
      <c r="AE629" s="507"/>
      <c r="AF629" s="479">
        <f t="shared" si="271"/>
        <v>0</v>
      </c>
      <c r="AG629" s="480">
        <f t="shared" si="272"/>
        <v>0</v>
      </c>
      <c r="AH629" s="481">
        <f t="shared" si="273"/>
        <v>0</v>
      </c>
      <c r="AI629" s="481">
        <f t="shared" si="274"/>
        <v>0</v>
      </c>
      <c r="AJ629" s="487"/>
      <c r="AK629" s="507"/>
      <c r="AL629" s="479">
        <f t="shared" si="275"/>
        <v>0</v>
      </c>
      <c r="AM629" s="482">
        <f t="shared" si="276"/>
        <v>0</v>
      </c>
      <c r="AN629" s="487"/>
      <c r="AO629" s="488"/>
      <c r="AP629" s="487">
        <v>13480</v>
      </c>
      <c r="AQ629" s="777">
        <v>13446</v>
      </c>
      <c r="AR629" s="487">
        <v>7909</v>
      </c>
      <c r="AS629" s="778">
        <v>6971</v>
      </c>
      <c r="AT629" s="487">
        <v>14419</v>
      </c>
      <c r="AU629" s="779">
        <v>14378</v>
      </c>
      <c r="AV629" s="479">
        <f t="shared" si="277"/>
        <v>35808</v>
      </c>
      <c r="AW629" s="483">
        <f t="shared" si="278"/>
        <v>1492</v>
      </c>
      <c r="AX629" s="481">
        <f t="shared" si="279"/>
        <v>34795</v>
      </c>
      <c r="AY629" s="484">
        <f t="shared" si="280"/>
        <v>1449.7916666666667</v>
      </c>
      <c r="AZ629" s="485">
        <f t="shared" si="281"/>
        <v>19552.166666666668</v>
      </c>
      <c r="BA629" s="481">
        <f t="shared" si="282"/>
        <v>19866.291666666668</v>
      </c>
    </row>
    <row r="630" spans="1:53" ht="15">
      <c r="A630" s="798" t="s">
        <v>288</v>
      </c>
      <c r="B630" s="736" t="s">
        <v>913</v>
      </c>
      <c r="C630" s="732"/>
      <c r="D630" s="800">
        <v>232937</v>
      </c>
      <c r="E630" s="751">
        <v>3</v>
      </c>
      <c r="F630" s="486" t="s">
        <v>41</v>
      </c>
      <c r="G630" s="529" t="s">
        <v>41</v>
      </c>
      <c r="H630" s="506"/>
      <c r="I630" s="488"/>
      <c r="J630" s="506">
        <v>73440</v>
      </c>
      <c r="K630" s="773">
        <v>74337</v>
      </c>
      <c r="L630" s="506">
        <v>10809</v>
      </c>
      <c r="M630" s="774">
        <v>10066</v>
      </c>
      <c r="N630" s="506">
        <v>82497</v>
      </c>
      <c r="O630" s="775">
        <v>81469</v>
      </c>
      <c r="P630" s="479">
        <f t="shared" si="265"/>
        <v>166746</v>
      </c>
      <c r="Q630" s="480">
        <f t="shared" si="266"/>
        <v>5558.2</v>
      </c>
      <c r="R630" s="481">
        <f t="shared" si="267"/>
        <v>165872</v>
      </c>
      <c r="S630" s="482">
        <f t="shared" si="268"/>
        <v>5529.0666666666666</v>
      </c>
      <c r="T630" s="506">
        <v>225</v>
      </c>
      <c r="U630" s="776">
        <v>405</v>
      </c>
      <c r="V630" s="479">
        <f t="shared" si="269"/>
        <v>166746</v>
      </c>
      <c r="W630" s="478">
        <f t="shared" si="270"/>
        <v>165872</v>
      </c>
      <c r="X630" s="506"/>
      <c r="Y630" s="488"/>
      <c r="Z630" s="506"/>
      <c r="AA630" s="488"/>
      <c r="AB630" s="506"/>
      <c r="AC630" s="488"/>
      <c r="AD630" s="506"/>
      <c r="AE630" s="507"/>
      <c r="AF630" s="479">
        <f t="shared" si="271"/>
        <v>0</v>
      </c>
      <c r="AG630" s="480">
        <f t="shared" si="272"/>
        <v>0</v>
      </c>
      <c r="AH630" s="481">
        <f t="shared" si="273"/>
        <v>0</v>
      </c>
      <c r="AI630" s="481">
        <f t="shared" si="274"/>
        <v>0</v>
      </c>
      <c r="AJ630" s="487"/>
      <c r="AK630" s="507"/>
      <c r="AL630" s="479">
        <f t="shared" si="275"/>
        <v>0</v>
      </c>
      <c r="AM630" s="482">
        <f t="shared" si="276"/>
        <v>0</v>
      </c>
      <c r="AN630" s="487"/>
      <c r="AO630" s="488"/>
      <c r="AP630" s="487">
        <v>6067</v>
      </c>
      <c r="AQ630" s="777">
        <v>5513</v>
      </c>
      <c r="AR630" s="487">
        <v>985</v>
      </c>
      <c r="AS630" s="778">
        <v>1053</v>
      </c>
      <c r="AT630" s="487">
        <v>5886</v>
      </c>
      <c r="AU630" s="779">
        <v>5969</v>
      </c>
      <c r="AV630" s="479">
        <f t="shared" si="277"/>
        <v>12938</v>
      </c>
      <c r="AW630" s="483">
        <f t="shared" si="278"/>
        <v>539.08333333333337</v>
      </c>
      <c r="AX630" s="481">
        <f t="shared" si="279"/>
        <v>12535</v>
      </c>
      <c r="AY630" s="484">
        <f t="shared" si="280"/>
        <v>522.29166666666663</v>
      </c>
      <c r="AZ630" s="485">
        <f t="shared" si="281"/>
        <v>6097.2833333333328</v>
      </c>
      <c r="BA630" s="481">
        <f t="shared" si="282"/>
        <v>6051.3583333333336</v>
      </c>
    </row>
    <row r="631" spans="1:53" ht="15">
      <c r="A631" s="798" t="s">
        <v>288</v>
      </c>
      <c r="B631" s="736" t="s">
        <v>914</v>
      </c>
      <c r="C631" s="801" t="s">
        <v>612</v>
      </c>
      <c r="D631" s="802">
        <v>232566</v>
      </c>
      <c r="E631" s="818">
        <v>3</v>
      </c>
      <c r="F631" s="486" t="s">
        <v>41</v>
      </c>
      <c r="G631" s="529" t="s">
        <v>41</v>
      </c>
      <c r="H631" s="506"/>
      <c r="I631" s="488"/>
      <c r="J631" s="506">
        <v>58130</v>
      </c>
      <c r="K631" s="773">
        <v>58353</v>
      </c>
      <c r="L631" s="506">
        <v>7671</v>
      </c>
      <c r="M631" s="774">
        <v>8155</v>
      </c>
      <c r="N631" s="506">
        <v>60971</v>
      </c>
      <c r="O631" s="775">
        <v>63140</v>
      </c>
      <c r="P631" s="479">
        <f t="shared" si="265"/>
        <v>126772</v>
      </c>
      <c r="Q631" s="480">
        <f t="shared" si="266"/>
        <v>4225.7333333333336</v>
      </c>
      <c r="R631" s="481">
        <f t="shared" si="267"/>
        <v>129648</v>
      </c>
      <c r="S631" s="482">
        <f t="shared" si="268"/>
        <v>4321.6000000000004</v>
      </c>
      <c r="T631" s="506">
        <v>99</v>
      </c>
      <c r="U631" s="776">
        <v>363</v>
      </c>
      <c r="V631" s="479">
        <f t="shared" si="269"/>
        <v>126772</v>
      </c>
      <c r="W631" s="478">
        <f t="shared" si="270"/>
        <v>129648</v>
      </c>
      <c r="X631" s="506"/>
      <c r="Y631" s="488"/>
      <c r="Z631" s="506"/>
      <c r="AA631" s="488"/>
      <c r="AB631" s="506"/>
      <c r="AC631" s="488"/>
      <c r="AD631" s="506"/>
      <c r="AE631" s="507"/>
      <c r="AF631" s="479">
        <f t="shared" si="271"/>
        <v>0</v>
      </c>
      <c r="AG631" s="480">
        <f t="shared" si="272"/>
        <v>0</v>
      </c>
      <c r="AH631" s="481">
        <f t="shared" si="273"/>
        <v>0</v>
      </c>
      <c r="AI631" s="481">
        <f t="shared" si="274"/>
        <v>0</v>
      </c>
      <c r="AJ631" s="487"/>
      <c r="AK631" s="507"/>
      <c r="AL631" s="479">
        <f t="shared" si="275"/>
        <v>0</v>
      </c>
      <c r="AM631" s="482">
        <f t="shared" si="276"/>
        <v>0</v>
      </c>
      <c r="AN631" s="487"/>
      <c r="AO631" s="488"/>
      <c r="AP631" s="487">
        <v>2643</v>
      </c>
      <c r="AQ631" s="777">
        <v>2518</v>
      </c>
      <c r="AR631" s="487">
        <v>2423</v>
      </c>
      <c r="AS631" s="778">
        <v>2143</v>
      </c>
      <c r="AT631" s="487">
        <v>2652</v>
      </c>
      <c r="AU631" s="779">
        <v>2607</v>
      </c>
      <c r="AV631" s="479">
        <f t="shared" si="277"/>
        <v>7718</v>
      </c>
      <c r="AW631" s="483">
        <f t="shared" si="278"/>
        <v>321.58333333333331</v>
      </c>
      <c r="AX631" s="481">
        <f t="shared" si="279"/>
        <v>7268</v>
      </c>
      <c r="AY631" s="484">
        <f t="shared" si="280"/>
        <v>302.83333333333331</v>
      </c>
      <c r="AZ631" s="485">
        <f t="shared" si="281"/>
        <v>4547.3166666666666</v>
      </c>
      <c r="BA631" s="481">
        <f t="shared" si="282"/>
        <v>4624.4333333333334</v>
      </c>
    </row>
    <row r="632" spans="1:53" ht="15">
      <c r="A632" s="798" t="s">
        <v>288</v>
      </c>
      <c r="B632" s="736" t="s">
        <v>915</v>
      </c>
      <c r="C632" s="801" t="s">
        <v>612</v>
      </c>
      <c r="D632" s="800">
        <v>233277</v>
      </c>
      <c r="E632" s="818">
        <v>3</v>
      </c>
      <c r="F632" s="486" t="s">
        <v>41</v>
      </c>
      <c r="G632" s="529" t="s">
        <v>41</v>
      </c>
      <c r="H632" s="506"/>
      <c r="I632" s="488"/>
      <c r="J632" s="506">
        <v>114592</v>
      </c>
      <c r="K632" s="773">
        <v>117909</v>
      </c>
      <c r="L632" s="506">
        <v>11452</v>
      </c>
      <c r="M632" s="774">
        <v>11410</v>
      </c>
      <c r="N632" s="506">
        <v>127729</v>
      </c>
      <c r="O632" s="775">
        <v>130808</v>
      </c>
      <c r="P632" s="479">
        <f t="shared" si="265"/>
        <v>253773</v>
      </c>
      <c r="Q632" s="480">
        <f t="shared" si="266"/>
        <v>8459.1</v>
      </c>
      <c r="R632" s="481">
        <f t="shared" si="267"/>
        <v>260127</v>
      </c>
      <c r="S632" s="482">
        <f t="shared" si="268"/>
        <v>8670.9</v>
      </c>
      <c r="T632" s="506">
        <v>140</v>
      </c>
      <c r="U632" s="776">
        <v>3</v>
      </c>
      <c r="V632" s="479">
        <f t="shared" si="269"/>
        <v>253773</v>
      </c>
      <c r="W632" s="478">
        <f t="shared" si="270"/>
        <v>260127</v>
      </c>
      <c r="X632" s="506"/>
      <c r="Y632" s="488"/>
      <c r="Z632" s="506"/>
      <c r="AA632" s="488"/>
      <c r="AB632" s="506"/>
      <c r="AC632" s="488"/>
      <c r="AD632" s="506"/>
      <c r="AE632" s="507"/>
      <c r="AF632" s="479">
        <f t="shared" si="271"/>
        <v>0</v>
      </c>
      <c r="AG632" s="480">
        <f t="shared" si="272"/>
        <v>0</v>
      </c>
      <c r="AH632" s="481">
        <f t="shared" si="273"/>
        <v>0</v>
      </c>
      <c r="AI632" s="481">
        <f t="shared" si="274"/>
        <v>0</v>
      </c>
      <c r="AJ632" s="487"/>
      <c r="AK632" s="507"/>
      <c r="AL632" s="479">
        <f t="shared" si="275"/>
        <v>0</v>
      </c>
      <c r="AM632" s="482">
        <f t="shared" si="276"/>
        <v>0</v>
      </c>
      <c r="AN632" s="487"/>
      <c r="AO632" s="488"/>
      <c r="AP632" s="487">
        <v>7714</v>
      </c>
      <c r="AQ632" s="777">
        <v>7788</v>
      </c>
      <c r="AR632" s="487">
        <v>3979</v>
      </c>
      <c r="AS632" s="778">
        <v>4158</v>
      </c>
      <c r="AT632" s="487">
        <v>8157</v>
      </c>
      <c r="AU632" s="779">
        <v>8742</v>
      </c>
      <c r="AV632" s="479">
        <f t="shared" si="277"/>
        <v>19850</v>
      </c>
      <c r="AW632" s="483">
        <f t="shared" si="278"/>
        <v>827.08333333333337</v>
      </c>
      <c r="AX632" s="481">
        <f t="shared" si="279"/>
        <v>20688</v>
      </c>
      <c r="AY632" s="484">
        <f t="shared" si="280"/>
        <v>862</v>
      </c>
      <c r="AZ632" s="485">
        <f t="shared" si="281"/>
        <v>9286.1833333333343</v>
      </c>
      <c r="BA632" s="481">
        <f t="shared" si="282"/>
        <v>9532.9</v>
      </c>
    </row>
    <row r="633" spans="1:53" ht="15">
      <c r="A633" s="798" t="s">
        <v>288</v>
      </c>
      <c r="B633" s="736" t="s">
        <v>916</v>
      </c>
      <c r="C633" s="801" t="s">
        <v>612</v>
      </c>
      <c r="D633" s="800">
        <v>234155</v>
      </c>
      <c r="E633" s="818">
        <v>3</v>
      </c>
      <c r="F633" s="486" t="s">
        <v>41</v>
      </c>
      <c r="G633" s="529" t="s">
        <v>41</v>
      </c>
      <c r="H633" s="506"/>
      <c r="I633" s="488"/>
      <c r="J633" s="506">
        <v>74557</v>
      </c>
      <c r="K633" s="773">
        <v>73655</v>
      </c>
      <c r="L633" s="506">
        <v>6289</v>
      </c>
      <c r="M633" s="774">
        <v>5115</v>
      </c>
      <c r="N633" s="506">
        <v>81878</v>
      </c>
      <c r="O633" s="775">
        <v>78552</v>
      </c>
      <c r="P633" s="479">
        <f t="shared" si="265"/>
        <v>162724</v>
      </c>
      <c r="Q633" s="480">
        <f t="shared" si="266"/>
        <v>5424.1333333333332</v>
      </c>
      <c r="R633" s="481">
        <f t="shared" si="267"/>
        <v>157322</v>
      </c>
      <c r="S633" s="482">
        <f t="shared" si="268"/>
        <v>5244.0666666666666</v>
      </c>
      <c r="T633" s="506">
        <v>0</v>
      </c>
      <c r="U633" s="776">
        <v>0</v>
      </c>
      <c r="V633" s="479">
        <f t="shared" si="269"/>
        <v>162724</v>
      </c>
      <c r="W633" s="478">
        <f t="shared" si="270"/>
        <v>157322</v>
      </c>
      <c r="X633" s="506"/>
      <c r="Y633" s="488"/>
      <c r="Z633" s="506"/>
      <c r="AA633" s="488"/>
      <c r="AB633" s="506"/>
      <c r="AC633" s="488"/>
      <c r="AD633" s="506"/>
      <c r="AE633" s="507"/>
      <c r="AF633" s="479">
        <f t="shared" si="271"/>
        <v>0</v>
      </c>
      <c r="AG633" s="480">
        <f t="shared" si="272"/>
        <v>0</v>
      </c>
      <c r="AH633" s="481">
        <f t="shared" si="273"/>
        <v>0</v>
      </c>
      <c r="AI633" s="481">
        <f t="shared" si="274"/>
        <v>0</v>
      </c>
      <c r="AJ633" s="487"/>
      <c r="AK633" s="507"/>
      <c r="AL633" s="479">
        <f t="shared" si="275"/>
        <v>0</v>
      </c>
      <c r="AM633" s="482">
        <f t="shared" si="276"/>
        <v>0</v>
      </c>
      <c r="AN633" s="487"/>
      <c r="AO633" s="488"/>
      <c r="AP633" s="487">
        <v>4652</v>
      </c>
      <c r="AQ633" s="777">
        <v>4676</v>
      </c>
      <c r="AR633" s="487">
        <v>1314</v>
      </c>
      <c r="AS633" s="778">
        <v>1413</v>
      </c>
      <c r="AT633" s="487">
        <v>4945</v>
      </c>
      <c r="AU633" s="779">
        <v>5195</v>
      </c>
      <c r="AV633" s="479">
        <f t="shared" si="277"/>
        <v>10911</v>
      </c>
      <c r="AW633" s="483">
        <f t="shared" si="278"/>
        <v>454.625</v>
      </c>
      <c r="AX633" s="481">
        <f t="shared" si="279"/>
        <v>11284</v>
      </c>
      <c r="AY633" s="484">
        <f t="shared" si="280"/>
        <v>470.16666666666669</v>
      </c>
      <c r="AZ633" s="485">
        <f t="shared" si="281"/>
        <v>5878.7583333333332</v>
      </c>
      <c r="BA633" s="481">
        <f t="shared" si="282"/>
        <v>5714.2333333333336</v>
      </c>
    </row>
    <row r="634" spans="1:53" ht="15">
      <c r="A634" s="798" t="s">
        <v>288</v>
      </c>
      <c r="B634" s="736" t="s">
        <v>917</v>
      </c>
      <c r="C634" s="732" t="s">
        <v>946</v>
      </c>
      <c r="D634" s="800">
        <v>231712</v>
      </c>
      <c r="E634" s="751">
        <v>5</v>
      </c>
      <c r="F634" s="486" t="s">
        <v>41</v>
      </c>
      <c r="G634" s="529" t="s">
        <v>41</v>
      </c>
      <c r="H634" s="506"/>
      <c r="I634" s="488"/>
      <c r="J634" s="506">
        <v>68635</v>
      </c>
      <c r="K634" s="773">
        <v>71587</v>
      </c>
      <c r="L634" s="506">
        <v>1203</v>
      </c>
      <c r="M634" s="774">
        <v>1160</v>
      </c>
      <c r="N634" s="506">
        <v>74483</v>
      </c>
      <c r="O634" s="775">
        <v>75500</v>
      </c>
      <c r="P634" s="479">
        <f t="shared" si="265"/>
        <v>144321</v>
      </c>
      <c r="Q634" s="480">
        <f t="shared" si="266"/>
        <v>4810.7</v>
      </c>
      <c r="R634" s="481">
        <f t="shared" si="267"/>
        <v>148247</v>
      </c>
      <c r="S634" s="482">
        <f t="shared" si="268"/>
        <v>4941.5666666666666</v>
      </c>
      <c r="T634" s="506">
        <v>16</v>
      </c>
      <c r="U634" s="776">
        <v>10</v>
      </c>
      <c r="V634" s="479">
        <f t="shared" si="269"/>
        <v>144321</v>
      </c>
      <c r="W634" s="478">
        <f t="shared" si="270"/>
        <v>148247</v>
      </c>
      <c r="X634" s="506"/>
      <c r="Y634" s="488"/>
      <c r="Z634" s="506"/>
      <c r="AA634" s="488"/>
      <c r="AB634" s="506"/>
      <c r="AC634" s="488"/>
      <c r="AD634" s="506"/>
      <c r="AE634" s="507"/>
      <c r="AF634" s="479">
        <f t="shared" si="271"/>
        <v>0</v>
      </c>
      <c r="AG634" s="480">
        <f t="shared" si="272"/>
        <v>0</v>
      </c>
      <c r="AH634" s="481">
        <f t="shared" si="273"/>
        <v>0</v>
      </c>
      <c r="AI634" s="481">
        <f t="shared" si="274"/>
        <v>0</v>
      </c>
      <c r="AJ634" s="487"/>
      <c r="AK634" s="507"/>
      <c r="AL634" s="479">
        <f t="shared" si="275"/>
        <v>0</v>
      </c>
      <c r="AM634" s="482">
        <f t="shared" si="276"/>
        <v>0</v>
      </c>
      <c r="AN634" s="487"/>
      <c r="AO634" s="488"/>
      <c r="AP634" s="487">
        <v>1594</v>
      </c>
      <c r="AQ634" s="777">
        <v>1460</v>
      </c>
      <c r="AR634" s="487">
        <v>978</v>
      </c>
      <c r="AS634" s="778">
        <v>747</v>
      </c>
      <c r="AT634" s="487">
        <v>1569</v>
      </c>
      <c r="AU634" s="779">
        <v>1455</v>
      </c>
      <c r="AV634" s="479">
        <f t="shared" si="277"/>
        <v>4141</v>
      </c>
      <c r="AW634" s="483">
        <f t="shared" si="278"/>
        <v>172.54166666666666</v>
      </c>
      <c r="AX634" s="481">
        <f t="shared" si="279"/>
        <v>3662</v>
      </c>
      <c r="AY634" s="484">
        <f t="shared" si="280"/>
        <v>152.58333333333334</v>
      </c>
      <c r="AZ634" s="485">
        <f t="shared" si="281"/>
        <v>4983.2416666666668</v>
      </c>
      <c r="BA634" s="481">
        <f t="shared" si="282"/>
        <v>5094.1499999999996</v>
      </c>
    </row>
    <row r="635" spans="1:53" ht="15">
      <c r="A635" s="798" t="s">
        <v>288</v>
      </c>
      <c r="B635" s="799" t="s">
        <v>918</v>
      </c>
      <c r="C635" s="801" t="s">
        <v>612</v>
      </c>
      <c r="D635" s="800">
        <v>232681</v>
      </c>
      <c r="E635" s="818">
        <v>3</v>
      </c>
      <c r="F635" s="486" t="s">
        <v>41</v>
      </c>
      <c r="G635" s="529" t="s">
        <v>41</v>
      </c>
      <c r="H635" s="506"/>
      <c r="I635" s="488"/>
      <c r="J635" s="506">
        <v>57992</v>
      </c>
      <c r="K635" s="773">
        <v>57967</v>
      </c>
      <c r="L635" s="506">
        <v>6747</v>
      </c>
      <c r="M635" s="774">
        <v>5573</v>
      </c>
      <c r="N635" s="506">
        <v>61778</v>
      </c>
      <c r="O635" s="775">
        <v>60638</v>
      </c>
      <c r="P635" s="479">
        <f t="shared" si="265"/>
        <v>126517</v>
      </c>
      <c r="Q635" s="480">
        <f t="shared" si="266"/>
        <v>4217.2333333333336</v>
      </c>
      <c r="R635" s="481">
        <f t="shared" si="267"/>
        <v>124178</v>
      </c>
      <c r="S635" s="482">
        <f t="shared" si="268"/>
        <v>4139.2666666666664</v>
      </c>
      <c r="T635" s="506">
        <v>27</v>
      </c>
      <c r="U635" s="776">
        <v>15</v>
      </c>
      <c r="V635" s="479">
        <f t="shared" si="269"/>
        <v>126517</v>
      </c>
      <c r="W635" s="478">
        <f t="shared" si="270"/>
        <v>124178</v>
      </c>
      <c r="X635" s="506"/>
      <c r="Y635" s="488"/>
      <c r="Z635" s="506"/>
      <c r="AA635" s="488"/>
      <c r="AB635" s="506"/>
      <c r="AC635" s="488"/>
      <c r="AD635" s="506"/>
      <c r="AE635" s="507"/>
      <c r="AF635" s="479">
        <f t="shared" si="271"/>
        <v>0</v>
      </c>
      <c r="AG635" s="480">
        <f t="shared" si="272"/>
        <v>0</v>
      </c>
      <c r="AH635" s="481">
        <f t="shared" si="273"/>
        <v>0</v>
      </c>
      <c r="AI635" s="481">
        <f t="shared" si="274"/>
        <v>0</v>
      </c>
      <c r="AJ635" s="487"/>
      <c r="AK635" s="507"/>
      <c r="AL635" s="479">
        <f t="shared" si="275"/>
        <v>0</v>
      </c>
      <c r="AM635" s="482">
        <f t="shared" si="276"/>
        <v>0</v>
      </c>
      <c r="AN635" s="487"/>
      <c r="AO635" s="488"/>
      <c r="AP635" s="487">
        <v>3689</v>
      </c>
      <c r="AQ635" s="777">
        <v>2984.8</v>
      </c>
      <c r="AR635" s="487">
        <v>1761</v>
      </c>
      <c r="AS635" s="778">
        <v>1266</v>
      </c>
      <c r="AT635" s="487">
        <v>3479</v>
      </c>
      <c r="AU635" s="779">
        <v>3073</v>
      </c>
      <c r="AV635" s="479">
        <f t="shared" si="277"/>
        <v>8929</v>
      </c>
      <c r="AW635" s="483">
        <f t="shared" si="278"/>
        <v>372.04166666666669</v>
      </c>
      <c r="AX635" s="481">
        <f t="shared" si="279"/>
        <v>7323.8</v>
      </c>
      <c r="AY635" s="484">
        <f t="shared" si="280"/>
        <v>305.15833333333336</v>
      </c>
      <c r="AZ635" s="485">
        <f t="shared" si="281"/>
        <v>4589.2750000000005</v>
      </c>
      <c r="BA635" s="481">
        <f t="shared" si="282"/>
        <v>4444.4250000000002</v>
      </c>
    </row>
    <row r="636" spans="1:53" ht="15">
      <c r="A636" s="798" t="s">
        <v>288</v>
      </c>
      <c r="B636" s="799" t="s">
        <v>919</v>
      </c>
      <c r="C636" s="772"/>
      <c r="D636" s="800">
        <v>233897</v>
      </c>
      <c r="E636" s="751">
        <v>6</v>
      </c>
      <c r="F636" s="486" t="s">
        <v>41</v>
      </c>
      <c r="G636" s="529" t="s">
        <v>41</v>
      </c>
      <c r="H636" s="506"/>
      <c r="I636" s="488"/>
      <c r="J636" s="506">
        <v>23819</v>
      </c>
      <c r="K636" s="773">
        <v>24128</v>
      </c>
      <c r="L636" s="506">
        <v>3670</v>
      </c>
      <c r="M636" s="774">
        <v>4861</v>
      </c>
      <c r="N636" s="506">
        <v>26348</v>
      </c>
      <c r="O636" s="775">
        <v>25555</v>
      </c>
      <c r="P636" s="479">
        <f t="shared" si="265"/>
        <v>53837</v>
      </c>
      <c r="Q636" s="480">
        <f t="shared" si="266"/>
        <v>1794.5666666666666</v>
      </c>
      <c r="R636" s="481">
        <f t="shared" si="267"/>
        <v>54544</v>
      </c>
      <c r="S636" s="482">
        <f t="shared" si="268"/>
        <v>1818.1333333333334</v>
      </c>
      <c r="T636" s="506">
        <v>26</v>
      </c>
      <c r="U636" s="776">
        <v>20</v>
      </c>
      <c r="V636" s="479">
        <f t="shared" si="269"/>
        <v>53837</v>
      </c>
      <c r="W636" s="478">
        <f t="shared" si="270"/>
        <v>54544</v>
      </c>
      <c r="X636" s="506"/>
      <c r="Y636" s="488"/>
      <c r="Z636" s="506"/>
      <c r="AA636" s="488"/>
      <c r="AB636" s="506"/>
      <c r="AC636" s="488"/>
      <c r="AD636" s="506"/>
      <c r="AE636" s="507"/>
      <c r="AF636" s="479">
        <f t="shared" si="271"/>
        <v>0</v>
      </c>
      <c r="AG636" s="480">
        <f t="shared" si="272"/>
        <v>0</v>
      </c>
      <c r="AH636" s="481">
        <f t="shared" si="273"/>
        <v>0</v>
      </c>
      <c r="AI636" s="481">
        <f t="shared" si="274"/>
        <v>0</v>
      </c>
      <c r="AJ636" s="487"/>
      <c r="AK636" s="507"/>
      <c r="AL636" s="479">
        <f t="shared" si="275"/>
        <v>0</v>
      </c>
      <c r="AM636" s="482">
        <f t="shared" si="276"/>
        <v>0</v>
      </c>
      <c r="AN636" s="487"/>
      <c r="AO636" s="488"/>
      <c r="AP636" s="487">
        <v>0</v>
      </c>
      <c r="AQ636" s="488"/>
      <c r="AR636" s="487">
        <v>0</v>
      </c>
      <c r="AS636" s="488"/>
      <c r="AT636" s="487">
        <v>0</v>
      </c>
      <c r="AU636" s="488"/>
      <c r="AV636" s="479">
        <f t="shared" si="277"/>
        <v>0</v>
      </c>
      <c r="AW636" s="483">
        <f t="shared" si="278"/>
        <v>0</v>
      </c>
      <c r="AX636" s="481">
        <f t="shared" si="279"/>
        <v>0</v>
      </c>
      <c r="AY636" s="484">
        <f t="shared" si="280"/>
        <v>0</v>
      </c>
      <c r="AZ636" s="485">
        <f t="shared" si="281"/>
        <v>1794.5666666666666</v>
      </c>
      <c r="BA636" s="481">
        <f t="shared" si="282"/>
        <v>1818.1333333333334</v>
      </c>
    </row>
    <row r="637" spans="1:53" ht="15">
      <c r="A637" s="798" t="s">
        <v>288</v>
      </c>
      <c r="B637" s="799" t="s">
        <v>920</v>
      </c>
      <c r="C637" s="772"/>
      <c r="D637" s="800">
        <v>232414</v>
      </c>
      <c r="E637" s="751">
        <v>8</v>
      </c>
      <c r="F637" s="486" t="s">
        <v>41</v>
      </c>
      <c r="G637" s="529" t="s">
        <v>41</v>
      </c>
      <c r="H637" s="506"/>
      <c r="I637" s="699"/>
      <c r="J637" s="506">
        <v>109703</v>
      </c>
      <c r="K637" s="773">
        <v>102772</v>
      </c>
      <c r="L637" s="506">
        <v>39293</v>
      </c>
      <c r="M637" s="774">
        <v>38786</v>
      </c>
      <c r="N637" s="506">
        <v>106584</v>
      </c>
      <c r="O637" s="775">
        <v>104224</v>
      </c>
      <c r="P637" s="479">
        <f t="shared" si="265"/>
        <v>255580</v>
      </c>
      <c r="Q637" s="480">
        <f t="shared" si="266"/>
        <v>8519.3333333333339</v>
      </c>
      <c r="R637" s="481">
        <f t="shared" si="267"/>
        <v>245782</v>
      </c>
      <c r="S637" s="482">
        <f t="shared" si="268"/>
        <v>8192.7333333333336</v>
      </c>
      <c r="T637" s="506">
        <v>13069</v>
      </c>
      <c r="U637" s="776">
        <v>12586</v>
      </c>
      <c r="V637" s="479">
        <f t="shared" si="269"/>
        <v>255580</v>
      </c>
      <c r="W637" s="478">
        <f t="shared" si="270"/>
        <v>245782</v>
      </c>
      <c r="X637" s="506"/>
      <c r="Y637" s="488"/>
      <c r="Z637" s="506"/>
      <c r="AA637" s="488"/>
      <c r="AB637" s="506"/>
      <c r="AC637" s="488"/>
      <c r="AD637" s="506"/>
      <c r="AE637" s="507"/>
      <c r="AF637" s="479">
        <f t="shared" si="271"/>
        <v>0</v>
      </c>
      <c r="AG637" s="480">
        <f t="shared" si="272"/>
        <v>0</v>
      </c>
      <c r="AH637" s="481">
        <f t="shared" si="273"/>
        <v>0</v>
      </c>
      <c r="AI637" s="481">
        <f t="shared" si="274"/>
        <v>0</v>
      </c>
      <c r="AJ637" s="487"/>
      <c r="AK637" s="507"/>
      <c r="AL637" s="479">
        <f t="shared" si="275"/>
        <v>0</v>
      </c>
      <c r="AM637" s="482">
        <f t="shared" si="276"/>
        <v>0</v>
      </c>
      <c r="AN637" s="487"/>
      <c r="AO637" s="488"/>
      <c r="AP637" s="487">
        <v>0</v>
      </c>
      <c r="AQ637" s="488"/>
      <c r="AR637" s="487">
        <v>0</v>
      </c>
      <c r="AS637" s="488"/>
      <c r="AT637" s="487">
        <v>0</v>
      </c>
      <c r="AU637" s="488"/>
      <c r="AV637" s="479">
        <f t="shared" si="277"/>
        <v>0</v>
      </c>
      <c r="AW637" s="483">
        <f t="shared" si="278"/>
        <v>0</v>
      </c>
      <c r="AX637" s="481">
        <f t="shared" si="279"/>
        <v>0</v>
      </c>
      <c r="AY637" s="484">
        <f t="shared" si="280"/>
        <v>0</v>
      </c>
      <c r="AZ637" s="485">
        <f t="shared" si="281"/>
        <v>8519.3333333333339</v>
      </c>
      <c r="BA637" s="481">
        <f t="shared" si="282"/>
        <v>8192.7333333333336</v>
      </c>
    </row>
    <row r="638" spans="1:53" ht="15">
      <c r="A638" s="798" t="s">
        <v>288</v>
      </c>
      <c r="B638" s="799" t="s">
        <v>921</v>
      </c>
      <c r="C638" s="772"/>
      <c r="D638" s="800">
        <v>232946</v>
      </c>
      <c r="E638" s="751">
        <v>8</v>
      </c>
      <c r="F638" s="486" t="s">
        <v>41</v>
      </c>
      <c r="G638" s="529" t="s">
        <v>41</v>
      </c>
      <c r="H638" s="506"/>
      <c r="I638" s="488"/>
      <c r="J638" s="506">
        <v>436303</v>
      </c>
      <c r="K638" s="773">
        <v>437291</v>
      </c>
      <c r="L638" s="506">
        <v>180092</v>
      </c>
      <c r="M638" s="774">
        <v>170971</v>
      </c>
      <c r="N638" s="506">
        <v>463368</v>
      </c>
      <c r="O638" s="775">
        <v>463357</v>
      </c>
      <c r="P638" s="479">
        <f t="shared" si="265"/>
        <v>1079763</v>
      </c>
      <c r="Q638" s="480">
        <f t="shared" si="266"/>
        <v>35992.1</v>
      </c>
      <c r="R638" s="481">
        <f t="shared" si="267"/>
        <v>1071619</v>
      </c>
      <c r="S638" s="482">
        <f t="shared" si="268"/>
        <v>35720.633333333331</v>
      </c>
      <c r="T638" s="506">
        <v>34962</v>
      </c>
      <c r="U638" s="776">
        <v>34654</v>
      </c>
      <c r="V638" s="479">
        <f t="shared" si="269"/>
        <v>1079763</v>
      </c>
      <c r="W638" s="478">
        <f t="shared" si="270"/>
        <v>1071619</v>
      </c>
      <c r="X638" s="506"/>
      <c r="Y638" s="488"/>
      <c r="Z638" s="506"/>
      <c r="AA638" s="488"/>
      <c r="AB638" s="506"/>
      <c r="AC638" s="488"/>
      <c r="AD638" s="506"/>
      <c r="AE638" s="507"/>
      <c r="AF638" s="479">
        <f t="shared" si="271"/>
        <v>0</v>
      </c>
      <c r="AG638" s="480">
        <f t="shared" si="272"/>
        <v>0</v>
      </c>
      <c r="AH638" s="481">
        <f t="shared" si="273"/>
        <v>0</v>
      </c>
      <c r="AI638" s="481">
        <f t="shared" si="274"/>
        <v>0</v>
      </c>
      <c r="AJ638" s="487"/>
      <c r="AK638" s="507"/>
      <c r="AL638" s="479">
        <f t="shared" si="275"/>
        <v>0</v>
      </c>
      <c r="AM638" s="482">
        <f t="shared" si="276"/>
        <v>0</v>
      </c>
      <c r="AN638" s="487"/>
      <c r="AO638" s="488"/>
      <c r="AP638" s="487">
        <v>0</v>
      </c>
      <c r="AQ638" s="488"/>
      <c r="AR638" s="487">
        <v>0</v>
      </c>
      <c r="AS638" s="488"/>
      <c r="AT638" s="487">
        <v>0</v>
      </c>
      <c r="AU638" s="488"/>
      <c r="AV638" s="479">
        <f t="shared" si="277"/>
        <v>0</v>
      </c>
      <c r="AW638" s="483">
        <f t="shared" si="278"/>
        <v>0</v>
      </c>
      <c r="AX638" s="481">
        <f t="shared" si="279"/>
        <v>0</v>
      </c>
      <c r="AY638" s="484">
        <f t="shared" si="280"/>
        <v>0</v>
      </c>
      <c r="AZ638" s="485">
        <f t="shared" si="281"/>
        <v>35992.1</v>
      </c>
      <c r="BA638" s="481">
        <f t="shared" si="282"/>
        <v>35720.633333333331</v>
      </c>
    </row>
    <row r="639" spans="1:53" ht="15">
      <c r="A639" s="798" t="s">
        <v>288</v>
      </c>
      <c r="B639" s="799" t="s">
        <v>922</v>
      </c>
      <c r="C639" s="772"/>
      <c r="D639" s="800">
        <v>233754</v>
      </c>
      <c r="E639" s="751">
        <v>8</v>
      </c>
      <c r="F639" s="486" t="s">
        <v>41</v>
      </c>
      <c r="G639" s="529" t="s">
        <v>41</v>
      </c>
      <c r="H639" s="506"/>
      <c r="I639" s="488"/>
      <c r="J639" s="506">
        <v>91630</v>
      </c>
      <c r="K639" s="773">
        <v>90128</v>
      </c>
      <c r="L639" s="506">
        <v>28431</v>
      </c>
      <c r="M639" s="774">
        <v>26495</v>
      </c>
      <c r="N639" s="506">
        <v>95059</v>
      </c>
      <c r="O639" s="775">
        <v>95121</v>
      </c>
      <c r="P639" s="479">
        <f t="shared" si="265"/>
        <v>215120</v>
      </c>
      <c r="Q639" s="480">
        <f t="shared" si="266"/>
        <v>7170.666666666667</v>
      </c>
      <c r="R639" s="481">
        <f t="shared" si="267"/>
        <v>211744</v>
      </c>
      <c r="S639" s="482">
        <f t="shared" si="268"/>
        <v>7058.1333333333332</v>
      </c>
      <c r="T639" s="506">
        <v>18525</v>
      </c>
      <c r="U639" s="776">
        <v>22703</v>
      </c>
      <c r="V639" s="479">
        <f t="shared" si="269"/>
        <v>215120</v>
      </c>
      <c r="W639" s="478">
        <f t="shared" si="270"/>
        <v>211744</v>
      </c>
      <c r="X639" s="506"/>
      <c r="Y639" s="488"/>
      <c r="Z639" s="506"/>
      <c r="AA639" s="488"/>
      <c r="AB639" s="506"/>
      <c r="AC639" s="488"/>
      <c r="AD639" s="506"/>
      <c r="AE639" s="507"/>
      <c r="AF639" s="479">
        <f t="shared" si="271"/>
        <v>0</v>
      </c>
      <c r="AG639" s="480">
        <f t="shared" si="272"/>
        <v>0</v>
      </c>
      <c r="AH639" s="481">
        <f t="shared" si="273"/>
        <v>0</v>
      </c>
      <c r="AI639" s="481">
        <f t="shared" si="274"/>
        <v>0</v>
      </c>
      <c r="AJ639" s="487"/>
      <c r="AK639" s="507"/>
      <c r="AL639" s="479">
        <f t="shared" si="275"/>
        <v>0</v>
      </c>
      <c r="AM639" s="482">
        <f t="shared" si="276"/>
        <v>0</v>
      </c>
      <c r="AN639" s="487"/>
      <c r="AO639" s="488"/>
      <c r="AP639" s="487">
        <v>0</v>
      </c>
      <c r="AQ639" s="488"/>
      <c r="AR639" s="487">
        <v>0</v>
      </c>
      <c r="AS639" s="488"/>
      <c r="AT639" s="487">
        <v>0</v>
      </c>
      <c r="AU639" s="488"/>
      <c r="AV639" s="479">
        <f t="shared" si="277"/>
        <v>0</v>
      </c>
      <c r="AW639" s="483">
        <f t="shared" si="278"/>
        <v>0</v>
      </c>
      <c r="AX639" s="481">
        <f t="shared" si="279"/>
        <v>0</v>
      </c>
      <c r="AY639" s="484">
        <f t="shared" si="280"/>
        <v>0</v>
      </c>
      <c r="AZ639" s="485">
        <f t="shared" si="281"/>
        <v>7170.666666666667</v>
      </c>
      <c r="BA639" s="481">
        <f t="shared" si="282"/>
        <v>7058.1333333333332</v>
      </c>
    </row>
    <row r="640" spans="1:53" ht="15">
      <c r="A640" s="798" t="s">
        <v>288</v>
      </c>
      <c r="B640" s="799" t="s">
        <v>923</v>
      </c>
      <c r="C640" s="772"/>
      <c r="D640" s="800">
        <v>233772</v>
      </c>
      <c r="E640" s="751">
        <v>8</v>
      </c>
      <c r="F640" s="486" t="s">
        <v>41</v>
      </c>
      <c r="G640" s="529" t="s">
        <v>41</v>
      </c>
      <c r="H640" s="506"/>
      <c r="I640" s="488"/>
      <c r="J640" s="506">
        <v>285108</v>
      </c>
      <c r="K640" s="773">
        <v>258111</v>
      </c>
      <c r="L640" s="506">
        <v>108599</v>
      </c>
      <c r="M640" s="774">
        <v>94021</v>
      </c>
      <c r="N640" s="506">
        <v>277105</v>
      </c>
      <c r="O640" s="775">
        <v>266319</v>
      </c>
      <c r="P640" s="479">
        <f t="shared" si="265"/>
        <v>670812</v>
      </c>
      <c r="Q640" s="480">
        <f t="shared" si="266"/>
        <v>22360.400000000001</v>
      </c>
      <c r="R640" s="481">
        <f t="shared" si="267"/>
        <v>618451</v>
      </c>
      <c r="S640" s="482">
        <f t="shared" si="268"/>
        <v>20615.033333333333</v>
      </c>
      <c r="T640" s="506">
        <v>17898</v>
      </c>
      <c r="U640" s="776">
        <v>18806</v>
      </c>
      <c r="V640" s="479">
        <f t="shared" si="269"/>
        <v>670812</v>
      </c>
      <c r="W640" s="478">
        <f t="shared" si="270"/>
        <v>618451</v>
      </c>
      <c r="X640" s="506"/>
      <c r="Y640" s="488"/>
      <c r="Z640" s="506"/>
      <c r="AA640" s="488"/>
      <c r="AB640" s="506"/>
      <c r="AC640" s="488"/>
      <c r="AD640" s="506"/>
      <c r="AE640" s="507"/>
      <c r="AF640" s="479">
        <f t="shared" si="271"/>
        <v>0</v>
      </c>
      <c r="AG640" s="480">
        <f t="shared" si="272"/>
        <v>0</v>
      </c>
      <c r="AH640" s="481">
        <f t="shared" si="273"/>
        <v>0</v>
      </c>
      <c r="AI640" s="481">
        <f t="shared" si="274"/>
        <v>0</v>
      </c>
      <c r="AJ640" s="487"/>
      <c r="AK640" s="507"/>
      <c r="AL640" s="479">
        <f t="shared" si="275"/>
        <v>0</v>
      </c>
      <c r="AM640" s="482">
        <f t="shared" si="276"/>
        <v>0</v>
      </c>
      <c r="AN640" s="487"/>
      <c r="AO640" s="488"/>
      <c r="AP640" s="487">
        <v>0</v>
      </c>
      <c r="AQ640" s="488"/>
      <c r="AR640" s="487">
        <v>0</v>
      </c>
      <c r="AS640" s="488"/>
      <c r="AT640" s="487">
        <v>0</v>
      </c>
      <c r="AU640" s="488"/>
      <c r="AV640" s="479">
        <f t="shared" si="277"/>
        <v>0</v>
      </c>
      <c r="AW640" s="483">
        <f t="shared" si="278"/>
        <v>0</v>
      </c>
      <c r="AX640" s="481">
        <f t="shared" si="279"/>
        <v>0</v>
      </c>
      <c r="AY640" s="484">
        <f t="shared" si="280"/>
        <v>0</v>
      </c>
      <c r="AZ640" s="485">
        <f t="shared" si="281"/>
        <v>22360.400000000001</v>
      </c>
      <c r="BA640" s="481">
        <f t="shared" si="282"/>
        <v>20615.033333333333</v>
      </c>
    </row>
    <row r="641" spans="1:53" ht="15">
      <c r="A641" s="798" t="s">
        <v>288</v>
      </c>
      <c r="B641" s="799" t="s">
        <v>924</v>
      </c>
      <c r="C641" s="772"/>
      <c r="D641" s="800">
        <v>231536</v>
      </c>
      <c r="E641" s="751">
        <v>9</v>
      </c>
      <c r="F641" s="486" t="s">
        <v>41</v>
      </c>
      <c r="G641" s="529" t="s">
        <v>41</v>
      </c>
      <c r="H641" s="506"/>
      <c r="I641" s="488"/>
      <c r="J641" s="506">
        <v>39231</v>
      </c>
      <c r="K641" s="773">
        <v>36909</v>
      </c>
      <c r="L641" s="506">
        <v>10174</v>
      </c>
      <c r="M641" s="774">
        <v>9333</v>
      </c>
      <c r="N641" s="506">
        <v>40476</v>
      </c>
      <c r="O641" s="775">
        <v>39214</v>
      </c>
      <c r="P641" s="479">
        <f t="shared" si="265"/>
        <v>89881</v>
      </c>
      <c r="Q641" s="480">
        <f t="shared" si="266"/>
        <v>2996.0333333333333</v>
      </c>
      <c r="R641" s="481">
        <f t="shared" si="267"/>
        <v>85456</v>
      </c>
      <c r="S641" s="482">
        <f t="shared" si="268"/>
        <v>2848.5333333333333</v>
      </c>
      <c r="T641" s="506">
        <v>10787</v>
      </c>
      <c r="U641" s="776">
        <v>11564</v>
      </c>
      <c r="V641" s="479">
        <f t="shared" si="269"/>
        <v>89881</v>
      </c>
      <c r="W641" s="478">
        <f t="shared" si="270"/>
        <v>85456</v>
      </c>
      <c r="X641" s="506"/>
      <c r="Y641" s="488"/>
      <c r="Z641" s="506"/>
      <c r="AA641" s="488"/>
      <c r="AB641" s="506"/>
      <c r="AC641" s="488"/>
      <c r="AD641" s="506"/>
      <c r="AE641" s="507"/>
      <c r="AF641" s="479">
        <f t="shared" si="271"/>
        <v>0</v>
      </c>
      <c r="AG641" s="480">
        <f t="shared" si="272"/>
        <v>0</v>
      </c>
      <c r="AH641" s="481">
        <f t="shared" si="273"/>
        <v>0</v>
      </c>
      <c r="AI641" s="481">
        <f t="shared" si="274"/>
        <v>0</v>
      </c>
      <c r="AJ641" s="487"/>
      <c r="AK641" s="507"/>
      <c r="AL641" s="479">
        <f t="shared" si="275"/>
        <v>0</v>
      </c>
      <c r="AM641" s="482">
        <f t="shared" si="276"/>
        <v>0</v>
      </c>
      <c r="AN641" s="487"/>
      <c r="AO641" s="488"/>
      <c r="AP641" s="487">
        <v>0</v>
      </c>
      <c r="AQ641" s="488"/>
      <c r="AR641" s="487">
        <v>0</v>
      </c>
      <c r="AS641" s="488"/>
      <c r="AT641" s="487">
        <v>0</v>
      </c>
      <c r="AU641" s="488"/>
      <c r="AV641" s="479">
        <f t="shared" si="277"/>
        <v>0</v>
      </c>
      <c r="AW641" s="483">
        <f t="shared" si="278"/>
        <v>0</v>
      </c>
      <c r="AX641" s="481">
        <f t="shared" si="279"/>
        <v>0</v>
      </c>
      <c r="AY641" s="484">
        <f t="shared" si="280"/>
        <v>0</v>
      </c>
      <c r="AZ641" s="485">
        <f t="shared" si="281"/>
        <v>2996.0333333333333</v>
      </c>
      <c r="BA641" s="481">
        <f t="shared" si="282"/>
        <v>2848.5333333333333</v>
      </c>
    </row>
    <row r="642" spans="1:53" ht="15">
      <c r="A642" s="798" t="s">
        <v>288</v>
      </c>
      <c r="B642" s="799" t="s">
        <v>925</v>
      </c>
      <c r="C642" s="772"/>
      <c r="D642" s="800">
        <v>231697</v>
      </c>
      <c r="E642" s="751">
        <v>9</v>
      </c>
      <c r="F642" s="486" t="s">
        <v>41</v>
      </c>
      <c r="G642" s="529" t="s">
        <v>41</v>
      </c>
      <c r="H642" s="506"/>
      <c r="I642" s="488"/>
      <c r="J642" s="506">
        <v>36131</v>
      </c>
      <c r="K642" s="773">
        <v>34872</v>
      </c>
      <c r="L642" s="506">
        <v>10520</v>
      </c>
      <c r="M642" s="774">
        <v>9976</v>
      </c>
      <c r="N642" s="506">
        <v>37929</v>
      </c>
      <c r="O642" s="775">
        <v>37585</v>
      </c>
      <c r="P642" s="479">
        <f t="shared" si="265"/>
        <v>84580</v>
      </c>
      <c r="Q642" s="480">
        <f t="shared" si="266"/>
        <v>2819.3333333333335</v>
      </c>
      <c r="R642" s="481">
        <f t="shared" si="267"/>
        <v>82433</v>
      </c>
      <c r="S642" s="482">
        <f t="shared" si="268"/>
        <v>2747.7666666666669</v>
      </c>
      <c r="T642" s="506">
        <v>28230</v>
      </c>
      <c r="U642" s="776">
        <v>29823</v>
      </c>
      <c r="V642" s="479">
        <f t="shared" si="269"/>
        <v>84580</v>
      </c>
      <c r="W642" s="478">
        <f t="shared" si="270"/>
        <v>82433</v>
      </c>
      <c r="X642" s="506"/>
      <c r="Y642" s="488"/>
      <c r="Z642" s="506"/>
      <c r="AA642" s="488"/>
      <c r="AB642" s="506"/>
      <c r="AC642" s="488"/>
      <c r="AD642" s="506"/>
      <c r="AE642" s="507"/>
      <c r="AF642" s="479">
        <f t="shared" si="271"/>
        <v>0</v>
      </c>
      <c r="AG642" s="480">
        <f t="shared" si="272"/>
        <v>0</v>
      </c>
      <c r="AH642" s="481">
        <f t="shared" si="273"/>
        <v>0</v>
      </c>
      <c r="AI642" s="481">
        <f t="shared" si="274"/>
        <v>0</v>
      </c>
      <c r="AJ642" s="487"/>
      <c r="AK642" s="507"/>
      <c r="AL642" s="479">
        <f t="shared" si="275"/>
        <v>0</v>
      </c>
      <c r="AM642" s="482">
        <f t="shared" si="276"/>
        <v>0</v>
      </c>
      <c r="AN642" s="487"/>
      <c r="AO642" s="488"/>
      <c r="AP642" s="487">
        <v>0</v>
      </c>
      <c r="AQ642" s="488"/>
      <c r="AR642" s="487">
        <v>0</v>
      </c>
      <c r="AS642" s="488"/>
      <c r="AT642" s="487">
        <v>0</v>
      </c>
      <c r="AU642" s="488"/>
      <c r="AV642" s="479">
        <f t="shared" si="277"/>
        <v>0</v>
      </c>
      <c r="AW642" s="483">
        <f t="shared" si="278"/>
        <v>0</v>
      </c>
      <c r="AX642" s="481">
        <f t="shared" si="279"/>
        <v>0</v>
      </c>
      <c r="AY642" s="484">
        <f t="shared" si="280"/>
        <v>0</v>
      </c>
      <c r="AZ642" s="485">
        <f t="shared" si="281"/>
        <v>2819.3333333333335</v>
      </c>
      <c r="BA642" s="481">
        <f t="shared" si="282"/>
        <v>2747.7666666666669</v>
      </c>
    </row>
    <row r="643" spans="1:53" ht="15">
      <c r="A643" s="798" t="s">
        <v>288</v>
      </c>
      <c r="B643" s="799" t="s">
        <v>926</v>
      </c>
      <c r="C643" s="772"/>
      <c r="D643" s="800">
        <v>231882</v>
      </c>
      <c r="E643" s="751">
        <v>9</v>
      </c>
      <c r="F643" s="486" t="s">
        <v>41</v>
      </c>
      <c r="G643" s="529" t="s">
        <v>41</v>
      </c>
      <c r="H643" s="506"/>
      <c r="I643" s="488"/>
      <c r="J643" s="506">
        <v>36059</v>
      </c>
      <c r="K643" s="773">
        <v>35937</v>
      </c>
      <c r="L643" s="506">
        <v>10868</v>
      </c>
      <c r="M643" s="774">
        <v>9289</v>
      </c>
      <c r="N643" s="506">
        <v>37181</v>
      </c>
      <c r="O643" s="775">
        <v>35892</v>
      </c>
      <c r="P643" s="479">
        <f t="shared" si="265"/>
        <v>84108</v>
      </c>
      <c r="Q643" s="480">
        <f t="shared" si="266"/>
        <v>2803.6</v>
      </c>
      <c r="R643" s="481">
        <f t="shared" si="267"/>
        <v>81118</v>
      </c>
      <c r="S643" s="482">
        <f t="shared" si="268"/>
        <v>2703.9333333333334</v>
      </c>
      <c r="T643" s="506">
        <v>21293</v>
      </c>
      <c r="U643" s="776">
        <v>23606</v>
      </c>
      <c r="V643" s="479">
        <f t="shared" si="269"/>
        <v>84108</v>
      </c>
      <c r="W643" s="478">
        <f t="shared" si="270"/>
        <v>81118</v>
      </c>
      <c r="X643" s="506"/>
      <c r="Y643" s="488"/>
      <c r="Z643" s="506"/>
      <c r="AA643" s="488"/>
      <c r="AB643" s="506"/>
      <c r="AC643" s="488"/>
      <c r="AD643" s="506"/>
      <c r="AE643" s="507"/>
      <c r="AF643" s="479">
        <f t="shared" si="271"/>
        <v>0</v>
      </c>
      <c r="AG643" s="480">
        <f t="shared" si="272"/>
        <v>0</v>
      </c>
      <c r="AH643" s="481">
        <f t="shared" si="273"/>
        <v>0</v>
      </c>
      <c r="AI643" s="481">
        <f t="shared" si="274"/>
        <v>0</v>
      </c>
      <c r="AJ643" s="487"/>
      <c r="AK643" s="507"/>
      <c r="AL643" s="479">
        <f t="shared" si="275"/>
        <v>0</v>
      </c>
      <c r="AM643" s="482">
        <f t="shared" si="276"/>
        <v>0</v>
      </c>
      <c r="AN643" s="487"/>
      <c r="AO643" s="488"/>
      <c r="AP643" s="487">
        <v>0</v>
      </c>
      <c r="AQ643" s="488"/>
      <c r="AR643" s="487">
        <v>0</v>
      </c>
      <c r="AS643" s="488"/>
      <c r="AT643" s="487">
        <v>0</v>
      </c>
      <c r="AU643" s="488"/>
      <c r="AV643" s="479">
        <f t="shared" si="277"/>
        <v>0</v>
      </c>
      <c r="AW643" s="483">
        <f t="shared" si="278"/>
        <v>0</v>
      </c>
      <c r="AX643" s="481">
        <f t="shared" si="279"/>
        <v>0</v>
      </c>
      <c r="AY643" s="484">
        <f t="shared" si="280"/>
        <v>0</v>
      </c>
      <c r="AZ643" s="485">
        <f t="shared" si="281"/>
        <v>2803.6</v>
      </c>
      <c r="BA643" s="481">
        <f t="shared" si="282"/>
        <v>2703.9333333333334</v>
      </c>
    </row>
    <row r="644" spans="1:53" ht="15">
      <c r="A644" s="798" t="s">
        <v>288</v>
      </c>
      <c r="B644" s="799" t="s">
        <v>927</v>
      </c>
      <c r="C644" s="772"/>
      <c r="D644" s="800">
        <v>232195</v>
      </c>
      <c r="E644" s="751">
        <v>9</v>
      </c>
      <c r="F644" s="486" t="s">
        <v>41</v>
      </c>
      <c r="G644" s="529" t="s">
        <v>41</v>
      </c>
      <c r="H644" s="506"/>
      <c r="I644" s="488"/>
      <c r="J644" s="506">
        <v>59439</v>
      </c>
      <c r="K644" s="773">
        <v>55361</v>
      </c>
      <c r="L644" s="506">
        <v>16141</v>
      </c>
      <c r="M644" s="774">
        <v>15867</v>
      </c>
      <c r="N644" s="506">
        <v>62430</v>
      </c>
      <c r="O644" s="775">
        <v>61228</v>
      </c>
      <c r="P644" s="479">
        <f t="shared" si="265"/>
        <v>138010</v>
      </c>
      <c r="Q644" s="480">
        <f t="shared" si="266"/>
        <v>4600.333333333333</v>
      </c>
      <c r="R644" s="481">
        <f t="shared" si="267"/>
        <v>132456</v>
      </c>
      <c r="S644" s="482">
        <f t="shared" si="268"/>
        <v>4415.2</v>
      </c>
      <c r="T644" s="506">
        <v>17878</v>
      </c>
      <c r="U644" s="776">
        <v>16946</v>
      </c>
      <c r="V644" s="479">
        <f t="shared" si="269"/>
        <v>138010</v>
      </c>
      <c r="W644" s="478">
        <f t="shared" si="270"/>
        <v>132456</v>
      </c>
      <c r="X644" s="506"/>
      <c r="Y644" s="488"/>
      <c r="Z644" s="506"/>
      <c r="AA644" s="488"/>
      <c r="AB644" s="506"/>
      <c r="AC644" s="488"/>
      <c r="AD644" s="506"/>
      <c r="AE644" s="507"/>
      <c r="AF644" s="479">
        <f t="shared" si="271"/>
        <v>0</v>
      </c>
      <c r="AG644" s="480">
        <f t="shared" si="272"/>
        <v>0</v>
      </c>
      <c r="AH644" s="481">
        <f t="shared" si="273"/>
        <v>0</v>
      </c>
      <c r="AI644" s="481">
        <f t="shared" si="274"/>
        <v>0</v>
      </c>
      <c r="AJ644" s="487"/>
      <c r="AK644" s="507"/>
      <c r="AL644" s="479">
        <f t="shared" si="275"/>
        <v>0</v>
      </c>
      <c r="AM644" s="482">
        <f t="shared" si="276"/>
        <v>0</v>
      </c>
      <c r="AN644" s="487"/>
      <c r="AO644" s="488"/>
      <c r="AP644" s="487">
        <v>0</v>
      </c>
      <c r="AQ644" s="488"/>
      <c r="AR644" s="487">
        <v>0</v>
      </c>
      <c r="AS644" s="488"/>
      <c r="AT644" s="487">
        <v>0</v>
      </c>
      <c r="AU644" s="488"/>
      <c r="AV644" s="479">
        <f t="shared" si="277"/>
        <v>0</v>
      </c>
      <c r="AW644" s="483">
        <f t="shared" si="278"/>
        <v>0</v>
      </c>
      <c r="AX644" s="481">
        <f t="shared" si="279"/>
        <v>0</v>
      </c>
      <c r="AY644" s="484">
        <f t="shared" si="280"/>
        <v>0</v>
      </c>
      <c r="AZ644" s="485">
        <f t="shared" si="281"/>
        <v>4600.333333333333</v>
      </c>
      <c r="BA644" s="481">
        <f t="shared" si="282"/>
        <v>4415.2</v>
      </c>
    </row>
    <row r="645" spans="1:53" ht="15">
      <c r="A645" s="798" t="s">
        <v>288</v>
      </c>
      <c r="B645" s="799" t="s">
        <v>928</v>
      </c>
      <c r="C645" s="803" t="s">
        <v>947</v>
      </c>
      <c r="D645" s="800">
        <v>232450</v>
      </c>
      <c r="E645" s="760">
        <v>8</v>
      </c>
      <c r="F645" s="486" t="s">
        <v>41</v>
      </c>
      <c r="G645" s="529" t="s">
        <v>41</v>
      </c>
      <c r="H645" s="506"/>
      <c r="I645" s="488"/>
      <c r="J645" s="506">
        <v>78614</v>
      </c>
      <c r="K645" s="773">
        <v>73502</v>
      </c>
      <c r="L645" s="506">
        <v>24389</v>
      </c>
      <c r="M645" s="774">
        <v>21547</v>
      </c>
      <c r="N645" s="506">
        <v>80861</v>
      </c>
      <c r="O645" s="775">
        <v>78563</v>
      </c>
      <c r="P645" s="479">
        <f t="shared" si="265"/>
        <v>183864</v>
      </c>
      <c r="Q645" s="480">
        <f t="shared" si="266"/>
        <v>6128.8</v>
      </c>
      <c r="R645" s="481">
        <f t="shared" si="267"/>
        <v>173612</v>
      </c>
      <c r="S645" s="482">
        <f t="shared" si="268"/>
        <v>5787.0666666666666</v>
      </c>
      <c r="T645" s="506">
        <v>43091</v>
      </c>
      <c r="U645" s="776">
        <v>41869</v>
      </c>
      <c r="V645" s="479">
        <f t="shared" si="269"/>
        <v>183864</v>
      </c>
      <c r="W645" s="478">
        <f t="shared" si="270"/>
        <v>173612</v>
      </c>
      <c r="X645" s="506"/>
      <c r="Y645" s="488"/>
      <c r="Z645" s="506"/>
      <c r="AA645" s="488"/>
      <c r="AB645" s="506"/>
      <c r="AC645" s="488"/>
      <c r="AD645" s="506"/>
      <c r="AE645" s="507"/>
      <c r="AF645" s="479">
        <f t="shared" si="271"/>
        <v>0</v>
      </c>
      <c r="AG645" s="480">
        <f t="shared" si="272"/>
        <v>0</v>
      </c>
      <c r="AH645" s="481">
        <f t="shared" si="273"/>
        <v>0</v>
      </c>
      <c r="AI645" s="481">
        <f t="shared" si="274"/>
        <v>0</v>
      </c>
      <c r="AJ645" s="487"/>
      <c r="AK645" s="507"/>
      <c r="AL645" s="479">
        <f t="shared" si="275"/>
        <v>0</v>
      </c>
      <c r="AM645" s="482">
        <f t="shared" si="276"/>
        <v>0</v>
      </c>
      <c r="AN645" s="487"/>
      <c r="AO645" s="488"/>
      <c r="AP645" s="487">
        <v>0</v>
      </c>
      <c r="AQ645" s="488"/>
      <c r="AR645" s="487">
        <v>0</v>
      </c>
      <c r="AS645" s="488"/>
      <c r="AT645" s="487">
        <v>0</v>
      </c>
      <c r="AU645" s="488"/>
      <c r="AV645" s="479">
        <f t="shared" si="277"/>
        <v>0</v>
      </c>
      <c r="AW645" s="483">
        <f t="shared" si="278"/>
        <v>0</v>
      </c>
      <c r="AX645" s="481">
        <f t="shared" si="279"/>
        <v>0</v>
      </c>
      <c r="AY645" s="484">
        <f t="shared" si="280"/>
        <v>0</v>
      </c>
      <c r="AZ645" s="485">
        <f t="shared" si="281"/>
        <v>6128.8</v>
      </c>
      <c r="BA645" s="481">
        <f t="shared" si="282"/>
        <v>5787.0666666666666</v>
      </c>
    </row>
    <row r="646" spans="1:53" ht="15">
      <c r="A646" s="798" t="s">
        <v>288</v>
      </c>
      <c r="B646" s="799" t="s">
        <v>948</v>
      </c>
      <c r="C646" s="772"/>
      <c r="D646" s="800">
        <v>232575</v>
      </c>
      <c r="E646" s="751">
        <v>9</v>
      </c>
      <c r="F646" s="486" t="s">
        <v>41</v>
      </c>
      <c r="G646" s="529" t="s">
        <v>41</v>
      </c>
      <c r="H646" s="506"/>
      <c r="I646" s="488"/>
      <c r="J646" s="506">
        <v>52877</v>
      </c>
      <c r="K646" s="773">
        <v>51873</v>
      </c>
      <c r="L646" s="506">
        <v>14797</v>
      </c>
      <c r="M646" s="774">
        <v>13406</v>
      </c>
      <c r="N646" s="506">
        <v>59044</v>
      </c>
      <c r="O646" s="775">
        <v>58541</v>
      </c>
      <c r="P646" s="479">
        <f t="shared" si="265"/>
        <v>126718</v>
      </c>
      <c r="Q646" s="480">
        <f t="shared" si="266"/>
        <v>4223.9333333333334</v>
      </c>
      <c r="R646" s="481">
        <f t="shared" si="267"/>
        <v>123820</v>
      </c>
      <c r="S646" s="482">
        <f t="shared" si="268"/>
        <v>4127.333333333333</v>
      </c>
      <c r="T646" s="506">
        <v>43937</v>
      </c>
      <c r="U646" s="776">
        <v>47558</v>
      </c>
      <c r="V646" s="479">
        <f t="shared" si="269"/>
        <v>126718</v>
      </c>
      <c r="W646" s="478">
        <f t="shared" si="270"/>
        <v>123820</v>
      </c>
      <c r="X646" s="506"/>
      <c r="Y646" s="488"/>
      <c r="Z646" s="506"/>
      <c r="AA646" s="488"/>
      <c r="AB646" s="506"/>
      <c r="AC646" s="488"/>
      <c r="AD646" s="506"/>
      <c r="AE646" s="507"/>
      <c r="AF646" s="479">
        <f t="shared" si="271"/>
        <v>0</v>
      </c>
      <c r="AG646" s="480">
        <f t="shared" si="272"/>
        <v>0</v>
      </c>
      <c r="AH646" s="481">
        <f t="shared" si="273"/>
        <v>0</v>
      </c>
      <c r="AI646" s="481">
        <f t="shared" si="274"/>
        <v>0</v>
      </c>
      <c r="AJ646" s="487"/>
      <c r="AK646" s="507"/>
      <c r="AL646" s="479">
        <f t="shared" si="275"/>
        <v>0</v>
      </c>
      <c r="AM646" s="482">
        <f t="shared" si="276"/>
        <v>0</v>
      </c>
      <c r="AN646" s="487"/>
      <c r="AO646" s="488"/>
      <c r="AP646" s="487">
        <v>0</v>
      </c>
      <c r="AQ646" s="488"/>
      <c r="AR646" s="487">
        <v>0</v>
      </c>
      <c r="AS646" s="488"/>
      <c r="AT646" s="487">
        <v>0</v>
      </c>
      <c r="AU646" s="488"/>
      <c r="AV646" s="479">
        <f t="shared" si="277"/>
        <v>0</v>
      </c>
      <c r="AW646" s="483">
        <f t="shared" si="278"/>
        <v>0</v>
      </c>
      <c r="AX646" s="481">
        <f t="shared" si="279"/>
        <v>0</v>
      </c>
      <c r="AY646" s="484">
        <f t="shared" si="280"/>
        <v>0</v>
      </c>
      <c r="AZ646" s="485">
        <f t="shared" si="281"/>
        <v>4223.9333333333334</v>
      </c>
      <c r="BA646" s="481">
        <f t="shared" si="282"/>
        <v>4127.333333333333</v>
      </c>
    </row>
    <row r="647" spans="1:53" ht="15">
      <c r="A647" s="798" t="s">
        <v>288</v>
      </c>
      <c r="B647" s="736" t="s">
        <v>936</v>
      </c>
      <c r="C647" s="732" t="s">
        <v>614</v>
      </c>
      <c r="D647" s="800">
        <v>232788</v>
      </c>
      <c r="E647" s="781">
        <v>9</v>
      </c>
      <c r="F647" s="486" t="s">
        <v>41</v>
      </c>
      <c r="G647" s="529" t="s">
        <v>41</v>
      </c>
      <c r="H647" s="506"/>
      <c r="I647" s="488"/>
      <c r="J647" s="506">
        <v>25521</v>
      </c>
      <c r="K647" s="773">
        <v>23239</v>
      </c>
      <c r="L647" s="506">
        <v>7806</v>
      </c>
      <c r="M647" s="774">
        <v>6863</v>
      </c>
      <c r="N647" s="506">
        <v>28344</v>
      </c>
      <c r="O647" s="775">
        <v>27126</v>
      </c>
      <c r="P647" s="479">
        <f t="shared" si="265"/>
        <v>61671</v>
      </c>
      <c r="Q647" s="480">
        <f t="shared" si="266"/>
        <v>2055.6999999999998</v>
      </c>
      <c r="R647" s="481">
        <f t="shared" si="267"/>
        <v>57228</v>
      </c>
      <c r="S647" s="482">
        <f t="shared" si="268"/>
        <v>1907.6</v>
      </c>
      <c r="T647" s="506">
        <v>19970</v>
      </c>
      <c r="U647" s="776">
        <v>22275</v>
      </c>
      <c r="V647" s="479">
        <f t="shared" si="269"/>
        <v>61671</v>
      </c>
      <c r="W647" s="478">
        <f t="shared" si="270"/>
        <v>57228</v>
      </c>
      <c r="X647" s="506"/>
      <c r="Y647" s="488"/>
      <c r="Z647" s="506"/>
      <c r="AA647" s="488"/>
      <c r="AB647" s="506"/>
      <c r="AC647" s="488"/>
      <c r="AD647" s="506"/>
      <c r="AE647" s="507"/>
      <c r="AF647" s="479">
        <f t="shared" si="271"/>
        <v>0</v>
      </c>
      <c r="AG647" s="480">
        <f t="shared" si="272"/>
        <v>0</v>
      </c>
      <c r="AH647" s="481">
        <f t="shared" si="273"/>
        <v>0</v>
      </c>
      <c r="AI647" s="481">
        <f t="shared" si="274"/>
        <v>0</v>
      </c>
      <c r="AJ647" s="487"/>
      <c r="AK647" s="507"/>
      <c r="AL647" s="479">
        <f t="shared" si="275"/>
        <v>0</v>
      </c>
      <c r="AM647" s="482">
        <f t="shared" si="276"/>
        <v>0</v>
      </c>
      <c r="AN647" s="487"/>
      <c r="AO647" s="488"/>
      <c r="AP647" s="487">
        <v>0</v>
      </c>
      <c r="AQ647" s="488"/>
      <c r="AR647" s="487">
        <v>0</v>
      </c>
      <c r="AS647" s="488"/>
      <c r="AT647" s="487">
        <v>0</v>
      </c>
      <c r="AU647" s="488"/>
      <c r="AV647" s="479">
        <f t="shared" si="277"/>
        <v>0</v>
      </c>
      <c r="AW647" s="483">
        <f t="shared" si="278"/>
        <v>0</v>
      </c>
      <c r="AX647" s="481">
        <f t="shared" si="279"/>
        <v>0</v>
      </c>
      <c r="AY647" s="484">
        <f t="shared" si="280"/>
        <v>0</v>
      </c>
      <c r="AZ647" s="485">
        <f t="shared" si="281"/>
        <v>2055.6999999999998</v>
      </c>
      <c r="BA647" s="481">
        <f t="shared" si="282"/>
        <v>1907.6</v>
      </c>
    </row>
    <row r="648" spans="1:53" ht="15">
      <c r="A648" s="798" t="s">
        <v>288</v>
      </c>
      <c r="B648" s="799" t="s">
        <v>929</v>
      </c>
      <c r="C648" s="772"/>
      <c r="D648" s="800">
        <v>232867</v>
      </c>
      <c r="E648" s="751">
        <v>9</v>
      </c>
      <c r="F648" s="486" t="s">
        <v>41</v>
      </c>
      <c r="G648" s="529" t="s">
        <v>41</v>
      </c>
      <c r="H648" s="506"/>
      <c r="I648" s="488"/>
      <c r="J648" s="506">
        <v>44203</v>
      </c>
      <c r="K648" s="773">
        <v>38470</v>
      </c>
      <c r="L648" s="506">
        <v>11068</v>
      </c>
      <c r="M648" s="774">
        <v>8777</v>
      </c>
      <c r="N648" s="506">
        <v>42969</v>
      </c>
      <c r="O648" s="775">
        <v>41413</v>
      </c>
      <c r="P648" s="479">
        <f t="shared" ref="P648:P686" si="283">SUM(H648,J648,L648,N648)</f>
        <v>98240</v>
      </c>
      <c r="Q648" s="480">
        <f t="shared" ref="Q648:Q686" si="284">+P648/30</f>
        <v>3274.6666666666665</v>
      </c>
      <c r="R648" s="481">
        <f t="shared" ref="R648:R686" si="285">SUM(I648,K648,M648,O648)</f>
        <v>88660</v>
      </c>
      <c r="S648" s="482">
        <f t="shared" ref="S648:S686" si="286">+R648/30</f>
        <v>2955.3333333333335</v>
      </c>
      <c r="T648" s="506">
        <v>27899</v>
      </c>
      <c r="U648" s="776">
        <v>28085</v>
      </c>
      <c r="V648" s="479">
        <f t="shared" ref="V648:V686" si="287">IF(ISBLANK(T648),0,P648)</f>
        <v>98240</v>
      </c>
      <c r="W648" s="478">
        <f t="shared" ref="W648:W686" si="288">IF(ISBLANK(U648),0,R648)</f>
        <v>88660</v>
      </c>
      <c r="X648" s="506"/>
      <c r="Y648" s="488"/>
      <c r="Z648" s="506"/>
      <c r="AA648" s="488"/>
      <c r="AB648" s="506"/>
      <c r="AC648" s="488"/>
      <c r="AD648" s="506"/>
      <c r="AE648" s="507"/>
      <c r="AF648" s="479">
        <f t="shared" ref="AF648:AF686" si="289">SUM(X648,Z648,AB648,AD648)</f>
        <v>0</v>
      </c>
      <c r="AG648" s="480">
        <f t="shared" ref="AG648:AG686" si="290">+AF648/900</f>
        <v>0</v>
      </c>
      <c r="AH648" s="481">
        <f t="shared" ref="AH648:AH686" si="291">SUM(Y648,AA648,AC648,AE648)</f>
        <v>0</v>
      </c>
      <c r="AI648" s="481">
        <f t="shared" ref="AI648:AI686" si="292">+AH648/900</f>
        <v>0</v>
      </c>
      <c r="AJ648" s="487"/>
      <c r="AK648" s="507"/>
      <c r="AL648" s="479">
        <f t="shared" ref="AL648:AL686" si="293">IF(ISBLANK(AJ648),0,AF648)</f>
        <v>0</v>
      </c>
      <c r="AM648" s="482">
        <f t="shared" ref="AM648:AM686" si="294">IF(ISBLANK(AK648),0,AH648)</f>
        <v>0</v>
      </c>
      <c r="AN648" s="487"/>
      <c r="AO648" s="488"/>
      <c r="AP648" s="487">
        <v>0</v>
      </c>
      <c r="AQ648" s="488"/>
      <c r="AR648" s="487">
        <v>0</v>
      </c>
      <c r="AS648" s="488"/>
      <c r="AT648" s="487">
        <v>0</v>
      </c>
      <c r="AU648" s="488"/>
      <c r="AV648" s="479">
        <f t="shared" ref="AV648:AV686" si="295">SUM(AN648,AP648,AR648,AT648)</f>
        <v>0</v>
      </c>
      <c r="AW648" s="483">
        <f t="shared" ref="AW648:AW686" si="296">+AV648/24</f>
        <v>0</v>
      </c>
      <c r="AX648" s="481">
        <f t="shared" ref="AX648:AX686" si="297">SUM(AO648,AQ648,AS648,AU648)</f>
        <v>0</v>
      </c>
      <c r="AY648" s="484">
        <f t="shared" ref="AY648:AY686" si="298">+AX648/24</f>
        <v>0</v>
      </c>
      <c r="AZ648" s="485">
        <f t="shared" ref="AZ648:AZ686" si="299">SUM(Q648,AG648,AW648)</f>
        <v>3274.6666666666665</v>
      </c>
      <c r="BA648" s="481">
        <f t="shared" ref="BA648:BA686" si="300">SUM(S648,AI648,AY648)</f>
        <v>2955.3333333333335</v>
      </c>
    </row>
    <row r="649" spans="1:53" ht="15">
      <c r="A649" s="798" t="s">
        <v>288</v>
      </c>
      <c r="B649" s="804" t="s">
        <v>930</v>
      </c>
      <c r="C649" s="780"/>
      <c r="D649" s="800">
        <v>233019</v>
      </c>
      <c r="E649" s="751">
        <v>9</v>
      </c>
      <c r="F649" s="486" t="s">
        <v>41</v>
      </c>
      <c r="G649" s="529" t="s">
        <v>41</v>
      </c>
      <c r="H649" s="506"/>
      <c r="I649" s="488"/>
      <c r="J649" s="506">
        <v>31342</v>
      </c>
      <c r="K649" s="773">
        <v>28535</v>
      </c>
      <c r="L649" s="506">
        <v>10391</v>
      </c>
      <c r="M649" s="774">
        <v>7900</v>
      </c>
      <c r="N649" s="506">
        <v>31537</v>
      </c>
      <c r="O649" s="775">
        <v>30695</v>
      </c>
      <c r="P649" s="479">
        <f t="shared" si="283"/>
        <v>73270</v>
      </c>
      <c r="Q649" s="480">
        <f t="shared" si="284"/>
        <v>2442.3333333333335</v>
      </c>
      <c r="R649" s="481">
        <f t="shared" si="285"/>
        <v>67130</v>
      </c>
      <c r="S649" s="482">
        <f t="shared" si="286"/>
        <v>2237.6666666666665</v>
      </c>
      <c r="T649" s="506">
        <v>22362</v>
      </c>
      <c r="U649" s="776">
        <v>27803</v>
      </c>
      <c r="V649" s="479">
        <f t="shared" si="287"/>
        <v>73270</v>
      </c>
      <c r="W649" s="478">
        <f t="shared" si="288"/>
        <v>67130</v>
      </c>
      <c r="X649" s="506"/>
      <c r="Y649" s="488"/>
      <c r="Z649" s="506"/>
      <c r="AA649" s="488"/>
      <c r="AB649" s="506"/>
      <c r="AC649" s="488"/>
      <c r="AD649" s="506"/>
      <c r="AE649" s="507"/>
      <c r="AF649" s="479">
        <f t="shared" si="289"/>
        <v>0</v>
      </c>
      <c r="AG649" s="480">
        <f t="shared" si="290"/>
        <v>0</v>
      </c>
      <c r="AH649" s="481">
        <f t="shared" si="291"/>
        <v>0</v>
      </c>
      <c r="AI649" s="481">
        <f t="shared" si="292"/>
        <v>0</v>
      </c>
      <c r="AJ649" s="487"/>
      <c r="AK649" s="507"/>
      <c r="AL649" s="479">
        <f t="shared" si="293"/>
        <v>0</v>
      </c>
      <c r="AM649" s="482">
        <f t="shared" si="294"/>
        <v>0</v>
      </c>
      <c r="AN649" s="487"/>
      <c r="AO649" s="488"/>
      <c r="AP649" s="487">
        <v>0</v>
      </c>
      <c r="AQ649" s="488"/>
      <c r="AR649" s="487">
        <v>0</v>
      </c>
      <c r="AS649" s="488"/>
      <c r="AT649" s="487">
        <v>0</v>
      </c>
      <c r="AU649" s="488"/>
      <c r="AV649" s="479">
        <f t="shared" si="295"/>
        <v>0</v>
      </c>
      <c r="AW649" s="483">
        <f t="shared" si="296"/>
        <v>0</v>
      </c>
      <c r="AX649" s="481">
        <f t="shared" si="297"/>
        <v>0</v>
      </c>
      <c r="AY649" s="484">
        <f t="shared" si="298"/>
        <v>0</v>
      </c>
      <c r="AZ649" s="485">
        <f t="shared" si="299"/>
        <v>2442.3333333333335</v>
      </c>
      <c r="BA649" s="481">
        <f t="shared" si="300"/>
        <v>2237.6666666666665</v>
      </c>
    </row>
    <row r="650" spans="1:53" ht="15">
      <c r="A650" s="798" t="s">
        <v>288</v>
      </c>
      <c r="B650" s="799" t="s">
        <v>931</v>
      </c>
      <c r="C650" s="772"/>
      <c r="D650" s="800">
        <v>233116</v>
      </c>
      <c r="E650" s="751">
        <v>9</v>
      </c>
      <c r="F650" s="486" t="s">
        <v>41</v>
      </c>
      <c r="G650" s="529" t="s">
        <v>41</v>
      </c>
      <c r="H650" s="506"/>
      <c r="I650" s="488"/>
      <c r="J650" s="506">
        <v>39108</v>
      </c>
      <c r="K650" s="773">
        <v>38118</v>
      </c>
      <c r="L650" s="506">
        <v>10110</v>
      </c>
      <c r="M650" s="774">
        <v>10573</v>
      </c>
      <c r="N650" s="506">
        <v>42187</v>
      </c>
      <c r="O650" s="775">
        <v>41436</v>
      </c>
      <c r="P650" s="479">
        <f t="shared" si="283"/>
        <v>91405</v>
      </c>
      <c r="Q650" s="480">
        <f t="shared" si="284"/>
        <v>3046.8333333333335</v>
      </c>
      <c r="R650" s="481">
        <f t="shared" si="285"/>
        <v>90127</v>
      </c>
      <c r="S650" s="482">
        <f t="shared" si="286"/>
        <v>3004.2333333333331</v>
      </c>
      <c r="T650" s="506">
        <v>23641</v>
      </c>
      <c r="U650" s="776">
        <v>25132</v>
      </c>
      <c r="V650" s="479">
        <f t="shared" si="287"/>
        <v>91405</v>
      </c>
      <c r="W650" s="478">
        <f t="shared" si="288"/>
        <v>90127</v>
      </c>
      <c r="X650" s="506"/>
      <c r="Y650" s="488"/>
      <c r="Z650" s="506"/>
      <c r="AA650" s="488"/>
      <c r="AB650" s="506"/>
      <c r="AC650" s="488"/>
      <c r="AD650" s="506"/>
      <c r="AE650" s="507"/>
      <c r="AF650" s="479">
        <f t="shared" si="289"/>
        <v>0</v>
      </c>
      <c r="AG650" s="480">
        <f t="shared" si="290"/>
        <v>0</v>
      </c>
      <c r="AH650" s="481">
        <f t="shared" si="291"/>
        <v>0</v>
      </c>
      <c r="AI650" s="481">
        <f t="shared" si="292"/>
        <v>0</v>
      </c>
      <c r="AJ650" s="487"/>
      <c r="AK650" s="507"/>
      <c r="AL650" s="479">
        <f t="shared" si="293"/>
        <v>0</v>
      </c>
      <c r="AM650" s="482">
        <f t="shared" si="294"/>
        <v>0</v>
      </c>
      <c r="AN650" s="487"/>
      <c r="AO650" s="488"/>
      <c r="AP650" s="487">
        <v>0</v>
      </c>
      <c r="AQ650" s="488"/>
      <c r="AR650" s="487">
        <v>0</v>
      </c>
      <c r="AS650" s="488"/>
      <c r="AT650" s="487">
        <v>0</v>
      </c>
      <c r="AU650" s="488"/>
      <c r="AV650" s="479">
        <f t="shared" si="295"/>
        <v>0</v>
      </c>
      <c r="AW650" s="483">
        <f t="shared" si="296"/>
        <v>0</v>
      </c>
      <c r="AX650" s="481">
        <f t="shared" si="297"/>
        <v>0</v>
      </c>
      <c r="AY650" s="484">
        <f t="shared" si="298"/>
        <v>0</v>
      </c>
      <c r="AZ650" s="485">
        <f t="shared" si="299"/>
        <v>3046.8333333333335</v>
      </c>
      <c r="BA650" s="481">
        <f t="shared" si="300"/>
        <v>3004.2333333333331</v>
      </c>
    </row>
    <row r="651" spans="1:53" ht="15">
      <c r="A651" s="798" t="s">
        <v>288</v>
      </c>
      <c r="B651" s="799" t="s">
        <v>949</v>
      </c>
      <c r="C651" s="772"/>
      <c r="D651" s="800">
        <v>233639</v>
      </c>
      <c r="E651" s="751">
        <v>9</v>
      </c>
      <c r="F651" s="486" t="s">
        <v>41</v>
      </c>
      <c r="G651" s="529" t="s">
        <v>41</v>
      </c>
      <c r="H651" s="506"/>
      <c r="I651" s="488"/>
      <c r="J651" s="506">
        <v>47196</v>
      </c>
      <c r="K651" s="773">
        <v>45800</v>
      </c>
      <c r="L651" s="506">
        <v>17221</v>
      </c>
      <c r="M651" s="774">
        <v>14191</v>
      </c>
      <c r="N651" s="506">
        <v>51494</v>
      </c>
      <c r="O651" s="775">
        <v>50277</v>
      </c>
      <c r="P651" s="479">
        <f t="shared" si="283"/>
        <v>115911</v>
      </c>
      <c r="Q651" s="480">
        <f t="shared" si="284"/>
        <v>3863.7</v>
      </c>
      <c r="R651" s="481">
        <f t="shared" si="285"/>
        <v>110268</v>
      </c>
      <c r="S651" s="482">
        <f t="shared" si="286"/>
        <v>3675.6</v>
      </c>
      <c r="T651" s="506">
        <v>63550</v>
      </c>
      <c r="U651" s="776">
        <v>69549</v>
      </c>
      <c r="V651" s="479">
        <f t="shared" si="287"/>
        <v>115911</v>
      </c>
      <c r="W651" s="478">
        <f t="shared" si="288"/>
        <v>110268</v>
      </c>
      <c r="X651" s="506"/>
      <c r="Y651" s="488"/>
      <c r="Z651" s="506"/>
      <c r="AA651" s="488"/>
      <c r="AB651" s="506"/>
      <c r="AC651" s="488"/>
      <c r="AD651" s="506"/>
      <c r="AE651" s="507"/>
      <c r="AF651" s="479">
        <f t="shared" si="289"/>
        <v>0</v>
      </c>
      <c r="AG651" s="480">
        <f t="shared" si="290"/>
        <v>0</v>
      </c>
      <c r="AH651" s="481">
        <f t="shared" si="291"/>
        <v>0</v>
      </c>
      <c r="AI651" s="481">
        <f t="shared" si="292"/>
        <v>0</v>
      </c>
      <c r="AJ651" s="487"/>
      <c r="AK651" s="507"/>
      <c r="AL651" s="479">
        <f t="shared" si="293"/>
        <v>0</v>
      </c>
      <c r="AM651" s="482">
        <f t="shared" si="294"/>
        <v>0</v>
      </c>
      <c r="AN651" s="487"/>
      <c r="AO651" s="488"/>
      <c r="AP651" s="487">
        <v>0</v>
      </c>
      <c r="AQ651" s="488"/>
      <c r="AR651" s="487">
        <v>0</v>
      </c>
      <c r="AS651" s="488"/>
      <c r="AT651" s="487">
        <v>0</v>
      </c>
      <c r="AU651" s="488"/>
      <c r="AV651" s="479">
        <f t="shared" si="295"/>
        <v>0</v>
      </c>
      <c r="AW651" s="483">
        <f t="shared" si="296"/>
        <v>0</v>
      </c>
      <c r="AX651" s="481">
        <f t="shared" si="297"/>
        <v>0</v>
      </c>
      <c r="AY651" s="484">
        <f t="shared" si="298"/>
        <v>0</v>
      </c>
      <c r="AZ651" s="485">
        <f t="shared" si="299"/>
        <v>3863.7</v>
      </c>
      <c r="BA651" s="481">
        <f t="shared" si="300"/>
        <v>3675.6</v>
      </c>
    </row>
    <row r="652" spans="1:53" ht="15">
      <c r="A652" s="798" t="s">
        <v>288</v>
      </c>
      <c r="B652" s="799" t="s">
        <v>932</v>
      </c>
      <c r="C652" s="772" t="s">
        <v>610</v>
      </c>
      <c r="D652" s="800">
        <v>233648</v>
      </c>
      <c r="E652" s="751">
        <v>9</v>
      </c>
      <c r="F652" s="486" t="s">
        <v>41</v>
      </c>
      <c r="G652" s="529" t="s">
        <v>41</v>
      </c>
      <c r="H652" s="506"/>
      <c r="I652" s="488"/>
      <c r="J652" s="506">
        <v>24684</v>
      </c>
      <c r="K652" s="773">
        <v>22703</v>
      </c>
      <c r="L652" s="506">
        <v>9797</v>
      </c>
      <c r="M652" s="774">
        <v>8020</v>
      </c>
      <c r="N652" s="506">
        <v>24876</v>
      </c>
      <c r="O652" s="775">
        <v>24066</v>
      </c>
      <c r="P652" s="479">
        <f t="shared" si="283"/>
        <v>59357</v>
      </c>
      <c r="Q652" s="480">
        <f t="shared" si="284"/>
        <v>1978.5666666666666</v>
      </c>
      <c r="R652" s="481">
        <f t="shared" si="285"/>
        <v>54789</v>
      </c>
      <c r="S652" s="482">
        <f t="shared" si="286"/>
        <v>1826.3</v>
      </c>
      <c r="T652" s="506">
        <v>19271</v>
      </c>
      <c r="U652" s="776">
        <v>16667</v>
      </c>
      <c r="V652" s="479">
        <f t="shared" si="287"/>
        <v>59357</v>
      </c>
      <c r="W652" s="478">
        <f t="shared" si="288"/>
        <v>54789</v>
      </c>
      <c r="X652" s="506"/>
      <c r="Y652" s="488"/>
      <c r="Z652" s="506"/>
      <c r="AA652" s="488"/>
      <c r="AB652" s="506"/>
      <c r="AC652" s="488"/>
      <c r="AD652" s="506"/>
      <c r="AE652" s="507"/>
      <c r="AF652" s="479">
        <f t="shared" si="289"/>
        <v>0</v>
      </c>
      <c r="AG652" s="480">
        <f t="shared" si="290"/>
        <v>0</v>
      </c>
      <c r="AH652" s="481">
        <f t="shared" si="291"/>
        <v>0</v>
      </c>
      <c r="AI652" s="481">
        <f t="shared" si="292"/>
        <v>0</v>
      </c>
      <c r="AJ652" s="487"/>
      <c r="AK652" s="507"/>
      <c r="AL652" s="479">
        <f t="shared" si="293"/>
        <v>0</v>
      </c>
      <c r="AM652" s="482">
        <f t="shared" si="294"/>
        <v>0</v>
      </c>
      <c r="AN652" s="487"/>
      <c r="AO652" s="488"/>
      <c r="AP652" s="487">
        <v>0</v>
      </c>
      <c r="AQ652" s="488"/>
      <c r="AR652" s="487">
        <v>0</v>
      </c>
      <c r="AS652" s="488"/>
      <c r="AT652" s="487">
        <v>0</v>
      </c>
      <c r="AU652" s="488"/>
      <c r="AV652" s="479">
        <f t="shared" si="295"/>
        <v>0</v>
      </c>
      <c r="AW652" s="483">
        <f t="shared" si="296"/>
        <v>0</v>
      </c>
      <c r="AX652" s="481">
        <f t="shared" si="297"/>
        <v>0</v>
      </c>
      <c r="AY652" s="484">
        <f t="shared" si="298"/>
        <v>0</v>
      </c>
      <c r="AZ652" s="485">
        <f t="shared" si="299"/>
        <v>1978.5666666666666</v>
      </c>
      <c r="BA652" s="481">
        <f t="shared" si="300"/>
        <v>1826.3</v>
      </c>
    </row>
    <row r="653" spans="1:53" ht="15">
      <c r="A653" s="798" t="s">
        <v>288</v>
      </c>
      <c r="B653" s="736" t="s">
        <v>933</v>
      </c>
      <c r="C653" s="732"/>
      <c r="D653" s="800">
        <v>233949</v>
      </c>
      <c r="E653" s="751">
        <v>9</v>
      </c>
      <c r="F653" s="486" t="s">
        <v>41</v>
      </c>
      <c r="G653" s="529" t="s">
        <v>41</v>
      </c>
      <c r="H653" s="506"/>
      <c r="I653" s="488"/>
      <c r="J653" s="506">
        <v>63610</v>
      </c>
      <c r="K653" s="773">
        <v>59965</v>
      </c>
      <c r="L653" s="506">
        <v>16665</v>
      </c>
      <c r="M653" s="774">
        <v>16317</v>
      </c>
      <c r="N653" s="506">
        <v>66570</v>
      </c>
      <c r="O653" s="775">
        <v>68808</v>
      </c>
      <c r="P653" s="479">
        <f t="shared" si="283"/>
        <v>146845</v>
      </c>
      <c r="Q653" s="480">
        <f t="shared" si="284"/>
        <v>4894.833333333333</v>
      </c>
      <c r="R653" s="481">
        <f t="shared" si="285"/>
        <v>145090</v>
      </c>
      <c r="S653" s="482">
        <f t="shared" si="286"/>
        <v>4836.333333333333</v>
      </c>
      <c r="T653" s="506">
        <v>35649</v>
      </c>
      <c r="U653" s="776">
        <v>43154</v>
      </c>
      <c r="V653" s="479">
        <f t="shared" si="287"/>
        <v>146845</v>
      </c>
      <c r="W653" s="478">
        <f t="shared" si="288"/>
        <v>145090</v>
      </c>
      <c r="X653" s="506"/>
      <c r="Y653" s="488"/>
      <c r="Z653" s="506"/>
      <c r="AA653" s="488"/>
      <c r="AB653" s="506"/>
      <c r="AC653" s="488"/>
      <c r="AD653" s="506"/>
      <c r="AE653" s="507"/>
      <c r="AF653" s="479">
        <f t="shared" si="289"/>
        <v>0</v>
      </c>
      <c r="AG653" s="480">
        <f t="shared" si="290"/>
        <v>0</v>
      </c>
      <c r="AH653" s="481">
        <f t="shared" si="291"/>
        <v>0</v>
      </c>
      <c r="AI653" s="481">
        <f t="shared" si="292"/>
        <v>0</v>
      </c>
      <c r="AJ653" s="487"/>
      <c r="AK653" s="507"/>
      <c r="AL653" s="479">
        <f t="shared" si="293"/>
        <v>0</v>
      </c>
      <c r="AM653" s="482">
        <f t="shared" si="294"/>
        <v>0</v>
      </c>
      <c r="AN653" s="487"/>
      <c r="AO653" s="488"/>
      <c r="AP653" s="487">
        <v>0</v>
      </c>
      <c r="AQ653" s="488"/>
      <c r="AR653" s="487">
        <v>0</v>
      </c>
      <c r="AS653" s="488"/>
      <c r="AT653" s="487">
        <v>0</v>
      </c>
      <c r="AU653" s="488"/>
      <c r="AV653" s="479">
        <f t="shared" si="295"/>
        <v>0</v>
      </c>
      <c r="AW653" s="483">
        <f t="shared" si="296"/>
        <v>0</v>
      </c>
      <c r="AX653" s="481">
        <f t="shared" si="297"/>
        <v>0</v>
      </c>
      <c r="AY653" s="484">
        <f t="shared" si="298"/>
        <v>0</v>
      </c>
      <c r="AZ653" s="485">
        <f t="shared" si="299"/>
        <v>4894.833333333333</v>
      </c>
      <c r="BA653" s="481">
        <f t="shared" si="300"/>
        <v>4836.333333333333</v>
      </c>
    </row>
    <row r="654" spans="1:53" ht="15">
      <c r="A654" s="798" t="s">
        <v>288</v>
      </c>
      <c r="B654" s="736" t="s">
        <v>934</v>
      </c>
      <c r="C654" s="780"/>
      <c r="D654" s="800">
        <v>234377</v>
      </c>
      <c r="E654" s="751">
        <v>9</v>
      </c>
      <c r="F654" s="486" t="s">
        <v>41</v>
      </c>
      <c r="G654" s="529" t="s">
        <v>41</v>
      </c>
      <c r="H654" s="506"/>
      <c r="I654" s="488"/>
      <c r="J654" s="506">
        <v>28458</v>
      </c>
      <c r="K654" s="773">
        <v>27341</v>
      </c>
      <c r="L654" s="506">
        <v>10541</v>
      </c>
      <c r="M654" s="774">
        <v>8040</v>
      </c>
      <c r="N654" s="506">
        <v>30401</v>
      </c>
      <c r="O654" s="775">
        <v>28568</v>
      </c>
      <c r="P654" s="479">
        <f t="shared" si="283"/>
        <v>69400</v>
      </c>
      <c r="Q654" s="480">
        <f t="shared" si="284"/>
        <v>2313.3333333333335</v>
      </c>
      <c r="R654" s="481">
        <f t="shared" si="285"/>
        <v>63949</v>
      </c>
      <c r="S654" s="482">
        <f t="shared" si="286"/>
        <v>2131.6333333333332</v>
      </c>
      <c r="T654" s="506">
        <v>24178</v>
      </c>
      <c r="U654" s="776">
        <v>26089</v>
      </c>
      <c r="V654" s="479">
        <f t="shared" si="287"/>
        <v>69400</v>
      </c>
      <c r="W654" s="478">
        <f t="shared" si="288"/>
        <v>63949</v>
      </c>
      <c r="X654" s="506"/>
      <c r="Y654" s="488"/>
      <c r="Z654" s="506"/>
      <c r="AA654" s="488"/>
      <c r="AB654" s="506"/>
      <c r="AC654" s="488"/>
      <c r="AD654" s="506"/>
      <c r="AE654" s="507"/>
      <c r="AF654" s="479">
        <f t="shared" si="289"/>
        <v>0</v>
      </c>
      <c r="AG654" s="480">
        <f t="shared" si="290"/>
        <v>0</v>
      </c>
      <c r="AH654" s="481">
        <f t="shared" si="291"/>
        <v>0</v>
      </c>
      <c r="AI654" s="481">
        <f t="shared" si="292"/>
        <v>0</v>
      </c>
      <c r="AJ654" s="487"/>
      <c r="AK654" s="507"/>
      <c r="AL654" s="479">
        <f t="shared" si="293"/>
        <v>0</v>
      </c>
      <c r="AM654" s="482">
        <f t="shared" si="294"/>
        <v>0</v>
      </c>
      <c r="AN654" s="487"/>
      <c r="AO654" s="488"/>
      <c r="AP654" s="487">
        <v>0</v>
      </c>
      <c r="AQ654" s="488"/>
      <c r="AR654" s="487">
        <v>0</v>
      </c>
      <c r="AS654" s="488"/>
      <c r="AT654" s="487">
        <v>0</v>
      </c>
      <c r="AU654" s="488"/>
      <c r="AV654" s="479">
        <f t="shared" si="295"/>
        <v>0</v>
      </c>
      <c r="AW654" s="483">
        <f t="shared" si="296"/>
        <v>0</v>
      </c>
      <c r="AX654" s="481">
        <f t="shared" si="297"/>
        <v>0</v>
      </c>
      <c r="AY654" s="484">
        <f t="shared" si="298"/>
        <v>0</v>
      </c>
      <c r="AZ654" s="485">
        <f t="shared" si="299"/>
        <v>2313.3333333333335</v>
      </c>
      <c r="BA654" s="481">
        <f t="shared" si="300"/>
        <v>2131.6333333333332</v>
      </c>
    </row>
    <row r="655" spans="1:53" ht="15">
      <c r="A655" s="798" t="s">
        <v>288</v>
      </c>
      <c r="B655" s="736" t="s">
        <v>935</v>
      </c>
      <c r="C655" s="732"/>
      <c r="D655" s="800">
        <v>231873</v>
      </c>
      <c r="E655" s="751">
        <v>10</v>
      </c>
      <c r="F655" s="486" t="s">
        <v>41</v>
      </c>
      <c r="G655" s="529" t="s">
        <v>41</v>
      </c>
      <c r="H655" s="506"/>
      <c r="I655" s="488"/>
      <c r="J655" s="506">
        <v>11160</v>
      </c>
      <c r="K655" s="773">
        <v>10288</v>
      </c>
      <c r="L655" s="506">
        <v>2900</v>
      </c>
      <c r="M655" s="774">
        <v>2106</v>
      </c>
      <c r="N655" s="506">
        <v>11931</v>
      </c>
      <c r="O655" s="775">
        <v>11036</v>
      </c>
      <c r="P655" s="479">
        <f t="shared" si="283"/>
        <v>25991</v>
      </c>
      <c r="Q655" s="480">
        <f t="shared" si="284"/>
        <v>866.36666666666667</v>
      </c>
      <c r="R655" s="481">
        <f t="shared" si="285"/>
        <v>23430</v>
      </c>
      <c r="S655" s="482">
        <f t="shared" si="286"/>
        <v>781</v>
      </c>
      <c r="T655" s="506">
        <v>9103</v>
      </c>
      <c r="U655" s="776">
        <v>7938</v>
      </c>
      <c r="V655" s="479">
        <f t="shared" si="287"/>
        <v>25991</v>
      </c>
      <c r="W655" s="478">
        <f t="shared" si="288"/>
        <v>23430</v>
      </c>
      <c r="X655" s="506"/>
      <c r="Y655" s="488"/>
      <c r="Z655" s="506"/>
      <c r="AA655" s="488"/>
      <c r="AB655" s="506"/>
      <c r="AC655" s="488"/>
      <c r="AD655" s="506"/>
      <c r="AE655" s="507"/>
      <c r="AF655" s="479">
        <f t="shared" si="289"/>
        <v>0</v>
      </c>
      <c r="AG655" s="480">
        <f t="shared" si="290"/>
        <v>0</v>
      </c>
      <c r="AH655" s="481">
        <f t="shared" si="291"/>
        <v>0</v>
      </c>
      <c r="AI655" s="481">
        <f t="shared" si="292"/>
        <v>0</v>
      </c>
      <c r="AJ655" s="487"/>
      <c r="AK655" s="507"/>
      <c r="AL655" s="479">
        <f t="shared" si="293"/>
        <v>0</v>
      </c>
      <c r="AM655" s="482">
        <f t="shared" si="294"/>
        <v>0</v>
      </c>
      <c r="AN655" s="487"/>
      <c r="AO655" s="488"/>
      <c r="AP655" s="487">
        <v>0</v>
      </c>
      <c r="AQ655" s="488"/>
      <c r="AR655" s="487">
        <v>0</v>
      </c>
      <c r="AS655" s="488"/>
      <c r="AT655" s="487">
        <v>0</v>
      </c>
      <c r="AU655" s="488"/>
      <c r="AV655" s="479">
        <f t="shared" si="295"/>
        <v>0</v>
      </c>
      <c r="AW655" s="483">
        <f t="shared" si="296"/>
        <v>0</v>
      </c>
      <c r="AX655" s="481">
        <f t="shared" si="297"/>
        <v>0</v>
      </c>
      <c r="AY655" s="484">
        <f t="shared" si="298"/>
        <v>0</v>
      </c>
      <c r="AZ655" s="485">
        <f t="shared" si="299"/>
        <v>866.36666666666667</v>
      </c>
      <c r="BA655" s="481">
        <f t="shared" si="300"/>
        <v>781</v>
      </c>
    </row>
    <row r="656" spans="1:53" ht="15">
      <c r="A656" s="798" t="s">
        <v>288</v>
      </c>
      <c r="B656" s="736" t="s">
        <v>950</v>
      </c>
      <c r="C656" s="732"/>
      <c r="D656" s="800">
        <v>232052</v>
      </c>
      <c r="E656" s="751">
        <v>10</v>
      </c>
      <c r="F656" s="486" t="s">
        <v>41</v>
      </c>
      <c r="G656" s="529" t="s">
        <v>41</v>
      </c>
      <c r="H656" s="506"/>
      <c r="I656" s="488"/>
      <c r="J656" s="506">
        <v>8578</v>
      </c>
      <c r="K656" s="773">
        <v>8287</v>
      </c>
      <c r="L656" s="506">
        <v>1516</v>
      </c>
      <c r="M656" s="774">
        <v>1094</v>
      </c>
      <c r="N656" s="506">
        <v>8341</v>
      </c>
      <c r="O656" s="775">
        <v>7290</v>
      </c>
      <c r="P656" s="479">
        <f t="shared" si="283"/>
        <v>18435</v>
      </c>
      <c r="Q656" s="480">
        <f t="shared" si="284"/>
        <v>614.5</v>
      </c>
      <c r="R656" s="481">
        <f t="shared" si="285"/>
        <v>16671</v>
      </c>
      <c r="S656" s="482">
        <f t="shared" si="286"/>
        <v>555.70000000000005</v>
      </c>
      <c r="T656" s="506">
        <v>4877</v>
      </c>
      <c r="U656" s="776">
        <v>5154</v>
      </c>
      <c r="V656" s="479">
        <f t="shared" si="287"/>
        <v>18435</v>
      </c>
      <c r="W656" s="478">
        <f t="shared" si="288"/>
        <v>16671</v>
      </c>
      <c r="X656" s="506"/>
      <c r="Y656" s="488"/>
      <c r="Z656" s="506"/>
      <c r="AA656" s="488"/>
      <c r="AB656" s="506"/>
      <c r="AC656" s="488"/>
      <c r="AD656" s="506"/>
      <c r="AE656" s="507"/>
      <c r="AF656" s="479">
        <f t="shared" si="289"/>
        <v>0</v>
      </c>
      <c r="AG656" s="480">
        <f t="shared" si="290"/>
        <v>0</v>
      </c>
      <c r="AH656" s="481">
        <f t="shared" si="291"/>
        <v>0</v>
      </c>
      <c r="AI656" s="481">
        <f t="shared" si="292"/>
        <v>0</v>
      </c>
      <c r="AJ656" s="487"/>
      <c r="AK656" s="507"/>
      <c r="AL656" s="479">
        <f t="shared" si="293"/>
        <v>0</v>
      </c>
      <c r="AM656" s="482">
        <f t="shared" si="294"/>
        <v>0</v>
      </c>
      <c r="AN656" s="487"/>
      <c r="AO656" s="488"/>
      <c r="AP656" s="487">
        <v>0</v>
      </c>
      <c r="AQ656" s="488"/>
      <c r="AR656" s="487">
        <v>0</v>
      </c>
      <c r="AS656" s="488"/>
      <c r="AT656" s="487">
        <v>0</v>
      </c>
      <c r="AU656" s="488"/>
      <c r="AV656" s="479">
        <f t="shared" si="295"/>
        <v>0</v>
      </c>
      <c r="AW656" s="483">
        <f t="shared" si="296"/>
        <v>0</v>
      </c>
      <c r="AX656" s="481">
        <f t="shared" si="297"/>
        <v>0</v>
      </c>
      <c r="AY656" s="484">
        <f t="shared" si="298"/>
        <v>0</v>
      </c>
      <c r="AZ656" s="485">
        <f t="shared" si="299"/>
        <v>614.5</v>
      </c>
      <c r="BA656" s="481">
        <f t="shared" si="300"/>
        <v>555.70000000000005</v>
      </c>
    </row>
    <row r="657" spans="1:53" ht="15">
      <c r="A657" s="798" t="s">
        <v>288</v>
      </c>
      <c r="B657" s="736" t="s">
        <v>951</v>
      </c>
      <c r="C657" s="732"/>
      <c r="D657" s="800">
        <v>233037</v>
      </c>
      <c r="E657" s="751">
        <v>10</v>
      </c>
      <c r="F657" s="486" t="s">
        <v>41</v>
      </c>
      <c r="G657" s="529" t="s">
        <v>41</v>
      </c>
      <c r="H657" s="506"/>
      <c r="I657" s="488"/>
      <c r="J657" s="506">
        <v>13066</v>
      </c>
      <c r="K657" s="773">
        <v>11613</v>
      </c>
      <c r="L657" s="506">
        <v>5860</v>
      </c>
      <c r="M657" s="774">
        <v>4168</v>
      </c>
      <c r="N657" s="506">
        <v>11864</v>
      </c>
      <c r="O657" s="775">
        <v>11353</v>
      </c>
      <c r="P657" s="479">
        <f t="shared" si="283"/>
        <v>30790</v>
      </c>
      <c r="Q657" s="480">
        <f t="shared" si="284"/>
        <v>1026.3333333333333</v>
      </c>
      <c r="R657" s="481">
        <f t="shared" si="285"/>
        <v>27134</v>
      </c>
      <c r="S657" s="482">
        <f t="shared" si="286"/>
        <v>904.4666666666667</v>
      </c>
      <c r="T657" s="506">
        <v>9500</v>
      </c>
      <c r="U657" s="776">
        <v>9760</v>
      </c>
      <c r="V657" s="479">
        <f t="shared" si="287"/>
        <v>30790</v>
      </c>
      <c r="W657" s="478">
        <f t="shared" si="288"/>
        <v>27134</v>
      </c>
      <c r="X657" s="506"/>
      <c r="Y657" s="488"/>
      <c r="Z657" s="506"/>
      <c r="AA657" s="488"/>
      <c r="AB657" s="506"/>
      <c r="AC657" s="488"/>
      <c r="AD657" s="506"/>
      <c r="AE657" s="507"/>
      <c r="AF657" s="479">
        <f t="shared" si="289"/>
        <v>0</v>
      </c>
      <c r="AG657" s="480">
        <f t="shared" si="290"/>
        <v>0</v>
      </c>
      <c r="AH657" s="481">
        <f t="shared" si="291"/>
        <v>0</v>
      </c>
      <c r="AI657" s="481">
        <f t="shared" si="292"/>
        <v>0</v>
      </c>
      <c r="AJ657" s="487"/>
      <c r="AK657" s="507"/>
      <c r="AL657" s="479">
        <f t="shared" si="293"/>
        <v>0</v>
      </c>
      <c r="AM657" s="482">
        <f t="shared" si="294"/>
        <v>0</v>
      </c>
      <c r="AN657" s="487"/>
      <c r="AO657" s="488"/>
      <c r="AP657" s="487">
        <v>0</v>
      </c>
      <c r="AQ657" s="488"/>
      <c r="AR657" s="487">
        <v>0</v>
      </c>
      <c r="AS657" s="488"/>
      <c r="AT657" s="487">
        <v>0</v>
      </c>
      <c r="AU657" s="488"/>
      <c r="AV657" s="479">
        <f t="shared" si="295"/>
        <v>0</v>
      </c>
      <c r="AW657" s="483">
        <f t="shared" si="296"/>
        <v>0</v>
      </c>
      <c r="AX657" s="481">
        <f t="shared" si="297"/>
        <v>0</v>
      </c>
      <c r="AY657" s="484">
        <f t="shared" si="298"/>
        <v>0</v>
      </c>
      <c r="AZ657" s="485">
        <f t="shared" si="299"/>
        <v>1026.3333333333333</v>
      </c>
      <c r="BA657" s="481">
        <f t="shared" si="300"/>
        <v>904.4666666666667</v>
      </c>
    </row>
    <row r="658" spans="1:53" ht="15">
      <c r="A658" s="798" t="s">
        <v>288</v>
      </c>
      <c r="B658" s="736" t="s">
        <v>952</v>
      </c>
      <c r="C658" s="732"/>
      <c r="D658" s="800">
        <v>233310</v>
      </c>
      <c r="E658" s="751">
        <v>10</v>
      </c>
      <c r="F658" s="486" t="s">
        <v>41</v>
      </c>
      <c r="G658" s="529" t="s">
        <v>41</v>
      </c>
      <c r="H658" s="506"/>
      <c r="I658" s="488"/>
      <c r="J658" s="506">
        <v>26560</v>
      </c>
      <c r="K658" s="773">
        <v>25335</v>
      </c>
      <c r="L658" s="506">
        <v>7115</v>
      </c>
      <c r="M658" s="774">
        <v>5789</v>
      </c>
      <c r="N658" s="506">
        <v>28562</v>
      </c>
      <c r="O658" s="775">
        <v>27219</v>
      </c>
      <c r="P658" s="479">
        <f t="shared" si="283"/>
        <v>62237</v>
      </c>
      <c r="Q658" s="480">
        <f t="shared" si="284"/>
        <v>2074.5666666666666</v>
      </c>
      <c r="R658" s="481">
        <f t="shared" si="285"/>
        <v>58343</v>
      </c>
      <c r="S658" s="482">
        <f t="shared" si="286"/>
        <v>1944.7666666666667</v>
      </c>
      <c r="T658" s="506">
        <v>41490</v>
      </c>
      <c r="U658" s="776">
        <v>43695</v>
      </c>
      <c r="V658" s="479">
        <f t="shared" si="287"/>
        <v>62237</v>
      </c>
      <c r="W658" s="478">
        <f t="shared" si="288"/>
        <v>58343</v>
      </c>
      <c r="X658" s="506"/>
      <c r="Y658" s="488"/>
      <c r="Z658" s="506"/>
      <c r="AA658" s="488"/>
      <c r="AB658" s="506"/>
      <c r="AC658" s="488"/>
      <c r="AD658" s="506"/>
      <c r="AE658" s="507"/>
      <c r="AF658" s="479">
        <f t="shared" si="289"/>
        <v>0</v>
      </c>
      <c r="AG658" s="480">
        <f t="shared" si="290"/>
        <v>0</v>
      </c>
      <c r="AH658" s="481">
        <f t="shared" si="291"/>
        <v>0</v>
      </c>
      <c r="AI658" s="481">
        <f t="shared" si="292"/>
        <v>0</v>
      </c>
      <c r="AJ658" s="487"/>
      <c r="AK658" s="507"/>
      <c r="AL658" s="479">
        <f t="shared" si="293"/>
        <v>0</v>
      </c>
      <c r="AM658" s="482">
        <f t="shared" si="294"/>
        <v>0</v>
      </c>
      <c r="AN658" s="487"/>
      <c r="AO658" s="488"/>
      <c r="AP658" s="487">
        <v>0</v>
      </c>
      <c r="AQ658" s="488"/>
      <c r="AR658" s="487">
        <v>0</v>
      </c>
      <c r="AS658" s="488"/>
      <c r="AT658" s="487">
        <v>0</v>
      </c>
      <c r="AU658" s="488"/>
      <c r="AV658" s="479">
        <f t="shared" si="295"/>
        <v>0</v>
      </c>
      <c r="AW658" s="483">
        <f t="shared" si="296"/>
        <v>0</v>
      </c>
      <c r="AX658" s="481">
        <f t="shared" si="297"/>
        <v>0</v>
      </c>
      <c r="AY658" s="484">
        <f t="shared" si="298"/>
        <v>0</v>
      </c>
      <c r="AZ658" s="485">
        <f t="shared" si="299"/>
        <v>2074.5666666666666</v>
      </c>
      <c r="BA658" s="481">
        <f t="shared" si="300"/>
        <v>1944.7666666666667</v>
      </c>
    </row>
    <row r="659" spans="1:53" ht="15">
      <c r="A659" s="798" t="s">
        <v>288</v>
      </c>
      <c r="B659" s="791" t="s">
        <v>937</v>
      </c>
      <c r="C659" s="732"/>
      <c r="D659" s="800">
        <v>233338</v>
      </c>
      <c r="E659" s="751">
        <v>10</v>
      </c>
      <c r="F659" s="486" t="s">
        <v>41</v>
      </c>
      <c r="G659" s="529" t="s">
        <v>41</v>
      </c>
      <c r="H659" s="506"/>
      <c r="I659" s="488"/>
      <c r="J659" s="506">
        <v>15080</v>
      </c>
      <c r="K659" s="773">
        <v>14159</v>
      </c>
      <c r="L659" s="506">
        <v>2691</v>
      </c>
      <c r="M659" s="774">
        <v>1937</v>
      </c>
      <c r="N659" s="506">
        <v>16747</v>
      </c>
      <c r="O659" s="775">
        <v>15407</v>
      </c>
      <c r="P659" s="479">
        <f t="shared" si="283"/>
        <v>34518</v>
      </c>
      <c r="Q659" s="480">
        <f t="shared" si="284"/>
        <v>1150.5999999999999</v>
      </c>
      <c r="R659" s="481">
        <f t="shared" si="285"/>
        <v>31503</v>
      </c>
      <c r="S659" s="482">
        <f t="shared" si="286"/>
        <v>1050.0999999999999</v>
      </c>
      <c r="T659" s="506">
        <v>4931</v>
      </c>
      <c r="U659" s="776">
        <v>5205</v>
      </c>
      <c r="V659" s="479">
        <f t="shared" si="287"/>
        <v>34518</v>
      </c>
      <c r="W659" s="478">
        <f t="shared" si="288"/>
        <v>31503</v>
      </c>
      <c r="X659" s="506"/>
      <c r="Y659" s="488"/>
      <c r="Z659" s="506"/>
      <c r="AA659" s="488"/>
      <c r="AB659" s="506"/>
      <c r="AC659" s="488"/>
      <c r="AD659" s="506"/>
      <c r="AE659" s="507"/>
      <c r="AF659" s="479">
        <f t="shared" si="289"/>
        <v>0</v>
      </c>
      <c r="AG659" s="480">
        <f t="shared" si="290"/>
        <v>0</v>
      </c>
      <c r="AH659" s="481">
        <f t="shared" si="291"/>
        <v>0</v>
      </c>
      <c r="AI659" s="481">
        <f t="shared" si="292"/>
        <v>0</v>
      </c>
      <c r="AJ659" s="487"/>
      <c r="AK659" s="507"/>
      <c r="AL659" s="479">
        <f t="shared" si="293"/>
        <v>0</v>
      </c>
      <c r="AM659" s="482">
        <f t="shared" si="294"/>
        <v>0</v>
      </c>
      <c r="AN659" s="487"/>
      <c r="AO659" s="488"/>
      <c r="AP659" s="487">
        <v>0</v>
      </c>
      <c r="AQ659" s="488"/>
      <c r="AR659" s="487">
        <v>0</v>
      </c>
      <c r="AS659" s="488"/>
      <c r="AT659" s="487">
        <v>0</v>
      </c>
      <c r="AU659" s="488"/>
      <c r="AV659" s="479">
        <f t="shared" si="295"/>
        <v>0</v>
      </c>
      <c r="AW659" s="483">
        <f t="shared" si="296"/>
        <v>0</v>
      </c>
      <c r="AX659" s="481">
        <f t="shared" si="297"/>
        <v>0</v>
      </c>
      <c r="AY659" s="484">
        <f t="shared" si="298"/>
        <v>0</v>
      </c>
      <c r="AZ659" s="485">
        <f t="shared" si="299"/>
        <v>1150.5999999999999</v>
      </c>
      <c r="BA659" s="481">
        <f t="shared" si="300"/>
        <v>1050.0999999999999</v>
      </c>
    </row>
    <row r="660" spans="1:53" ht="15">
      <c r="A660" s="798" t="s">
        <v>288</v>
      </c>
      <c r="B660" s="736" t="s">
        <v>938</v>
      </c>
      <c r="C660" s="732"/>
      <c r="D660" s="800">
        <v>233903</v>
      </c>
      <c r="E660" s="751">
        <v>10</v>
      </c>
      <c r="F660" s="486" t="s">
        <v>41</v>
      </c>
      <c r="G660" s="529" t="s">
        <v>41</v>
      </c>
      <c r="H660" s="506"/>
      <c r="I660" s="488"/>
      <c r="J660" s="506">
        <v>22800</v>
      </c>
      <c r="K660" s="773">
        <v>21921</v>
      </c>
      <c r="L660" s="506">
        <v>5927</v>
      </c>
      <c r="M660" s="774">
        <v>4704</v>
      </c>
      <c r="N660" s="506">
        <v>23828</v>
      </c>
      <c r="O660" s="775">
        <v>23195</v>
      </c>
      <c r="P660" s="479">
        <f t="shared" si="283"/>
        <v>52555</v>
      </c>
      <c r="Q660" s="480">
        <f t="shared" si="284"/>
        <v>1751.8333333333333</v>
      </c>
      <c r="R660" s="481">
        <f t="shared" si="285"/>
        <v>49820</v>
      </c>
      <c r="S660" s="482">
        <f t="shared" si="286"/>
        <v>1660.6666666666667</v>
      </c>
      <c r="T660" s="506">
        <v>16077</v>
      </c>
      <c r="U660" s="776">
        <v>16178</v>
      </c>
      <c r="V660" s="479">
        <f t="shared" si="287"/>
        <v>52555</v>
      </c>
      <c r="W660" s="478">
        <f t="shared" si="288"/>
        <v>49820</v>
      </c>
      <c r="X660" s="506"/>
      <c r="Y660" s="488"/>
      <c r="Z660" s="506"/>
      <c r="AA660" s="488"/>
      <c r="AB660" s="506"/>
      <c r="AC660" s="488"/>
      <c r="AD660" s="506"/>
      <c r="AE660" s="507"/>
      <c r="AF660" s="479">
        <f t="shared" si="289"/>
        <v>0</v>
      </c>
      <c r="AG660" s="480">
        <f t="shared" si="290"/>
        <v>0</v>
      </c>
      <c r="AH660" s="481">
        <f t="shared" si="291"/>
        <v>0</v>
      </c>
      <c r="AI660" s="481">
        <f t="shared" si="292"/>
        <v>0</v>
      </c>
      <c r="AJ660" s="487"/>
      <c r="AK660" s="507"/>
      <c r="AL660" s="479">
        <f t="shared" si="293"/>
        <v>0</v>
      </c>
      <c r="AM660" s="482">
        <f t="shared" si="294"/>
        <v>0</v>
      </c>
      <c r="AN660" s="487"/>
      <c r="AO660" s="488"/>
      <c r="AP660" s="487">
        <v>0</v>
      </c>
      <c r="AQ660" s="488"/>
      <c r="AR660" s="487">
        <v>0</v>
      </c>
      <c r="AS660" s="488"/>
      <c r="AT660" s="487">
        <v>0</v>
      </c>
      <c r="AU660" s="488"/>
      <c r="AV660" s="479">
        <f t="shared" si="295"/>
        <v>0</v>
      </c>
      <c r="AW660" s="483">
        <f t="shared" si="296"/>
        <v>0</v>
      </c>
      <c r="AX660" s="481">
        <f t="shared" si="297"/>
        <v>0</v>
      </c>
      <c r="AY660" s="484">
        <f t="shared" si="298"/>
        <v>0</v>
      </c>
      <c r="AZ660" s="485">
        <f t="shared" si="299"/>
        <v>1751.8333333333333</v>
      </c>
      <c r="BA660" s="481">
        <f t="shared" si="300"/>
        <v>1660.6666666666667</v>
      </c>
    </row>
    <row r="661" spans="1:53">
      <c r="A661" s="771" t="s">
        <v>288</v>
      </c>
      <c r="B661" s="782"/>
      <c r="C661" s="783" t="s">
        <v>939</v>
      </c>
      <c r="D661" s="771"/>
      <c r="E661" s="784" t="s">
        <v>274</v>
      </c>
      <c r="F661" s="486"/>
      <c r="G661" s="529"/>
      <c r="H661" s="506"/>
      <c r="I661" s="488"/>
      <c r="J661" s="506"/>
      <c r="K661" s="785"/>
      <c r="L661" s="506"/>
      <c r="M661" s="785"/>
      <c r="N661" s="506"/>
      <c r="O661" s="786"/>
      <c r="P661" s="479">
        <f t="shared" si="283"/>
        <v>0</v>
      </c>
      <c r="Q661" s="480">
        <f t="shared" si="284"/>
        <v>0</v>
      </c>
      <c r="R661" s="481">
        <f t="shared" si="285"/>
        <v>0</v>
      </c>
      <c r="S661" s="482">
        <f t="shared" si="286"/>
        <v>0</v>
      </c>
      <c r="T661" s="506">
        <v>0</v>
      </c>
      <c r="U661" s="786"/>
      <c r="V661" s="479">
        <f t="shared" si="287"/>
        <v>0</v>
      </c>
      <c r="W661" s="478">
        <f t="shared" si="288"/>
        <v>0</v>
      </c>
      <c r="X661" s="506"/>
      <c r="Y661" s="488"/>
      <c r="Z661" s="506"/>
      <c r="AA661" s="488"/>
      <c r="AB661" s="506"/>
      <c r="AC661" s="488"/>
      <c r="AD661" s="506"/>
      <c r="AE661" s="507"/>
      <c r="AF661" s="479">
        <f t="shared" si="289"/>
        <v>0</v>
      </c>
      <c r="AG661" s="480">
        <f t="shared" si="290"/>
        <v>0</v>
      </c>
      <c r="AH661" s="481">
        <f t="shared" si="291"/>
        <v>0</v>
      </c>
      <c r="AI661" s="481">
        <f t="shared" si="292"/>
        <v>0</v>
      </c>
      <c r="AJ661" s="487"/>
      <c r="AK661" s="507"/>
      <c r="AL661" s="479">
        <f t="shared" si="293"/>
        <v>0</v>
      </c>
      <c r="AM661" s="482">
        <f t="shared" si="294"/>
        <v>0</v>
      </c>
      <c r="AN661" s="487"/>
      <c r="AO661" s="488"/>
      <c r="AP661" s="487">
        <v>0</v>
      </c>
      <c r="AQ661" s="488"/>
      <c r="AR661" s="487">
        <v>0</v>
      </c>
      <c r="AS661" s="488"/>
      <c r="AT661" s="487">
        <v>0</v>
      </c>
      <c r="AU661" s="488"/>
      <c r="AV661" s="479">
        <f t="shared" si="295"/>
        <v>0</v>
      </c>
      <c r="AW661" s="483">
        <f t="shared" si="296"/>
        <v>0</v>
      </c>
      <c r="AX661" s="481">
        <f t="shared" si="297"/>
        <v>0</v>
      </c>
      <c r="AY661" s="484">
        <f t="shared" si="298"/>
        <v>0</v>
      </c>
      <c r="AZ661" s="485">
        <f t="shared" si="299"/>
        <v>0</v>
      </c>
      <c r="BA661" s="481">
        <f t="shared" si="300"/>
        <v>0</v>
      </c>
    </row>
    <row r="662" spans="1:53">
      <c r="A662" s="771" t="s">
        <v>288</v>
      </c>
      <c r="B662" s="787"/>
      <c r="C662" s="788" t="s">
        <v>940</v>
      </c>
      <c r="D662" s="771"/>
      <c r="E662" s="784" t="s">
        <v>275</v>
      </c>
      <c r="F662" s="486"/>
      <c r="G662" s="529"/>
      <c r="H662" s="506"/>
      <c r="I662" s="488"/>
      <c r="J662" s="506"/>
      <c r="K662" s="785"/>
      <c r="L662" s="506"/>
      <c r="M662" s="785"/>
      <c r="N662" s="506"/>
      <c r="O662" s="786"/>
      <c r="P662" s="479">
        <f t="shared" si="283"/>
        <v>0</v>
      </c>
      <c r="Q662" s="480">
        <f t="shared" si="284"/>
        <v>0</v>
      </c>
      <c r="R662" s="481">
        <f t="shared" si="285"/>
        <v>0</v>
      </c>
      <c r="S662" s="482">
        <f t="shared" si="286"/>
        <v>0</v>
      </c>
      <c r="T662" s="506"/>
      <c r="U662" s="786"/>
      <c r="V662" s="479">
        <f t="shared" si="287"/>
        <v>0</v>
      </c>
      <c r="W662" s="478">
        <f t="shared" si="288"/>
        <v>0</v>
      </c>
      <c r="X662" s="506"/>
      <c r="Y662" s="488"/>
      <c r="Z662" s="506"/>
      <c r="AA662" s="488"/>
      <c r="AB662" s="506"/>
      <c r="AC662" s="488"/>
      <c r="AD662" s="506"/>
      <c r="AE662" s="507"/>
      <c r="AF662" s="479">
        <f t="shared" si="289"/>
        <v>0</v>
      </c>
      <c r="AG662" s="480">
        <f t="shared" si="290"/>
        <v>0</v>
      </c>
      <c r="AH662" s="481">
        <f t="shared" si="291"/>
        <v>0</v>
      </c>
      <c r="AI662" s="481">
        <f t="shared" si="292"/>
        <v>0</v>
      </c>
      <c r="AJ662" s="487"/>
      <c r="AK662" s="507"/>
      <c r="AL662" s="479">
        <f t="shared" si="293"/>
        <v>0</v>
      </c>
      <c r="AM662" s="482">
        <f t="shared" si="294"/>
        <v>0</v>
      </c>
      <c r="AN662" s="487"/>
      <c r="AO662" s="488"/>
      <c r="AP662" s="487"/>
      <c r="AQ662" s="488"/>
      <c r="AR662" s="487"/>
      <c r="AS662" s="488"/>
      <c r="AT662" s="487"/>
      <c r="AU662" s="488"/>
      <c r="AV662" s="479">
        <f t="shared" si="295"/>
        <v>0</v>
      </c>
      <c r="AW662" s="483">
        <f t="shared" si="296"/>
        <v>0</v>
      </c>
      <c r="AX662" s="481">
        <f t="shared" si="297"/>
        <v>0</v>
      </c>
      <c r="AY662" s="484">
        <f t="shared" si="298"/>
        <v>0</v>
      </c>
      <c r="AZ662" s="485">
        <f t="shared" si="299"/>
        <v>0</v>
      </c>
      <c r="BA662" s="481">
        <f t="shared" si="300"/>
        <v>0</v>
      </c>
    </row>
    <row r="663" spans="1:53">
      <c r="A663" s="771" t="s">
        <v>288</v>
      </c>
      <c r="B663" s="789"/>
      <c r="C663" s="790" t="s">
        <v>941</v>
      </c>
      <c r="D663" s="771"/>
      <c r="E663" s="784" t="s">
        <v>145</v>
      </c>
      <c r="F663" s="486"/>
      <c r="G663" s="529"/>
      <c r="H663" s="506"/>
      <c r="I663" s="488"/>
      <c r="J663" s="506"/>
      <c r="K663" s="785"/>
      <c r="L663" s="506"/>
      <c r="M663" s="785"/>
      <c r="N663" s="506"/>
      <c r="O663" s="786"/>
      <c r="P663" s="479">
        <f t="shared" si="283"/>
        <v>0</v>
      </c>
      <c r="Q663" s="480">
        <f t="shared" si="284"/>
        <v>0</v>
      </c>
      <c r="R663" s="481">
        <f t="shared" si="285"/>
        <v>0</v>
      </c>
      <c r="S663" s="482">
        <f t="shared" si="286"/>
        <v>0</v>
      </c>
      <c r="T663" s="506"/>
      <c r="U663" s="786"/>
      <c r="V663" s="479">
        <f t="shared" si="287"/>
        <v>0</v>
      </c>
      <c r="W663" s="478">
        <f t="shared" si="288"/>
        <v>0</v>
      </c>
      <c r="X663" s="506"/>
      <c r="Y663" s="488"/>
      <c r="Z663" s="506"/>
      <c r="AA663" s="488"/>
      <c r="AB663" s="506"/>
      <c r="AC663" s="488"/>
      <c r="AD663" s="506"/>
      <c r="AE663" s="507"/>
      <c r="AF663" s="479">
        <f t="shared" si="289"/>
        <v>0</v>
      </c>
      <c r="AG663" s="480">
        <f t="shared" si="290"/>
        <v>0</v>
      </c>
      <c r="AH663" s="481">
        <f t="shared" si="291"/>
        <v>0</v>
      </c>
      <c r="AI663" s="481">
        <f t="shared" si="292"/>
        <v>0</v>
      </c>
      <c r="AJ663" s="487"/>
      <c r="AK663" s="507"/>
      <c r="AL663" s="479">
        <f t="shared" si="293"/>
        <v>0</v>
      </c>
      <c r="AM663" s="482">
        <f t="shared" si="294"/>
        <v>0</v>
      </c>
      <c r="AN663" s="487"/>
      <c r="AO663" s="488"/>
      <c r="AP663" s="487"/>
      <c r="AQ663" s="488"/>
      <c r="AR663" s="487"/>
      <c r="AS663" s="488"/>
      <c r="AT663" s="487"/>
      <c r="AU663" s="488"/>
      <c r="AV663" s="479">
        <f t="shared" si="295"/>
        <v>0</v>
      </c>
      <c r="AW663" s="483">
        <f t="shared" si="296"/>
        <v>0</v>
      </c>
      <c r="AX663" s="481">
        <f t="shared" si="297"/>
        <v>0</v>
      </c>
      <c r="AY663" s="484">
        <f t="shared" si="298"/>
        <v>0</v>
      </c>
      <c r="AZ663" s="485">
        <f t="shared" si="299"/>
        <v>0</v>
      </c>
      <c r="BA663" s="481">
        <f t="shared" si="300"/>
        <v>0</v>
      </c>
    </row>
    <row r="664" spans="1:53">
      <c r="A664" s="771" t="s">
        <v>288</v>
      </c>
      <c r="B664" s="791" t="s">
        <v>942</v>
      </c>
      <c r="C664" s="792"/>
      <c r="D664" s="771">
        <v>233338</v>
      </c>
      <c r="E664" s="784" t="s">
        <v>145</v>
      </c>
      <c r="F664" s="486" t="s">
        <v>41</v>
      </c>
      <c r="G664" s="529"/>
      <c r="H664" s="506"/>
      <c r="I664" s="785"/>
      <c r="J664" s="506"/>
      <c r="K664" s="488"/>
      <c r="L664" s="506"/>
      <c r="M664" s="488"/>
      <c r="N664" s="506"/>
      <c r="O664" s="488"/>
      <c r="P664" s="479">
        <f t="shared" si="283"/>
        <v>0</v>
      </c>
      <c r="Q664" s="480">
        <f t="shared" si="284"/>
        <v>0</v>
      </c>
      <c r="R664" s="481">
        <f t="shared" si="285"/>
        <v>0</v>
      </c>
      <c r="S664" s="482">
        <f t="shared" si="286"/>
        <v>0</v>
      </c>
      <c r="T664" s="506"/>
      <c r="U664" s="507"/>
      <c r="V664" s="479">
        <f t="shared" si="287"/>
        <v>0</v>
      </c>
      <c r="W664" s="478">
        <f t="shared" si="288"/>
        <v>0</v>
      </c>
      <c r="X664" s="506"/>
      <c r="Y664" s="785"/>
      <c r="Z664" s="506"/>
      <c r="AA664" s="785"/>
      <c r="AB664" s="506"/>
      <c r="AC664" s="785"/>
      <c r="AD664" s="506"/>
      <c r="AE664" s="786"/>
      <c r="AF664" s="479">
        <f t="shared" si="289"/>
        <v>0</v>
      </c>
      <c r="AG664" s="480">
        <f t="shared" si="290"/>
        <v>0</v>
      </c>
      <c r="AH664" s="481">
        <f t="shared" si="291"/>
        <v>0</v>
      </c>
      <c r="AI664" s="481">
        <f t="shared" si="292"/>
        <v>0</v>
      </c>
      <c r="AJ664" s="487"/>
      <c r="AK664" s="786"/>
      <c r="AL664" s="479">
        <f t="shared" si="293"/>
        <v>0</v>
      </c>
      <c r="AM664" s="482">
        <f t="shared" si="294"/>
        <v>0</v>
      </c>
      <c r="AN664" s="487"/>
      <c r="AO664" s="785"/>
      <c r="AP664" s="487"/>
      <c r="AQ664" s="785"/>
      <c r="AR664" s="487"/>
      <c r="AS664" s="785"/>
      <c r="AT664" s="487"/>
      <c r="AU664" s="785"/>
      <c r="AV664" s="479">
        <f t="shared" si="295"/>
        <v>0</v>
      </c>
      <c r="AW664" s="483">
        <f t="shared" si="296"/>
        <v>0</v>
      </c>
      <c r="AX664" s="481">
        <f t="shared" si="297"/>
        <v>0</v>
      </c>
      <c r="AY664" s="484">
        <f t="shared" si="298"/>
        <v>0</v>
      </c>
      <c r="AZ664" s="485">
        <f t="shared" si="299"/>
        <v>0</v>
      </c>
      <c r="BA664" s="481">
        <f t="shared" si="300"/>
        <v>0</v>
      </c>
    </row>
    <row r="665" spans="1:53">
      <c r="A665" s="771" t="s">
        <v>288</v>
      </c>
      <c r="B665" s="793" t="s">
        <v>943</v>
      </c>
      <c r="C665" s="794"/>
      <c r="D665" s="795" t="s">
        <v>944</v>
      </c>
      <c r="E665" s="796">
        <v>11</v>
      </c>
      <c r="F665" s="486" t="s">
        <v>41</v>
      </c>
      <c r="G665" s="529"/>
      <c r="H665" s="627"/>
      <c r="I665" s="629"/>
      <c r="J665" s="627"/>
      <c r="K665" s="629"/>
      <c r="L665" s="627"/>
      <c r="M665" s="629"/>
      <c r="N665" s="627"/>
      <c r="O665" s="629"/>
      <c r="P665" s="479">
        <f t="shared" si="283"/>
        <v>0</v>
      </c>
      <c r="Q665" s="480">
        <f t="shared" si="284"/>
        <v>0</v>
      </c>
      <c r="R665" s="481">
        <f t="shared" si="285"/>
        <v>0</v>
      </c>
      <c r="S665" s="482">
        <f t="shared" si="286"/>
        <v>0</v>
      </c>
      <c r="T665" s="627"/>
      <c r="U665" s="797"/>
      <c r="V665" s="479">
        <f t="shared" si="287"/>
        <v>0</v>
      </c>
      <c r="W665" s="478">
        <f t="shared" si="288"/>
        <v>0</v>
      </c>
      <c r="X665" s="506"/>
      <c r="Y665" s="785"/>
      <c r="Z665" s="506"/>
      <c r="AA665" s="785"/>
      <c r="AB665" s="506"/>
      <c r="AC665" s="785"/>
      <c r="AD665" s="506"/>
      <c r="AE665" s="786"/>
      <c r="AF665" s="479">
        <f t="shared" si="289"/>
        <v>0</v>
      </c>
      <c r="AG665" s="480">
        <f t="shared" si="290"/>
        <v>0</v>
      </c>
      <c r="AH665" s="481">
        <f t="shared" si="291"/>
        <v>0</v>
      </c>
      <c r="AI665" s="481">
        <f t="shared" si="292"/>
        <v>0</v>
      </c>
      <c r="AJ665" s="487"/>
      <c r="AK665" s="786"/>
      <c r="AL665" s="479">
        <f t="shared" si="293"/>
        <v>0</v>
      </c>
      <c r="AM665" s="482">
        <f t="shared" si="294"/>
        <v>0</v>
      </c>
      <c r="AN665" s="487"/>
      <c r="AO665" s="785"/>
      <c r="AP665" s="487"/>
      <c r="AQ665" s="785"/>
      <c r="AR665" s="487"/>
      <c r="AS665" s="785"/>
      <c r="AT665" s="487"/>
      <c r="AU665" s="785"/>
      <c r="AV665" s="479">
        <f t="shared" si="295"/>
        <v>0</v>
      </c>
      <c r="AW665" s="483">
        <f t="shared" si="296"/>
        <v>0</v>
      </c>
      <c r="AX665" s="481">
        <f t="shared" si="297"/>
        <v>0</v>
      </c>
      <c r="AY665" s="484">
        <f t="shared" si="298"/>
        <v>0</v>
      </c>
      <c r="AZ665" s="485">
        <f t="shared" si="299"/>
        <v>0</v>
      </c>
      <c r="BA665" s="481">
        <f t="shared" si="300"/>
        <v>0</v>
      </c>
    </row>
    <row r="666" spans="1:53">
      <c r="A666" s="577" t="s">
        <v>271</v>
      </c>
      <c r="B666" s="578" t="s">
        <v>586</v>
      </c>
      <c r="C666" s="644"/>
      <c r="D666" s="580">
        <v>238032</v>
      </c>
      <c r="E666" s="581">
        <v>1</v>
      </c>
      <c r="F666" s="486" t="s">
        <v>41</v>
      </c>
      <c r="G666" s="529" t="s">
        <v>41</v>
      </c>
      <c r="H666" s="506"/>
      <c r="I666" s="488"/>
      <c r="J666" s="506">
        <v>296949</v>
      </c>
      <c r="K666" s="488">
        <v>299810</v>
      </c>
      <c r="L666" s="506">
        <v>41146</v>
      </c>
      <c r="M666" s="488">
        <v>40929</v>
      </c>
      <c r="N666" s="506">
        <v>323322</v>
      </c>
      <c r="O666" s="488">
        <v>322192</v>
      </c>
      <c r="P666" s="479">
        <f t="shared" si="283"/>
        <v>661417</v>
      </c>
      <c r="Q666" s="480">
        <f t="shared" si="284"/>
        <v>22047.233333333334</v>
      </c>
      <c r="R666" s="481">
        <f t="shared" si="285"/>
        <v>662931</v>
      </c>
      <c r="S666" s="482">
        <f t="shared" si="286"/>
        <v>22097.7</v>
      </c>
      <c r="T666" s="506">
        <v>3343</v>
      </c>
      <c r="U666" s="507">
        <v>3603</v>
      </c>
      <c r="V666" s="479">
        <f t="shared" si="287"/>
        <v>661417</v>
      </c>
      <c r="W666" s="478">
        <f t="shared" si="288"/>
        <v>662931</v>
      </c>
      <c r="X666" s="506"/>
      <c r="Y666" s="488"/>
      <c r="Z666" s="506"/>
      <c r="AA666" s="488"/>
      <c r="AB666" s="506"/>
      <c r="AC666" s="488"/>
      <c r="AD666" s="506"/>
      <c r="AE666" s="507"/>
      <c r="AF666" s="479">
        <f t="shared" si="289"/>
        <v>0</v>
      </c>
      <c r="AG666" s="480">
        <f t="shared" si="290"/>
        <v>0</v>
      </c>
      <c r="AH666" s="481">
        <f t="shared" si="291"/>
        <v>0</v>
      </c>
      <c r="AI666" s="481">
        <f t="shared" si="292"/>
        <v>0</v>
      </c>
      <c r="AJ666" s="487"/>
      <c r="AK666" s="507"/>
      <c r="AL666" s="479">
        <f t="shared" si="293"/>
        <v>0</v>
      </c>
      <c r="AM666" s="482">
        <f t="shared" si="294"/>
        <v>0</v>
      </c>
      <c r="AN666" s="487"/>
      <c r="AO666" s="488"/>
      <c r="AP666" s="487">
        <v>48168</v>
      </c>
      <c r="AQ666" s="488">
        <v>47989</v>
      </c>
      <c r="AR666" s="487">
        <v>19500</v>
      </c>
      <c r="AS666" s="488">
        <v>14207</v>
      </c>
      <c r="AT666" s="487">
        <v>49007</v>
      </c>
      <c r="AU666" s="488">
        <v>48352</v>
      </c>
      <c r="AV666" s="479">
        <f t="shared" si="295"/>
        <v>116675</v>
      </c>
      <c r="AW666" s="483">
        <f t="shared" si="296"/>
        <v>4861.458333333333</v>
      </c>
      <c r="AX666" s="481">
        <f t="shared" si="297"/>
        <v>110548</v>
      </c>
      <c r="AY666" s="484">
        <f t="shared" si="298"/>
        <v>4606.166666666667</v>
      </c>
      <c r="AZ666" s="485">
        <f t="shared" si="299"/>
        <v>26908.691666666666</v>
      </c>
      <c r="BA666" s="481">
        <f t="shared" si="300"/>
        <v>26703.866666666669</v>
      </c>
    </row>
    <row r="667" spans="1:53">
      <c r="A667" s="585" t="s">
        <v>271</v>
      </c>
      <c r="B667" s="578" t="s">
        <v>587</v>
      </c>
      <c r="C667" s="644"/>
      <c r="D667" s="580">
        <v>237525</v>
      </c>
      <c r="E667" s="581">
        <v>3</v>
      </c>
      <c r="F667" s="486" t="s">
        <v>41</v>
      </c>
      <c r="G667" s="529" t="s">
        <v>41</v>
      </c>
      <c r="H667" s="506"/>
      <c r="I667" s="488"/>
      <c r="J667" s="506">
        <v>116953</v>
      </c>
      <c r="K667" s="488">
        <v>115195</v>
      </c>
      <c r="L667" s="506">
        <v>16461</v>
      </c>
      <c r="M667" s="488">
        <v>15719</v>
      </c>
      <c r="N667" s="506">
        <v>130646</v>
      </c>
      <c r="O667" s="488">
        <v>132414</v>
      </c>
      <c r="P667" s="479">
        <f t="shared" si="283"/>
        <v>264060</v>
      </c>
      <c r="Q667" s="480">
        <f t="shared" si="284"/>
        <v>8802</v>
      </c>
      <c r="R667" s="481">
        <f t="shared" si="285"/>
        <v>263328</v>
      </c>
      <c r="S667" s="482">
        <f t="shared" si="286"/>
        <v>8777.6</v>
      </c>
      <c r="T667" s="506">
        <v>4215</v>
      </c>
      <c r="U667" s="507">
        <v>4039</v>
      </c>
      <c r="V667" s="479">
        <f t="shared" si="287"/>
        <v>264060</v>
      </c>
      <c r="W667" s="478">
        <f t="shared" si="288"/>
        <v>263328</v>
      </c>
      <c r="X667" s="506"/>
      <c r="Y667" s="488"/>
      <c r="Z667" s="506"/>
      <c r="AA667" s="488"/>
      <c r="AB667" s="506"/>
      <c r="AC667" s="488"/>
      <c r="AD667" s="506"/>
      <c r="AE667" s="507"/>
      <c r="AF667" s="479">
        <f t="shared" si="289"/>
        <v>0</v>
      </c>
      <c r="AG667" s="480">
        <f t="shared" si="290"/>
        <v>0</v>
      </c>
      <c r="AH667" s="481">
        <f t="shared" si="291"/>
        <v>0</v>
      </c>
      <c r="AI667" s="481">
        <f t="shared" si="292"/>
        <v>0</v>
      </c>
      <c r="AJ667" s="487"/>
      <c r="AK667" s="507"/>
      <c r="AL667" s="479">
        <f t="shared" si="293"/>
        <v>0</v>
      </c>
      <c r="AM667" s="482">
        <f t="shared" si="294"/>
        <v>0</v>
      </c>
      <c r="AN667" s="487"/>
      <c r="AO667" s="488"/>
      <c r="AP667" s="487">
        <v>22002</v>
      </c>
      <c r="AQ667" s="488">
        <v>22773</v>
      </c>
      <c r="AR667" s="487">
        <v>11103</v>
      </c>
      <c r="AS667" s="488">
        <v>11363</v>
      </c>
      <c r="AT667" s="487">
        <v>22379</v>
      </c>
      <c r="AU667" s="488">
        <v>23648</v>
      </c>
      <c r="AV667" s="479">
        <f t="shared" si="295"/>
        <v>55484</v>
      </c>
      <c r="AW667" s="483">
        <f t="shared" si="296"/>
        <v>2311.8333333333335</v>
      </c>
      <c r="AX667" s="481">
        <f t="shared" si="297"/>
        <v>57784</v>
      </c>
      <c r="AY667" s="484">
        <f t="shared" si="298"/>
        <v>2407.6666666666665</v>
      </c>
      <c r="AZ667" s="485">
        <f t="shared" si="299"/>
        <v>11113.833333333334</v>
      </c>
      <c r="BA667" s="481">
        <f t="shared" si="300"/>
        <v>11185.266666666666</v>
      </c>
    </row>
    <row r="668" spans="1:53">
      <c r="A668" s="585" t="s">
        <v>271</v>
      </c>
      <c r="B668" s="578" t="s">
        <v>588</v>
      </c>
      <c r="C668" s="638"/>
      <c r="D668" s="580">
        <v>237367</v>
      </c>
      <c r="E668" s="581">
        <v>5</v>
      </c>
      <c r="F668" s="486" t="s">
        <v>41</v>
      </c>
      <c r="G668" s="529" t="s">
        <v>41</v>
      </c>
      <c r="H668" s="506"/>
      <c r="I668" s="488"/>
      <c r="J668" s="506">
        <v>52632</v>
      </c>
      <c r="K668" s="488">
        <v>51389</v>
      </c>
      <c r="L668" s="506">
        <v>6860</v>
      </c>
      <c r="M668" s="488">
        <v>6225</v>
      </c>
      <c r="N668" s="506">
        <v>56311</v>
      </c>
      <c r="O668" s="488">
        <v>53920</v>
      </c>
      <c r="P668" s="479">
        <f t="shared" si="283"/>
        <v>115803</v>
      </c>
      <c r="Q668" s="480">
        <f t="shared" si="284"/>
        <v>3860.1</v>
      </c>
      <c r="R668" s="481">
        <f t="shared" si="285"/>
        <v>111534</v>
      </c>
      <c r="S668" s="482">
        <f t="shared" si="286"/>
        <v>3717.8</v>
      </c>
      <c r="T668" s="506">
        <v>36</v>
      </c>
      <c r="U668" s="507">
        <v>47</v>
      </c>
      <c r="V668" s="479">
        <f t="shared" si="287"/>
        <v>115803</v>
      </c>
      <c r="W668" s="478">
        <f t="shared" si="288"/>
        <v>111534</v>
      </c>
      <c r="X668" s="506"/>
      <c r="Y668" s="488"/>
      <c r="Z668" s="506"/>
      <c r="AA668" s="488"/>
      <c r="AB668" s="506"/>
      <c r="AC668" s="488"/>
      <c r="AD668" s="506"/>
      <c r="AE668" s="507"/>
      <c r="AF668" s="479">
        <f t="shared" si="289"/>
        <v>0</v>
      </c>
      <c r="AG668" s="480">
        <f t="shared" si="290"/>
        <v>0</v>
      </c>
      <c r="AH668" s="481">
        <f t="shared" si="291"/>
        <v>0</v>
      </c>
      <c r="AI668" s="481">
        <f t="shared" si="292"/>
        <v>0</v>
      </c>
      <c r="AJ668" s="487"/>
      <c r="AK668" s="507"/>
      <c r="AL668" s="479">
        <f t="shared" si="293"/>
        <v>0</v>
      </c>
      <c r="AM668" s="482">
        <f t="shared" si="294"/>
        <v>0</v>
      </c>
      <c r="AN668" s="487"/>
      <c r="AO668" s="488"/>
      <c r="AP668" s="487">
        <v>2255</v>
      </c>
      <c r="AQ668" s="488">
        <v>2025</v>
      </c>
      <c r="AR668" s="487">
        <v>1242</v>
      </c>
      <c r="AS668" s="488">
        <v>962</v>
      </c>
      <c r="AT668" s="487">
        <v>2347</v>
      </c>
      <c r="AU668" s="488">
        <v>1866</v>
      </c>
      <c r="AV668" s="479">
        <f t="shared" si="295"/>
        <v>5844</v>
      </c>
      <c r="AW668" s="483">
        <f t="shared" si="296"/>
        <v>243.5</v>
      </c>
      <c r="AX668" s="481">
        <f t="shared" si="297"/>
        <v>4853</v>
      </c>
      <c r="AY668" s="484">
        <f t="shared" si="298"/>
        <v>202.20833333333334</v>
      </c>
      <c r="AZ668" s="485">
        <f t="shared" si="299"/>
        <v>4103.6000000000004</v>
      </c>
      <c r="BA668" s="481">
        <f t="shared" si="300"/>
        <v>3920.0083333333337</v>
      </c>
    </row>
    <row r="669" spans="1:53">
      <c r="A669" s="585" t="s">
        <v>271</v>
      </c>
      <c r="B669" s="582" t="s">
        <v>589</v>
      </c>
      <c r="C669" s="638"/>
      <c r="D669" s="645">
        <v>237792</v>
      </c>
      <c r="E669" s="639">
        <v>5</v>
      </c>
      <c r="F669" s="486" t="s">
        <v>41</v>
      </c>
      <c r="G669" s="529" t="s">
        <v>41</v>
      </c>
      <c r="H669" s="506"/>
      <c r="I669" s="488"/>
      <c r="J669" s="506">
        <v>51726.5</v>
      </c>
      <c r="K669" s="488">
        <v>50830</v>
      </c>
      <c r="L669" s="506">
        <v>4213</v>
      </c>
      <c r="M669" s="488">
        <v>4534</v>
      </c>
      <c r="N669" s="506">
        <v>55886.5</v>
      </c>
      <c r="O669" s="488">
        <v>53236.5</v>
      </c>
      <c r="P669" s="479">
        <f t="shared" si="283"/>
        <v>111826</v>
      </c>
      <c r="Q669" s="480">
        <f t="shared" si="284"/>
        <v>3727.5333333333333</v>
      </c>
      <c r="R669" s="481">
        <f t="shared" si="285"/>
        <v>108600.5</v>
      </c>
      <c r="S669" s="482">
        <f t="shared" si="286"/>
        <v>3620.0166666666669</v>
      </c>
      <c r="T669" s="506">
        <v>106</v>
      </c>
      <c r="U669" s="507">
        <v>131</v>
      </c>
      <c r="V669" s="479">
        <f t="shared" si="287"/>
        <v>111826</v>
      </c>
      <c r="W669" s="478">
        <f t="shared" si="288"/>
        <v>108600.5</v>
      </c>
      <c r="X669" s="506"/>
      <c r="Y669" s="488"/>
      <c r="Z669" s="506"/>
      <c r="AA669" s="488"/>
      <c r="AB669" s="506"/>
      <c r="AC669" s="488"/>
      <c r="AD669" s="506"/>
      <c r="AE669" s="507"/>
      <c r="AF669" s="479">
        <f t="shared" si="289"/>
        <v>0</v>
      </c>
      <c r="AG669" s="480">
        <f t="shared" si="290"/>
        <v>0</v>
      </c>
      <c r="AH669" s="481">
        <f t="shared" si="291"/>
        <v>0</v>
      </c>
      <c r="AI669" s="481">
        <f t="shared" si="292"/>
        <v>0</v>
      </c>
      <c r="AJ669" s="487"/>
      <c r="AK669" s="507"/>
      <c r="AL669" s="479">
        <f t="shared" si="293"/>
        <v>0</v>
      </c>
      <c r="AM669" s="482">
        <f t="shared" si="294"/>
        <v>0</v>
      </c>
      <c r="AN669" s="487"/>
      <c r="AO669" s="488"/>
      <c r="AP669" s="487">
        <v>958</v>
      </c>
      <c r="AQ669" s="488">
        <v>1127</v>
      </c>
      <c r="AR669" s="487">
        <v>522</v>
      </c>
      <c r="AS669" s="488">
        <v>472</v>
      </c>
      <c r="AT669" s="487">
        <v>1051</v>
      </c>
      <c r="AU669" s="488">
        <v>1283</v>
      </c>
      <c r="AV669" s="479">
        <f t="shared" si="295"/>
        <v>2531</v>
      </c>
      <c r="AW669" s="483">
        <f t="shared" si="296"/>
        <v>105.45833333333333</v>
      </c>
      <c r="AX669" s="481">
        <f t="shared" si="297"/>
        <v>2882</v>
      </c>
      <c r="AY669" s="484">
        <f t="shared" si="298"/>
        <v>120.08333333333333</v>
      </c>
      <c r="AZ669" s="485">
        <f t="shared" si="299"/>
        <v>3832.9916666666668</v>
      </c>
      <c r="BA669" s="481">
        <f t="shared" si="300"/>
        <v>3740.1000000000004</v>
      </c>
    </row>
    <row r="670" spans="1:53">
      <c r="A670" s="585" t="s">
        <v>271</v>
      </c>
      <c r="B670" s="578" t="s">
        <v>590</v>
      </c>
      <c r="C670" s="644"/>
      <c r="D670" s="580">
        <v>237215</v>
      </c>
      <c r="E670" s="581">
        <v>6</v>
      </c>
      <c r="F670" s="486" t="s">
        <v>41</v>
      </c>
      <c r="G670" s="529" t="s">
        <v>41</v>
      </c>
      <c r="H670" s="506"/>
      <c r="I670" s="488"/>
      <c r="J670" s="506">
        <v>24278</v>
      </c>
      <c r="K670" s="488">
        <v>23250</v>
      </c>
      <c r="L670" s="506">
        <v>3108</v>
      </c>
      <c r="M670" s="488">
        <v>2207</v>
      </c>
      <c r="N670" s="506">
        <v>25885</v>
      </c>
      <c r="O670" s="488">
        <v>23525</v>
      </c>
      <c r="P670" s="479">
        <f t="shared" si="283"/>
        <v>53271</v>
      </c>
      <c r="Q670" s="480">
        <f t="shared" si="284"/>
        <v>1775.7</v>
      </c>
      <c r="R670" s="481">
        <f t="shared" si="285"/>
        <v>48982</v>
      </c>
      <c r="S670" s="482">
        <f t="shared" si="286"/>
        <v>1632.7333333333333</v>
      </c>
      <c r="T670" s="506">
        <v>349</v>
      </c>
      <c r="U670" s="507">
        <v>412</v>
      </c>
      <c r="V670" s="479">
        <f t="shared" si="287"/>
        <v>53271</v>
      </c>
      <c r="W670" s="478">
        <f t="shared" si="288"/>
        <v>48982</v>
      </c>
      <c r="X670" s="506"/>
      <c r="Y670" s="488"/>
      <c r="Z670" s="506"/>
      <c r="AA670" s="488"/>
      <c r="AB670" s="506"/>
      <c r="AC670" s="488"/>
      <c r="AD670" s="506"/>
      <c r="AE670" s="507"/>
      <c r="AF670" s="479">
        <f t="shared" si="289"/>
        <v>0</v>
      </c>
      <c r="AG670" s="480">
        <f t="shared" si="290"/>
        <v>0</v>
      </c>
      <c r="AH670" s="481">
        <f t="shared" si="291"/>
        <v>0</v>
      </c>
      <c r="AI670" s="481">
        <f t="shared" si="292"/>
        <v>0</v>
      </c>
      <c r="AJ670" s="487"/>
      <c r="AK670" s="507"/>
      <c r="AL670" s="479">
        <f t="shared" si="293"/>
        <v>0</v>
      </c>
      <c r="AM670" s="482">
        <f t="shared" si="294"/>
        <v>0</v>
      </c>
      <c r="AN670" s="487"/>
      <c r="AO670" s="488"/>
      <c r="AP670" s="487"/>
      <c r="AQ670" s="488"/>
      <c r="AR670" s="487"/>
      <c r="AS670" s="488"/>
      <c r="AT670" s="487"/>
      <c r="AU670" s="488"/>
      <c r="AV670" s="479">
        <f t="shared" si="295"/>
        <v>0</v>
      </c>
      <c r="AW670" s="483">
        <f t="shared" si="296"/>
        <v>0</v>
      </c>
      <c r="AX670" s="481">
        <f t="shared" si="297"/>
        <v>0</v>
      </c>
      <c r="AY670" s="484">
        <f t="shared" si="298"/>
        <v>0</v>
      </c>
      <c r="AZ670" s="485">
        <f t="shared" si="299"/>
        <v>1775.7</v>
      </c>
      <c r="BA670" s="481">
        <f t="shared" si="300"/>
        <v>1632.7333333333333</v>
      </c>
    </row>
    <row r="671" spans="1:53">
      <c r="A671" s="585" t="s">
        <v>271</v>
      </c>
      <c r="B671" s="578" t="s">
        <v>591</v>
      </c>
      <c r="C671" s="644"/>
      <c r="D671" s="580">
        <v>237330</v>
      </c>
      <c r="E671" s="581">
        <v>6</v>
      </c>
      <c r="F671" s="486" t="s">
        <v>41</v>
      </c>
      <c r="G671" s="529" t="s">
        <v>41</v>
      </c>
      <c r="H671" s="506"/>
      <c r="I671" s="488"/>
      <c r="J671" s="506">
        <v>34587</v>
      </c>
      <c r="K671" s="488">
        <v>35361</v>
      </c>
      <c r="L671" s="506">
        <v>4041</v>
      </c>
      <c r="M671" s="488">
        <v>4160</v>
      </c>
      <c r="N671" s="506">
        <v>37969</v>
      </c>
      <c r="O671" s="488">
        <v>36214</v>
      </c>
      <c r="P671" s="479">
        <f t="shared" si="283"/>
        <v>76597</v>
      </c>
      <c r="Q671" s="480">
        <f t="shared" si="284"/>
        <v>2553.2333333333331</v>
      </c>
      <c r="R671" s="481">
        <f t="shared" si="285"/>
        <v>75735</v>
      </c>
      <c r="S671" s="482">
        <f t="shared" si="286"/>
        <v>2524.5</v>
      </c>
      <c r="T671" s="506">
        <v>739</v>
      </c>
      <c r="U671" s="507">
        <v>551</v>
      </c>
      <c r="V671" s="479">
        <f t="shared" si="287"/>
        <v>76597</v>
      </c>
      <c r="W671" s="478">
        <f t="shared" si="288"/>
        <v>75735</v>
      </c>
      <c r="X671" s="506"/>
      <c r="Y671" s="488"/>
      <c r="Z671" s="506"/>
      <c r="AA671" s="488"/>
      <c r="AB671" s="506"/>
      <c r="AC671" s="488"/>
      <c r="AD671" s="506"/>
      <c r="AE671" s="507"/>
      <c r="AF671" s="479">
        <f t="shared" si="289"/>
        <v>0</v>
      </c>
      <c r="AG671" s="480">
        <f t="shared" si="290"/>
        <v>0</v>
      </c>
      <c r="AH671" s="481">
        <f t="shared" si="291"/>
        <v>0</v>
      </c>
      <c r="AI671" s="481">
        <f t="shared" si="292"/>
        <v>0</v>
      </c>
      <c r="AJ671" s="487"/>
      <c r="AK671" s="507"/>
      <c r="AL671" s="479">
        <f t="shared" si="293"/>
        <v>0</v>
      </c>
      <c r="AM671" s="482">
        <f t="shared" si="294"/>
        <v>0</v>
      </c>
      <c r="AN671" s="487"/>
      <c r="AO671" s="488"/>
      <c r="AP671" s="487">
        <v>2312</v>
      </c>
      <c r="AQ671" s="488">
        <v>1227</v>
      </c>
      <c r="AR671" s="487">
        <v>2046</v>
      </c>
      <c r="AS671" s="488">
        <v>1149</v>
      </c>
      <c r="AT671" s="487">
        <v>1147</v>
      </c>
      <c r="AU671" s="488">
        <v>1752</v>
      </c>
      <c r="AV671" s="479">
        <f t="shared" si="295"/>
        <v>5505</v>
      </c>
      <c r="AW671" s="483">
        <f t="shared" si="296"/>
        <v>229.375</v>
      </c>
      <c r="AX671" s="481">
        <f t="shared" si="297"/>
        <v>4128</v>
      </c>
      <c r="AY671" s="484">
        <f t="shared" si="298"/>
        <v>172</v>
      </c>
      <c r="AZ671" s="485">
        <f t="shared" si="299"/>
        <v>2782.6083333333331</v>
      </c>
      <c r="BA671" s="481">
        <f t="shared" si="300"/>
        <v>2696.5</v>
      </c>
    </row>
    <row r="672" spans="1:53">
      <c r="A672" s="585" t="s">
        <v>271</v>
      </c>
      <c r="B672" s="578" t="s">
        <v>592</v>
      </c>
      <c r="C672" s="644"/>
      <c r="D672" s="580">
        <v>237385</v>
      </c>
      <c r="E672" s="581">
        <v>6</v>
      </c>
      <c r="F672" s="486" t="s">
        <v>41</v>
      </c>
      <c r="G672" s="529" t="s">
        <v>41</v>
      </c>
      <c r="H672" s="506"/>
      <c r="I672" s="488"/>
      <c r="J672" s="506">
        <v>19207</v>
      </c>
      <c r="K672" s="488">
        <v>18682</v>
      </c>
      <c r="L672" s="506">
        <v>2725</v>
      </c>
      <c r="M672" s="488">
        <v>1194</v>
      </c>
      <c r="N672" s="506">
        <v>21524.1</v>
      </c>
      <c r="O672" s="488">
        <v>19515.099999999999</v>
      </c>
      <c r="P672" s="479">
        <f t="shared" si="283"/>
        <v>43456.1</v>
      </c>
      <c r="Q672" s="480">
        <f t="shared" si="284"/>
        <v>1448.5366666666666</v>
      </c>
      <c r="R672" s="481">
        <f t="shared" si="285"/>
        <v>39391.1</v>
      </c>
      <c r="S672" s="482">
        <f t="shared" si="286"/>
        <v>1313.0366666666666</v>
      </c>
      <c r="T672" s="506">
        <v>1840</v>
      </c>
      <c r="U672" s="507">
        <v>1787</v>
      </c>
      <c r="V672" s="479">
        <f t="shared" si="287"/>
        <v>43456.1</v>
      </c>
      <c r="W672" s="478">
        <f t="shared" si="288"/>
        <v>39391.1</v>
      </c>
      <c r="X672" s="506"/>
      <c r="Y672" s="488"/>
      <c r="Z672" s="506"/>
      <c r="AA672" s="488"/>
      <c r="AB672" s="506"/>
      <c r="AC672" s="488"/>
      <c r="AD672" s="506"/>
      <c r="AE672" s="507"/>
      <c r="AF672" s="479">
        <f t="shared" si="289"/>
        <v>0</v>
      </c>
      <c r="AG672" s="480">
        <f t="shared" si="290"/>
        <v>0</v>
      </c>
      <c r="AH672" s="481">
        <f t="shared" si="291"/>
        <v>0</v>
      </c>
      <c r="AI672" s="481">
        <f t="shared" si="292"/>
        <v>0</v>
      </c>
      <c r="AJ672" s="487"/>
      <c r="AK672" s="507"/>
      <c r="AL672" s="479">
        <f t="shared" si="293"/>
        <v>0</v>
      </c>
      <c r="AM672" s="482">
        <f t="shared" si="294"/>
        <v>0</v>
      </c>
      <c r="AN672" s="487"/>
      <c r="AO672" s="488"/>
      <c r="AP672" s="487"/>
      <c r="AQ672" s="488"/>
      <c r="AR672" s="487"/>
      <c r="AS672" s="488"/>
      <c r="AT672" s="487"/>
      <c r="AU672" s="488"/>
      <c r="AV672" s="479">
        <f t="shared" si="295"/>
        <v>0</v>
      </c>
      <c r="AW672" s="483">
        <f t="shared" si="296"/>
        <v>0</v>
      </c>
      <c r="AX672" s="481">
        <f t="shared" si="297"/>
        <v>0</v>
      </c>
      <c r="AY672" s="484">
        <f t="shared" si="298"/>
        <v>0</v>
      </c>
      <c r="AZ672" s="485">
        <f t="shared" si="299"/>
        <v>1448.5366666666666</v>
      </c>
      <c r="BA672" s="481">
        <f t="shared" si="300"/>
        <v>1313.0366666666666</v>
      </c>
    </row>
    <row r="673" spans="1:53">
      <c r="A673" s="585" t="s">
        <v>271</v>
      </c>
      <c r="B673" s="578" t="s">
        <v>593</v>
      </c>
      <c r="C673" s="664"/>
      <c r="D673" s="580">
        <v>237932</v>
      </c>
      <c r="E673" s="581">
        <v>6</v>
      </c>
      <c r="F673" s="486" t="s">
        <v>41</v>
      </c>
      <c r="G673" s="529" t="s">
        <v>41</v>
      </c>
      <c r="H673" s="506"/>
      <c r="I673" s="488"/>
      <c r="J673" s="506">
        <v>35783</v>
      </c>
      <c r="K673" s="488">
        <v>35701</v>
      </c>
      <c r="L673" s="506">
        <v>2472</v>
      </c>
      <c r="M673" s="488">
        <v>2752</v>
      </c>
      <c r="N673" s="506">
        <v>39287</v>
      </c>
      <c r="O673" s="488">
        <v>37771</v>
      </c>
      <c r="P673" s="479">
        <f t="shared" si="283"/>
        <v>77542</v>
      </c>
      <c r="Q673" s="480">
        <f t="shared" si="284"/>
        <v>2584.7333333333331</v>
      </c>
      <c r="R673" s="481">
        <f t="shared" si="285"/>
        <v>76224</v>
      </c>
      <c r="S673" s="482">
        <f t="shared" si="286"/>
        <v>2540.8000000000002</v>
      </c>
      <c r="T673" s="506">
        <v>1473</v>
      </c>
      <c r="U673" s="507">
        <v>1750</v>
      </c>
      <c r="V673" s="479">
        <f t="shared" si="287"/>
        <v>77542</v>
      </c>
      <c r="W673" s="478">
        <f t="shared" si="288"/>
        <v>76224</v>
      </c>
      <c r="X673" s="506"/>
      <c r="Y673" s="488"/>
      <c r="Z673" s="506"/>
      <c r="AA673" s="488"/>
      <c r="AB673" s="506"/>
      <c r="AC673" s="488"/>
      <c r="AD673" s="506"/>
      <c r="AE673" s="507"/>
      <c r="AF673" s="479">
        <f t="shared" si="289"/>
        <v>0</v>
      </c>
      <c r="AG673" s="480">
        <f t="shared" si="290"/>
        <v>0</v>
      </c>
      <c r="AH673" s="481">
        <f t="shared" si="291"/>
        <v>0</v>
      </c>
      <c r="AI673" s="481">
        <f t="shared" si="292"/>
        <v>0</v>
      </c>
      <c r="AJ673" s="487"/>
      <c r="AK673" s="507"/>
      <c r="AL673" s="479">
        <f t="shared" si="293"/>
        <v>0</v>
      </c>
      <c r="AM673" s="482">
        <f t="shared" si="294"/>
        <v>0</v>
      </c>
      <c r="AN673" s="487"/>
      <c r="AO673" s="488"/>
      <c r="AP673" s="487">
        <v>492</v>
      </c>
      <c r="AQ673" s="488">
        <v>992</v>
      </c>
      <c r="AR673" s="487">
        <v>641</v>
      </c>
      <c r="AS673" s="488">
        <v>1498</v>
      </c>
      <c r="AT673" s="487">
        <v>706</v>
      </c>
      <c r="AU673" s="488">
        <v>1813</v>
      </c>
      <c r="AV673" s="479">
        <f t="shared" si="295"/>
        <v>1839</v>
      </c>
      <c r="AW673" s="483">
        <f t="shared" si="296"/>
        <v>76.625</v>
      </c>
      <c r="AX673" s="481">
        <f t="shared" si="297"/>
        <v>4303</v>
      </c>
      <c r="AY673" s="484">
        <f t="shared" si="298"/>
        <v>179.29166666666666</v>
      </c>
      <c r="AZ673" s="485">
        <f t="shared" si="299"/>
        <v>2661.3583333333331</v>
      </c>
      <c r="BA673" s="481">
        <f t="shared" si="300"/>
        <v>2720.0916666666667</v>
      </c>
    </row>
    <row r="674" spans="1:53">
      <c r="A674" s="585" t="s">
        <v>271</v>
      </c>
      <c r="B674" s="578" t="s">
        <v>594</v>
      </c>
      <c r="C674" s="644"/>
      <c r="D674" s="580">
        <v>237899</v>
      </c>
      <c r="E674" s="581">
        <v>6</v>
      </c>
      <c r="F674" s="486" t="s">
        <v>41</v>
      </c>
      <c r="G674" s="529" t="s">
        <v>41</v>
      </c>
      <c r="H674" s="506"/>
      <c r="I674" s="488"/>
      <c r="J674" s="506">
        <v>30993</v>
      </c>
      <c r="K674" s="488">
        <v>28684</v>
      </c>
      <c r="L674" s="506">
        <v>2131</v>
      </c>
      <c r="M674" s="488">
        <v>2201</v>
      </c>
      <c r="N674" s="506">
        <v>31490</v>
      </c>
      <c r="O674" s="488">
        <v>31753</v>
      </c>
      <c r="P674" s="479">
        <f t="shared" si="283"/>
        <v>64614</v>
      </c>
      <c r="Q674" s="480">
        <f t="shared" si="284"/>
        <v>2153.8000000000002</v>
      </c>
      <c r="R674" s="481">
        <f t="shared" si="285"/>
        <v>62638</v>
      </c>
      <c r="S674" s="482">
        <f t="shared" si="286"/>
        <v>2087.9333333333334</v>
      </c>
      <c r="T674" s="506">
        <v>2772</v>
      </c>
      <c r="U674" s="507">
        <v>2169</v>
      </c>
      <c r="V674" s="479">
        <f t="shared" si="287"/>
        <v>64614</v>
      </c>
      <c r="W674" s="478">
        <f t="shared" si="288"/>
        <v>62638</v>
      </c>
      <c r="X674" s="506"/>
      <c r="Y674" s="488"/>
      <c r="Z674" s="506"/>
      <c r="AA674" s="488"/>
      <c r="AB674" s="506"/>
      <c r="AC674" s="488"/>
      <c r="AD674" s="506"/>
      <c r="AE674" s="507"/>
      <c r="AF674" s="479">
        <f t="shared" si="289"/>
        <v>0</v>
      </c>
      <c r="AG674" s="480">
        <f t="shared" si="290"/>
        <v>0</v>
      </c>
      <c r="AH674" s="481">
        <f t="shared" si="291"/>
        <v>0</v>
      </c>
      <c r="AI674" s="481">
        <f t="shared" si="292"/>
        <v>0</v>
      </c>
      <c r="AJ674" s="487"/>
      <c r="AK674" s="507"/>
      <c r="AL674" s="479">
        <f t="shared" si="293"/>
        <v>0</v>
      </c>
      <c r="AM674" s="482">
        <f t="shared" si="294"/>
        <v>0</v>
      </c>
      <c r="AN674" s="487"/>
      <c r="AO674" s="488"/>
      <c r="AP674" s="487">
        <v>546</v>
      </c>
      <c r="AQ674" s="488">
        <v>449</v>
      </c>
      <c r="AR674" s="487">
        <v>72</v>
      </c>
      <c r="AS674" s="488">
        <v>62</v>
      </c>
      <c r="AT674" s="487">
        <v>520</v>
      </c>
      <c r="AU674" s="488">
        <v>418</v>
      </c>
      <c r="AV674" s="479">
        <f t="shared" si="295"/>
        <v>1138</v>
      </c>
      <c r="AW674" s="483">
        <f t="shared" si="296"/>
        <v>47.416666666666664</v>
      </c>
      <c r="AX674" s="481">
        <f t="shared" si="297"/>
        <v>929</v>
      </c>
      <c r="AY674" s="484">
        <f t="shared" si="298"/>
        <v>38.708333333333336</v>
      </c>
      <c r="AZ674" s="485">
        <f t="shared" si="299"/>
        <v>2201.2166666666667</v>
      </c>
      <c r="BA674" s="481">
        <f t="shared" si="300"/>
        <v>2126.6416666666669</v>
      </c>
    </row>
    <row r="675" spans="1:53">
      <c r="A675" s="585" t="s">
        <v>271</v>
      </c>
      <c r="B675" s="578" t="s">
        <v>595</v>
      </c>
      <c r="C675" s="644"/>
      <c r="D675" s="580">
        <v>237950</v>
      </c>
      <c r="E675" s="581">
        <v>6</v>
      </c>
      <c r="F675" s="486" t="s">
        <v>41</v>
      </c>
      <c r="G675" s="529" t="s">
        <v>41</v>
      </c>
      <c r="H675" s="506"/>
      <c r="I675" s="488"/>
      <c r="J675" s="506">
        <v>13594</v>
      </c>
      <c r="K675" s="488">
        <v>13175</v>
      </c>
      <c r="L675" s="506">
        <v>904</v>
      </c>
      <c r="M675" s="488">
        <v>1071</v>
      </c>
      <c r="N675" s="506">
        <v>14289</v>
      </c>
      <c r="O675" s="488">
        <v>15870</v>
      </c>
      <c r="P675" s="479">
        <f t="shared" si="283"/>
        <v>28787</v>
      </c>
      <c r="Q675" s="480">
        <f t="shared" si="284"/>
        <v>959.56666666666672</v>
      </c>
      <c r="R675" s="481">
        <f t="shared" si="285"/>
        <v>30116</v>
      </c>
      <c r="S675" s="482">
        <f t="shared" si="286"/>
        <v>1003.8666666666667</v>
      </c>
      <c r="T675" s="506">
        <v>738</v>
      </c>
      <c r="U675" s="507">
        <v>570</v>
      </c>
      <c r="V675" s="479">
        <f t="shared" si="287"/>
        <v>28787</v>
      </c>
      <c r="W675" s="478">
        <f t="shared" si="288"/>
        <v>30116</v>
      </c>
      <c r="X675" s="506"/>
      <c r="Y675" s="488"/>
      <c r="Z675" s="506"/>
      <c r="AA675" s="488"/>
      <c r="AB675" s="506"/>
      <c r="AC675" s="488"/>
      <c r="AD675" s="506"/>
      <c r="AE675" s="507"/>
      <c r="AF675" s="479">
        <f t="shared" si="289"/>
        <v>0</v>
      </c>
      <c r="AG675" s="480">
        <f t="shared" si="290"/>
        <v>0</v>
      </c>
      <c r="AH675" s="481">
        <f t="shared" si="291"/>
        <v>0</v>
      </c>
      <c r="AI675" s="481">
        <f t="shared" si="292"/>
        <v>0</v>
      </c>
      <c r="AJ675" s="487"/>
      <c r="AK675" s="507"/>
      <c r="AL675" s="479">
        <f t="shared" si="293"/>
        <v>0</v>
      </c>
      <c r="AM675" s="482">
        <f t="shared" si="294"/>
        <v>0</v>
      </c>
      <c r="AN675" s="487"/>
      <c r="AO675" s="488"/>
      <c r="AP675" s="487"/>
      <c r="AQ675" s="488"/>
      <c r="AR675" s="487"/>
      <c r="AS675" s="488"/>
      <c r="AT675" s="487"/>
      <c r="AU675" s="488"/>
      <c r="AV675" s="479">
        <f t="shared" si="295"/>
        <v>0</v>
      </c>
      <c r="AW675" s="483">
        <f t="shared" si="296"/>
        <v>0</v>
      </c>
      <c r="AX675" s="481">
        <f t="shared" si="297"/>
        <v>0</v>
      </c>
      <c r="AY675" s="484">
        <f t="shared" si="298"/>
        <v>0</v>
      </c>
      <c r="AZ675" s="485">
        <f t="shared" si="299"/>
        <v>959.56666666666672</v>
      </c>
      <c r="BA675" s="481">
        <f t="shared" si="300"/>
        <v>1003.8666666666667</v>
      </c>
    </row>
    <row r="676" spans="1:53">
      <c r="A676" s="585" t="s">
        <v>271</v>
      </c>
      <c r="B676" s="640" t="s">
        <v>596</v>
      </c>
      <c r="C676" s="665"/>
      <c r="D676" s="580">
        <v>237701</v>
      </c>
      <c r="E676" s="581">
        <v>7</v>
      </c>
      <c r="F676" s="486" t="s">
        <v>41</v>
      </c>
      <c r="G676" s="529" t="s">
        <v>41</v>
      </c>
      <c r="H676" s="506"/>
      <c r="I676" s="488"/>
      <c r="J676" s="506">
        <v>19111</v>
      </c>
      <c r="K676" s="488">
        <v>19789</v>
      </c>
      <c r="L676" s="506">
        <v>1719</v>
      </c>
      <c r="M676" s="488">
        <v>1502</v>
      </c>
      <c r="N676" s="506">
        <v>22771</v>
      </c>
      <c r="O676" s="488">
        <v>20945</v>
      </c>
      <c r="P676" s="479">
        <f t="shared" si="283"/>
        <v>43601</v>
      </c>
      <c r="Q676" s="480">
        <f t="shared" si="284"/>
        <v>1453.3666666666666</v>
      </c>
      <c r="R676" s="481">
        <f t="shared" si="285"/>
        <v>42236</v>
      </c>
      <c r="S676" s="482">
        <f t="shared" si="286"/>
        <v>1407.8666666666666</v>
      </c>
      <c r="T676" s="506">
        <v>2043</v>
      </c>
      <c r="U676" s="507">
        <v>1963</v>
      </c>
      <c r="V676" s="479">
        <f t="shared" si="287"/>
        <v>43601</v>
      </c>
      <c r="W676" s="478">
        <f t="shared" si="288"/>
        <v>42236</v>
      </c>
      <c r="X676" s="506"/>
      <c r="Y676" s="488"/>
      <c r="Z676" s="506"/>
      <c r="AA676" s="488"/>
      <c r="AB676" s="506"/>
      <c r="AC676" s="488"/>
      <c r="AD676" s="506"/>
      <c r="AE676" s="507"/>
      <c r="AF676" s="479">
        <f t="shared" si="289"/>
        <v>0</v>
      </c>
      <c r="AG676" s="480">
        <f t="shared" si="290"/>
        <v>0</v>
      </c>
      <c r="AH676" s="481">
        <f t="shared" si="291"/>
        <v>0</v>
      </c>
      <c r="AI676" s="481">
        <f t="shared" si="292"/>
        <v>0</v>
      </c>
      <c r="AJ676" s="487"/>
      <c r="AK676" s="507"/>
      <c r="AL676" s="479">
        <f t="shared" si="293"/>
        <v>0</v>
      </c>
      <c r="AM676" s="482">
        <f t="shared" si="294"/>
        <v>0</v>
      </c>
      <c r="AN676" s="487"/>
      <c r="AO676" s="488"/>
      <c r="AP676" s="487"/>
      <c r="AQ676" s="488"/>
      <c r="AR676" s="487"/>
      <c r="AS676" s="488"/>
      <c r="AT676" s="487"/>
      <c r="AU676" s="488"/>
      <c r="AV676" s="479">
        <f t="shared" si="295"/>
        <v>0</v>
      </c>
      <c r="AW676" s="483">
        <f t="shared" si="296"/>
        <v>0</v>
      </c>
      <c r="AX676" s="481">
        <f t="shared" si="297"/>
        <v>0</v>
      </c>
      <c r="AY676" s="484">
        <f t="shared" si="298"/>
        <v>0</v>
      </c>
      <c r="AZ676" s="485">
        <f t="shared" si="299"/>
        <v>1453.3666666666666</v>
      </c>
      <c r="BA676" s="481">
        <f t="shared" si="300"/>
        <v>1407.8666666666666</v>
      </c>
    </row>
    <row r="677" spans="1:53">
      <c r="A677" s="585" t="s">
        <v>271</v>
      </c>
      <c r="B677" s="578" t="s">
        <v>597</v>
      </c>
      <c r="C677" s="644" t="s">
        <v>620</v>
      </c>
      <c r="D677" s="580">
        <v>237686</v>
      </c>
      <c r="E677" s="581">
        <v>7</v>
      </c>
      <c r="F677" s="486" t="s">
        <v>41</v>
      </c>
      <c r="G677" s="529" t="s">
        <v>41</v>
      </c>
      <c r="H677" s="506"/>
      <c r="I677" s="488"/>
      <c r="J677" s="506">
        <v>40909</v>
      </c>
      <c r="K677" s="488">
        <v>38688</v>
      </c>
      <c r="L677" s="506">
        <v>8115</v>
      </c>
      <c r="M677" s="488">
        <v>7085</v>
      </c>
      <c r="N677" s="506">
        <v>41550</v>
      </c>
      <c r="O677" s="488">
        <v>37202</v>
      </c>
      <c r="P677" s="479">
        <f t="shared" si="283"/>
        <v>90574</v>
      </c>
      <c r="Q677" s="480">
        <f t="shared" si="284"/>
        <v>3019.1333333333332</v>
      </c>
      <c r="R677" s="481">
        <f t="shared" si="285"/>
        <v>82975</v>
      </c>
      <c r="S677" s="482">
        <f t="shared" si="286"/>
        <v>2765.8333333333335</v>
      </c>
      <c r="T677" s="506">
        <v>3385</v>
      </c>
      <c r="U677" s="507">
        <v>2937</v>
      </c>
      <c r="V677" s="479">
        <f t="shared" si="287"/>
        <v>90574</v>
      </c>
      <c r="W677" s="478">
        <f t="shared" si="288"/>
        <v>82975</v>
      </c>
      <c r="X677" s="506"/>
      <c r="Y677" s="488"/>
      <c r="Z677" s="506"/>
      <c r="AA677" s="488"/>
      <c r="AB677" s="506"/>
      <c r="AC677" s="488"/>
      <c r="AD677" s="506"/>
      <c r="AE677" s="507"/>
      <c r="AF677" s="479">
        <f t="shared" si="289"/>
        <v>0</v>
      </c>
      <c r="AG677" s="480">
        <f t="shared" si="290"/>
        <v>0</v>
      </c>
      <c r="AH677" s="481">
        <f t="shared" si="291"/>
        <v>0</v>
      </c>
      <c r="AI677" s="481">
        <f t="shared" si="292"/>
        <v>0</v>
      </c>
      <c r="AJ677" s="487"/>
      <c r="AK677" s="507"/>
      <c r="AL677" s="479">
        <f t="shared" si="293"/>
        <v>0</v>
      </c>
      <c r="AM677" s="482">
        <f t="shared" si="294"/>
        <v>0</v>
      </c>
      <c r="AN677" s="487"/>
      <c r="AO677" s="488"/>
      <c r="AP677" s="487"/>
      <c r="AQ677" s="488"/>
      <c r="AR677" s="487"/>
      <c r="AS677" s="488"/>
      <c r="AT677" s="487"/>
      <c r="AU677" s="488"/>
      <c r="AV677" s="479">
        <f t="shared" si="295"/>
        <v>0</v>
      </c>
      <c r="AW677" s="483">
        <f t="shared" si="296"/>
        <v>0</v>
      </c>
      <c r="AX677" s="481">
        <f t="shared" si="297"/>
        <v>0</v>
      </c>
      <c r="AY677" s="484">
        <f t="shared" si="298"/>
        <v>0</v>
      </c>
      <c r="AZ677" s="485">
        <f t="shared" si="299"/>
        <v>3019.1333333333332</v>
      </c>
      <c r="BA677" s="481">
        <f t="shared" si="300"/>
        <v>2765.8333333333335</v>
      </c>
    </row>
    <row r="678" spans="1:53">
      <c r="A678" s="585" t="s">
        <v>271</v>
      </c>
      <c r="B678" s="582" t="s">
        <v>598</v>
      </c>
      <c r="C678" s="641"/>
      <c r="D678" s="580">
        <v>447582</v>
      </c>
      <c r="E678" s="643">
        <v>9</v>
      </c>
      <c r="F678" s="486" t="s">
        <v>41</v>
      </c>
      <c r="G678" s="529" t="s">
        <v>41</v>
      </c>
      <c r="H678" s="506"/>
      <c r="I678" s="488"/>
      <c r="J678" s="506">
        <v>28820</v>
      </c>
      <c r="K678" s="488">
        <v>28044</v>
      </c>
      <c r="L678" s="506">
        <v>6362</v>
      </c>
      <c r="M678" s="488">
        <v>7402</v>
      </c>
      <c r="N678" s="506">
        <v>29864</v>
      </c>
      <c r="O678" s="488">
        <v>28876</v>
      </c>
      <c r="P678" s="479">
        <f t="shared" si="283"/>
        <v>65046</v>
      </c>
      <c r="Q678" s="480">
        <f t="shared" si="284"/>
        <v>2168.1999999999998</v>
      </c>
      <c r="R678" s="481">
        <f t="shared" si="285"/>
        <v>64322</v>
      </c>
      <c r="S678" s="482">
        <f t="shared" si="286"/>
        <v>2144.0666666666666</v>
      </c>
      <c r="T678" s="506">
        <v>1650</v>
      </c>
      <c r="U678" s="507">
        <v>1460</v>
      </c>
      <c r="V678" s="479">
        <f t="shared" si="287"/>
        <v>65046</v>
      </c>
      <c r="W678" s="478">
        <f t="shared" si="288"/>
        <v>64322</v>
      </c>
      <c r="X678" s="506"/>
      <c r="Y678" s="488"/>
      <c r="Z678" s="506"/>
      <c r="AA678" s="488"/>
      <c r="AB678" s="506"/>
      <c r="AC678" s="488"/>
      <c r="AD678" s="506"/>
      <c r="AE678" s="507"/>
      <c r="AF678" s="479">
        <f t="shared" si="289"/>
        <v>0</v>
      </c>
      <c r="AG678" s="480">
        <f t="shared" si="290"/>
        <v>0</v>
      </c>
      <c r="AH678" s="481">
        <f t="shared" si="291"/>
        <v>0</v>
      </c>
      <c r="AI678" s="481">
        <f t="shared" si="292"/>
        <v>0</v>
      </c>
      <c r="AJ678" s="487"/>
      <c r="AK678" s="507"/>
      <c r="AL678" s="479">
        <f t="shared" si="293"/>
        <v>0</v>
      </c>
      <c r="AM678" s="482">
        <f t="shared" si="294"/>
        <v>0</v>
      </c>
      <c r="AN678" s="487"/>
      <c r="AO678" s="488"/>
      <c r="AP678" s="487"/>
      <c r="AQ678" s="488"/>
      <c r="AR678" s="487"/>
      <c r="AS678" s="488"/>
      <c r="AT678" s="487"/>
      <c r="AU678" s="488"/>
      <c r="AV678" s="479">
        <f t="shared" si="295"/>
        <v>0</v>
      </c>
      <c r="AW678" s="483">
        <f t="shared" si="296"/>
        <v>0</v>
      </c>
      <c r="AX678" s="481">
        <f t="shared" si="297"/>
        <v>0</v>
      </c>
      <c r="AY678" s="484">
        <f t="shared" si="298"/>
        <v>0</v>
      </c>
      <c r="AZ678" s="485">
        <f t="shared" si="299"/>
        <v>2168.1999999999998</v>
      </c>
      <c r="BA678" s="481">
        <f t="shared" si="300"/>
        <v>2144.0666666666666</v>
      </c>
    </row>
    <row r="679" spans="1:53">
      <c r="A679" s="585" t="s">
        <v>271</v>
      </c>
      <c r="B679" s="642" t="s">
        <v>599</v>
      </c>
      <c r="C679" s="641"/>
      <c r="D679" s="580">
        <v>443492</v>
      </c>
      <c r="E679" s="643">
        <v>9</v>
      </c>
      <c r="F679" s="486" t="s">
        <v>41</v>
      </c>
      <c r="G679" s="529" t="s">
        <v>41</v>
      </c>
      <c r="H679" s="506"/>
      <c r="I679" s="488"/>
      <c r="J679" s="506">
        <v>30823</v>
      </c>
      <c r="K679" s="488">
        <v>28496</v>
      </c>
      <c r="L679" s="506">
        <v>4272</v>
      </c>
      <c r="M679" s="488">
        <v>3770</v>
      </c>
      <c r="N679" s="506">
        <v>32273</v>
      </c>
      <c r="O679" s="488">
        <v>28960</v>
      </c>
      <c r="P679" s="479">
        <f t="shared" si="283"/>
        <v>67368</v>
      </c>
      <c r="Q679" s="480">
        <f t="shared" si="284"/>
        <v>2245.6</v>
      </c>
      <c r="R679" s="481">
        <f t="shared" si="285"/>
        <v>61226</v>
      </c>
      <c r="S679" s="482">
        <f t="shared" si="286"/>
        <v>2040.8666666666666</v>
      </c>
      <c r="T679" s="506">
        <v>3833</v>
      </c>
      <c r="U679" s="507">
        <v>4045</v>
      </c>
      <c r="V679" s="479">
        <f t="shared" si="287"/>
        <v>67368</v>
      </c>
      <c r="W679" s="478">
        <f t="shared" si="288"/>
        <v>61226</v>
      </c>
      <c r="X679" s="506"/>
      <c r="Y679" s="488"/>
      <c r="Z679" s="506"/>
      <c r="AA679" s="488"/>
      <c r="AB679" s="506"/>
      <c r="AC679" s="488"/>
      <c r="AD679" s="506"/>
      <c r="AE679" s="507"/>
      <c r="AF679" s="479">
        <f t="shared" si="289"/>
        <v>0</v>
      </c>
      <c r="AG679" s="480">
        <f t="shared" si="290"/>
        <v>0</v>
      </c>
      <c r="AH679" s="481">
        <f t="shared" si="291"/>
        <v>0</v>
      </c>
      <c r="AI679" s="481">
        <f t="shared" si="292"/>
        <v>0</v>
      </c>
      <c r="AJ679" s="487"/>
      <c r="AK679" s="507"/>
      <c r="AL679" s="479">
        <f t="shared" si="293"/>
        <v>0</v>
      </c>
      <c r="AM679" s="482">
        <f t="shared" si="294"/>
        <v>0</v>
      </c>
      <c r="AN679" s="487"/>
      <c r="AO679" s="488"/>
      <c r="AP679" s="487"/>
      <c r="AQ679" s="488"/>
      <c r="AR679" s="487"/>
      <c r="AS679" s="488"/>
      <c r="AT679" s="487"/>
      <c r="AU679" s="488"/>
      <c r="AV679" s="479">
        <f t="shared" si="295"/>
        <v>0</v>
      </c>
      <c r="AW679" s="483">
        <f t="shared" si="296"/>
        <v>0</v>
      </c>
      <c r="AX679" s="481">
        <f t="shared" si="297"/>
        <v>0</v>
      </c>
      <c r="AY679" s="484">
        <f t="shared" si="298"/>
        <v>0</v>
      </c>
      <c r="AZ679" s="485">
        <f t="shared" si="299"/>
        <v>2245.6</v>
      </c>
      <c r="BA679" s="481">
        <f t="shared" si="300"/>
        <v>2040.8666666666666</v>
      </c>
    </row>
    <row r="680" spans="1:53">
      <c r="A680" s="585" t="s">
        <v>271</v>
      </c>
      <c r="B680" s="582" t="s">
        <v>600</v>
      </c>
      <c r="C680" s="638" t="s">
        <v>610</v>
      </c>
      <c r="D680" s="580">
        <v>238014</v>
      </c>
      <c r="E680" s="584">
        <v>9</v>
      </c>
      <c r="F680" s="486" t="s">
        <v>41</v>
      </c>
      <c r="G680" s="529" t="s">
        <v>41</v>
      </c>
      <c r="H680" s="506"/>
      <c r="I680" s="488"/>
      <c r="J680" s="506">
        <v>25473</v>
      </c>
      <c r="K680" s="488">
        <v>21708.5</v>
      </c>
      <c r="L680" s="506">
        <v>7144</v>
      </c>
      <c r="M680" s="488">
        <v>5316.4</v>
      </c>
      <c r="N680" s="506">
        <v>24375.3</v>
      </c>
      <c r="O680" s="488">
        <v>20856</v>
      </c>
      <c r="P680" s="479">
        <f t="shared" si="283"/>
        <v>56992.3</v>
      </c>
      <c r="Q680" s="480">
        <f t="shared" si="284"/>
        <v>1899.7433333333333</v>
      </c>
      <c r="R680" s="481">
        <f t="shared" si="285"/>
        <v>47880.9</v>
      </c>
      <c r="S680" s="482">
        <f t="shared" si="286"/>
        <v>1596.03</v>
      </c>
      <c r="T680" s="506">
        <v>2920</v>
      </c>
      <c r="U680" s="507">
        <v>2467</v>
      </c>
      <c r="V680" s="479">
        <f t="shared" si="287"/>
        <v>56992.3</v>
      </c>
      <c r="W680" s="478">
        <f t="shared" si="288"/>
        <v>47880.9</v>
      </c>
      <c r="X680" s="506"/>
      <c r="Y680" s="488"/>
      <c r="Z680" s="506"/>
      <c r="AA680" s="488"/>
      <c r="AB680" s="506"/>
      <c r="AC680" s="488"/>
      <c r="AD680" s="506"/>
      <c r="AE680" s="507"/>
      <c r="AF680" s="479">
        <f t="shared" si="289"/>
        <v>0</v>
      </c>
      <c r="AG680" s="480">
        <f t="shared" si="290"/>
        <v>0</v>
      </c>
      <c r="AH680" s="481">
        <f t="shared" si="291"/>
        <v>0</v>
      </c>
      <c r="AI680" s="481">
        <f t="shared" si="292"/>
        <v>0</v>
      </c>
      <c r="AJ680" s="487"/>
      <c r="AK680" s="507"/>
      <c r="AL680" s="479">
        <f t="shared" si="293"/>
        <v>0</v>
      </c>
      <c r="AM680" s="482">
        <f t="shared" si="294"/>
        <v>0</v>
      </c>
      <c r="AN680" s="487"/>
      <c r="AO680" s="488"/>
      <c r="AP680" s="487"/>
      <c r="AQ680" s="488"/>
      <c r="AR680" s="487"/>
      <c r="AS680" s="488"/>
      <c r="AT680" s="487"/>
      <c r="AU680" s="488"/>
      <c r="AV680" s="479">
        <f t="shared" si="295"/>
        <v>0</v>
      </c>
      <c r="AW680" s="483">
        <f t="shared" si="296"/>
        <v>0</v>
      </c>
      <c r="AX680" s="481">
        <f t="shared" si="297"/>
        <v>0</v>
      </c>
      <c r="AY680" s="484">
        <f t="shared" si="298"/>
        <v>0</v>
      </c>
      <c r="AZ680" s="485">
        <f t="shared" si="299"/>
        <v>1899.7433333333333</v>
      </c>
      <c r="BA680" s="481">
        <f t="shared" si="300"/>
        <v>1596.03</v>
      </c>
    </row>
    <row r="681" spans="1:53">
      <c r="A681" s="585" t="s">
        <v>271</v>
      </c>
      <c r="B681" s="578" t="s">
        <v>601</v>
      </c>
      <c r="C681" s="644"/>
      <c r="D681" s="580">
        <v>446774</v>
      </c>
      <c r="E681" s="581">
        <v>10</v>
      </c>
      <c r="F681" s="486" t="s">
        <v>41</v>
      </c>
      <c r="G681" s="529" t="s">
        <v>41</v>
      </c>
      <c r="H681" s="506"/>
      <c r="I681" s="488"/>
      <c r="J681" s="506">
        <v>27210.1</v>
      </c>
      <c r="K681" s="488">
        <v>26305.3</v>
      </c>
      <c r="L681" s="506">
        <v>3371.9</v>
      </c>
      <c r="M681" s="488">
        <v>3197</v>
      </c>
      <c r="N681" s="506">
        <v>27962.9</v>
      </c>
      <c r="O681" s="488">
        <v>30326.7</v>
      </c>
      <c r="P681" s="479">
        <f t="shared" si="283"/>
        <v>58544.9</v>
      </c>
      <c r="Q681" s="480">
        <f t="shared" si="284"/>
        <v>1951.4966666666667</v>
      </c>
      <c r="R681" s="481">
        <f t="shared" si="285"/>
        <v>59829</v>
      </c>
      <c r="S681" s="482">
        <f t="shared" si="286"/>
        <v>1994.3</v>
      </c>
      <c r="T681" s="506">
        <v>1075.5999999999999</v>
      </c>
      <c r="U681" s="507">
        <v>1048.0999999999999</v>
      </c>
      <c r="V681" s="479">
        <f t="shared" si="287"/>
        <v>58544.9</v>
      </c>
      <c r="W681" s="478">
        <f t="shared" si="288"/>
        <v>59829</v>
      </c>
      <c r="X681" s="506"/>
      <c r="Y681" s="488"/>
      <c r="Z681" s="506"/>
      <c r="AA681" s="488"/>
      <c r="AB681" s="506"/>
      <c r="AC681" s="488"/>
      <c r="AD681" s="506"/>
      <c r="AE681" s="507"/>
      <c r="AF681" s="479">
        <f t="shared" si="289"/>
        <v>0</v>
      </c>
      <c r="AG681" s="480">
        <f t="shared" si="290"/>
        <v>0</v>
      </c>
      <c r="AH681" s="481">
        <f t="shared" si="291"/>
        <v>0</v>
      </c>
      <c r="AI681" s="481">
        <f t="shared" si="292"/>
        <v>0</v>
      </c>
      <c r="AJ681" s="487"/>
      <c r="AK681" s="507"/>
      <c r="AL681" s="479">
        <f t="shared" si="293"/>
        <v>0</v>
      </c>
      <c r="AM681" s="482">
        <f t="shared" si="294"/>
        <v>0</v>
      </c>
      <c r="AN681" s="487"/>
      <c r="AO681" s="488"/>
      <c r="AP681" s="487"/>
      <c r="AQ681" s="488"/>
      <c r="AR681" s="487"/>
      <c r="AS681" s="488"/>
      <c r="AT681" s="487"/>
      <c r="AU681" s="488"/>
      <c r="AV681" s="479">
        <f t="shared" si="295"/>
        <v>0</v>
      </c>
      <c r="AW681" s="483">
        <f t="shared" si="296"/>
        <v>0</v>
      </c>
      <c r="AX681" s="481">
        <f t="shared" si="297"/>
        <v>0</v>
      </c>
      <c r="AY681" s="484">
        <f t="shared" si="298"/>
        <v>0</v>
      </c>
      <c r="AZ681" s="485">
        <f t="shared" si="299"/>
        <v>1951.4966666666667</v>
      </c>
      <c r="BA681" s="481">
        <f t="shared" si="300"/>
        <v>1994.3</v>
      </c>
    </row>
    <row r="682" spans="1:53">
      <c r="A682" s="585" t="s">
        <v>271</v>
      </c>
      <c r="B682" s="578" t="s">
        <v>602</v>
      </c>
      <c r="C682" s="644"/>
      <c r="D682" s="580">
        <v>445674</v>
      </c>
      <c r="E682" s="581">
        <v>10</v>
      </c>
      <c r="F682" s="486" t="s">
        <v>41</v>
      </c>
      <c r="G682" s="529" t="s">
        <v>41</v>
      </c>
      <c r="H682" s="506"/>
      <c r="I682" s="488"/>
      <c r="J682" s="506">
        <v>7584</v>
      </c>
      <c r="K682" s="488">
        <v>7151</v>
      </c>
      <c r="L682" s="506">
        <v>528</v>
      </c>
      <c r="M682" s="488">
        <v>586</v>
      </c>
      <c r="N682" s="506">
        <v>9012</v>
      </c>
      <c r="O682" s="488">
        <v>8883.5</v>
      </c>
      <c r="P682" s="479">
        <f t="shared" si="283"/>
        <v>17124</v>
      </c>
      <c r="Q682" s="480">
        <f t="shared" si="284"/>
        <v>570.79999999999995</v>
      </c>
      <c r="R682" s="481">
        <f t="shared" si="285"/>
        <v>16620.5</v>
      </c>
      <c r="S682" s="482">
        <f t="shared" si="286"/>
        <v>554.01666666666665</v>
      </c>
      <c r="T682" s="506">
        <v>998</v>
      </c>
      <c r="U682" s="507">
        <v>1199</v>
      </c>
      <c r="V682" s="479">
        <f t="shared" si="287"/>
        <v>17124</v>
      </c>
      <c r="W682" s="478">
        <f t="shared" si="288"/>
        <v>16620.5</v>
      </c>
      <c r="X682" s="506"/>
      <c r="Y682" s="488"/>
      <c r="Z682" s="506"/>
      <c r="AA682" s="488"/>
      <c r="AB682" s="506"/>
      <c r="AC682" s="488"/>
      <c r="AD682" s="506"/>
      <c r="AE682" s="507"/>
      <c r="AF682" s="479">
        <f t="shared" si="289"/>
        <v>0</v>
      </c>
      <c r="AG682" s="480">
        <f t="shared" si="290"/>
        <v>0</v>
      </c>
      <c r="AH682" s="481">
        <f t="shared" si="291"/>
        <v>0</v>
      </c>
      <c r="AI682" s="481">
        <f t="shared" si="292"/>
        <v>0</v>
      </c>
      <c r="AJ682" s="487"/>
      <c r="AK682" s="507"/>
      <c r="AL682" s="479">
        <f t="shared" si="293"/>
        <v>0</v>
      </c>
      <c r="AM682" s="482">
        <f t="shared" si="294"/>
        <v>0</v>
      </c>
      <c r="AN682" s="487"/>
      <c r="AO682" s="488"/>
      <c r="AP682" s="487"/>
      <c r="AQ682" s="488"/>
      <c r="AR682" s="487"/>
      <c r="AS682" s="488"/>
      <c r="AT682" s="487"/>
      <c r="AU682" s="488"/>
      <c r="AV682" s="479">
        <f t="shared" si="295"/>
        <v>0</v>
      </c>
      <c r="AW682" s="483">
        <f t="shared" si="296"/>
        <v>0</v>
      </c>
      <c r="AX682" s="481">
        <f t="shared" si="297"/>
        <v>0</v>
      </c>
      <c r="AY682" s="484">
        <f t="shared" si="298"/>
        <v>0</v>
      </c>
      <c r="AZ682" s="485">
        <f t="shared" si="299"/>
        <v>570.79999999999995</v>
      </c>
      <c r="BA682" s="481">
        <f t="shared" si="300"/>
        <v>554.01666666666665</v>
      </c>
    </row>
    <row r="683" spans="1:53">
      <c r="A683" s="585" t="s">
        <v>271</v>
      </c>
      <c r="B683" s="578" t="s">
        <v>603</v>
      </c>
      <c r="C683" s="644"/>
      <c r="D683" s="580">
        <v>438708</v>
      </c>
      <c r="E683" s="581">
        <v>10</v>
      </c>
      <c r="F683" s="486" t="s">
        <v>41</v>
      </c>
      <c r="G683" s="529" t="s">
        <v>41</v>
      </c>
      <c r="H683" s="506"/>
      <c r="I683" s="488"/>
      <c r="J683" s="506">
        <v>6250</v>
      </c>
      <c r="K683" s="488">
        <v>6382</v>
      </c>
      <c r="L683" s="506">
        <v>1169</v>
      </c>
      <c r="M683" s="488">
        <v>1441</v>
      </c>
      <c r="N683" s="506">
        <v>6777</v>
      </c>
      <c r="O683" s="488">
        <v>7147</v>
      </c>
      <c r="P683" s="479">
        <f t="shared" si="283"/>
        <v>14196</v>
      </c>
      <c r="Q683" s="480">
        <f t="shared" si="284"/>
        <v>473.2</v>
      </c>
      <c r="R683" s="481">
        <f t="shared" si="285"/>
        <v>14970</v>
      </c>
      <c r="S683" s="482">
        <f t="shared" si="286"/>
        <v>499</v>
      </c>
      <c r="T683" s="506">
        <v>1093</v>
      </c>
      <c r="U683" s="507">
        <v>1140</v>
      </c>
      <c r="V683" s="479">
        <f t="shared" si="287"/>
        <v>14196</v>
      </c>
      <c r="W683" s="478">
        <f t="shared" si="288"/>
        <v>14970</v>
      </c>
      <c r="X683" s="506"/>
      <c r="Y683" s="488"/>
      <c r="Z683" s="506"/>
      <c r="AA683" s="488"/>
      <c r="AB683" s="506"/>
      <c r="AC683" s="488"/>
      <c r="AD683" s="506"/>
      <c r="AE683" s="507"/>
      <c r="AF683" s="479">
        <f t="shared" si="289"/>
        <v>0</v>
      </c>
      <c r="AG683" s="480">
        <f t="shared" si="290"/>
        <v>0</v>
      </c>
      <c r="AH683" s="481">
        <f t="shared" si="291"/>
        <v>0</v>
      </c>
      <c r="AI683" s="481">
        <f t="shared" si="292"/>
        <v>0</v>
      </c>
      <c r="AJ683" s="487"/>
      <c r="AK683" s="507"/>
      <c r="AL683" s="479">
        <f t="shared" si="293"/>
        <v>0</v>
      </c>
      <c r="AM683" s="482">
        <f t="shared" si="294"/>
        <v>0</v>
      </c>
      <c r="AN683" s="487"/>
      <c r="AO683" s="488"/>
      <c r="AP683" s="487"/>
      <c r="AQ683" s="488"/>
      <c r="AR683" s="487"/>
      <c r="AS683" s="488"/>
      <c r="AT683" s="487"/>
      <c r="AU683" s="488"/>
      <c r="AV683" s="479">
        <f t="shared" si="295"/>
        <v>0</v>
      </c>
      <c r="AW683" s="483">
        <f t="shared" si="296"/>
        <v>0</v>
      </c>
      <c r="AX683" s="481">
        <f t="shared" si="297"/>
        <v>0</v>
      </c>
      <c r="AY683" s="484">
        <f t="shared" si="298"/>
        <v>0</v>
      </c>
      <c r="AZ683" s="485">
        <f t="shared" si="299"/>
        <v>473.2</v>
      </c>
      <c r="BA683" s="481">
        <f t="shared" si="300"/>
        <v>499</v>
      </c>
    </row>
    <row r="684" spans="1:53">
      <c r="A684" s="585" t="s">
        <v>271</v>
      </c>
      <c r="B684" s="578" t="s">
        <v>604</v>
      </c>
      <c r="C684" s="638"/>
      <c r="D684" s="580">
        <v>445018</v>
      </c>
      <c r="E684" s="581">
        <v>10</v>
      </c>
      <c r="F684" s="486" t="s">
        <v>41</v>
      </c>
      <c r="G684" s="529" t="s">
        <v>41</v>
      </c>
      <c r="H684" s="506"/>
      <c r="I684" s="488"/>
      <c r="J684" s="506">
        <v>16500.599999999999</v>
      </c>
      <c r="K684" s="488">
        <v>15650</v>
      </c>
      <c r="L684" s="506">
        <v>1627</v>
      </c>
      <c r="M684" s="488">
        <v>2508</v>
      </c>
      <c r="N684" s="506">
        <v>16324</v>
      </c>
      <c r="O684" s="488">
        <v>16872</v>
      </c>
      <c r="P684" s="479">
        <f t="shared" si="283"/>
        <v>34451.599999999999</v>
      </c>
      <c r="Q684" s="480">
        <f t="shared" si="284"/>
        <v>1148.3866666666665</v>
      </c>
      <c r="R684" s="481">
        <f t="shared" si="285"/>
        <v>35030</v>
      </c>
      <c r="S684" s="482">
        <f t="shared" si="286"/>
        <v>1167.6666666666667</v>
      </c>
      <c r="T684" s="506">
        <v>182</v>
      </c>
      <c r="U684" s="507">
        <v>131</v>
      </c>
      <c r="V684" s="479">
        <f t="shared" si="287"/>
        <v>34451.599999999999</v>
      </c>
      <c r="W684" s="478">
        <f t="shared" si="288"/>
        <v>35030</v>
      </c>
      <c r="X684" s="506"/>
      <c r="Y684" s="488"/>
      <c r="Z684" s="506"/>
      <c r="AA684" s="488"/>
      <c r="AB684" s="506"/>
      <c r="AC684" s="488"/>
      <c r="AD684" s="506"/>
      <c r="AE684" s="507"/>
      <c r="AF684" s="479">
        <f t="shared" si="289"/>
        <v>0</v>
      </c>
      <c r="AG684" s="480">
        <f t="shared" si="290"/>
        <v>0</v>
      </c>
      <c r="AH684" s="481">
        <f t="shared" si="291"/>
        <v>0</v>
      </c>
      <c r="AI684" s="481">
        <f t="shared" si="292"/>
        <v>0</v>
      </c>
      <c r="AJ684" s="487"/>
      <c r="AK684" s="507"/>
      <c r="AL684" s="479">
        <f t="shared" si="293"/>
        <v>0</v>
      </c>
      <c r="AM684" s="482">
        <f t="shared" si="294"/>
        <v>0</v>
      </c>
      <c r="AN684" s="487"/>
      <c r="AO684" s="488"/>
      <c r="AP684" s="487"/>
      <c r="AQ684" s="488"/>
      <c r="AR684" s="487"/>
      <c r="AS684" s="488"/>
      <c r="AT684" s="487"/>
      <c r="AU684" s="488"/>
      <c r="AV684" s="479">
        <f t="shared" si="295"/>
        <v>0</v>
      </c>
      <c r="AW684" s="483">
        <f t="shared" si="296"/>
        <v>0</v>
      </c>
      <c r="AX684" s="481">
        <f t="shared" si="297"/>
        <v>0</v>
      </c>
      <c r="AY684" s="484">
        <f t="shared" si="298"/>
        <v>0</v>
      </c>
      <c r="AZ684" s="485">
        <f t="shared" si="299"/>
        <v>1148.3866666666665</v>
      </c>
      <c r="BA684" s="481">
        <f t="shared" si="300"/>
        <v>1167.6666666666667</v>
      </c>
    </row>
    <row r="685" spans="1:53">
      <c r="A685" s="585" t="s">
        <v>271</v>
      </c>
      <c r="B685" s="582" t="s">
        <v>605</v>
      </c>
      <c r="C685" s="638"/>
      <c r="D685" s="645">
        <v>444954</v>
      </c>
      <c r="E685" s="581">
        <v>10</v>
      </c>
      <c r="F685" s="486" t="s">
        <v>41</v>
      </c>
      <c r="G685" s="529" t="s">
        <v>41</v>
      </c>
      <c r="H685" s="506"/>
      <c r="I685" s="488"/>
      <c r="J685" s="506">
        <v>23594.400000000001</v>
      </c>
      <c r="K685" s="488">
        <v>23256</v>
      </c>
      <c r="L685" s="506">
        <v>5964.2</v>
      </c>
      <c r="M685" s="488">
        <v>5108</v>
      </c>
      <c r="N685" s="506">
        <v>26481</v>
      </c>
      <c r="O685" s="488">
        <v>25422</v>
      </c>
      <c r="P685" s="479">
        <f t="shared" si="283"/>
        <v>56039.600000000006</v>
      </c>
      <c r="Q685" s="480">
        <f t="shared" si="284"/>
        <v>1867.9866666666669</v>
      </c>
      <c r="R685" s="481">
        <f t="shared" si="285"/>
        <v>53786</v>
      </c>
      <c r="S685" s="482">
        <f t="shared" si="286"/>
        <v>1792.8666666666666</v>
      </c>
      <c r="T685" s="506">
        <v>1854.2</v>
      </c>
      <c r="U685" s="507">
        <v>927</v>
      </c>
      <c r="V685" s="479">
        <f t="shared" si="287"/>
        <v>56039.600000000006</v>
      </c>
      <c r="W685" s="478">
        <f t="shared" si="288"/>
        <v>53786</v>
      </c>
      <c r="X685" s="506"/>
      <c r="Y685" s="488"/>
      <c r="Z685" s="506"/>
      <c r="AA685" s="488"/>
      <c r="AB685" s="506"/>
      <c r="AC685" s="488"/>
      <c r="AD685" s="506"/>
      <c r="AE685" s="507"/>
      <c r="AF685" s="479">
        <f t="shared" si="289"/>
        <v>0</v>
      </c>
      <c r="AG685" s="480">
        <f t="shared" si="290"/>
        <v>0</v>
      </c>
      <c r="AH685" s="481">
        <f t="shared" si="291"/>
        <v>0</v>
      </c>
      <c r="AI685" s="481">
        <f t="shared" si="292"/>
        <v>0</v>
      </c>
      <c r="AJ685" s="487"/>
      <c r="AK685" s="507"/>
      <c r="AL685" s="479">
        <f t="shared" si="293"/>
        <v>0</v>
      </c>
      <c r="AM685" s="482">
        <f t="shared" si="294"/>
        <v>0</v>
      </c>
      <c r="AN685" s="487"/>
      <c r="AO685" s="488"/>
      <c r="AP685" s="487"/>
      <c r="AQ685" s="488"/>
      <c r="AR685" s="487"/>
      <c r="AS685" s="488"/>
      <c r="AT685" s="487"/>
      <c r="AU685" s="488"/>
      <c r="AV685" s="479">
        <f t="shared" si="295"/>
        <v>0</v>
      </c>
      <c r="AW685" s="483">
        <f t="shared" si="296"/>
        <v>0</v>
      </c>
      <c r="AX685" s="481">
        <f t="shared" si="297"/>
        <v>0</v>
      </c>
      <c r="AY685" s="484">
        <f t="shared" si="298"/>
        <v>0</v>
      </c>
      <c r="AZ685" s="485">
        <f t="shared" si="299"/>
        <v>1867.9866666666669</v>
      </c>
      <c r="BA685" s="481">
        <f t="shared" si="300"/>
        <v>1792.8666666666666</v>
      </c>
    </row>
    <row r="686" spans="1:53">
      <c r="A686" s="585" t="s">
        <v>271</v>
      </c>
      <c r="B686" s="578" t="s">
        <v>606</v>
      </c>
      <c r="C686" s="644"/>
      <c r="D686" s="580">
        <v>237817</v>
      </c>
      <c r="E686" s="581">
        <v>10</v>
      </c>
      <c r="F686" s="486" t="s">
        <v>41</v>
      </c>
      <c r="G686" s="529" t="s">
        <v>41</v>
      </c>
      <c r="H686" s="506"/>
      <c r="I686" s="488"/>
      <c r="J686" s="506">
        <v>20922</v>
      </c>
      <c r="K686" s="488">
        <v>20929</v>
      </c>
      <c r="L686" s="506">
        <v>1980</v>
      </c>
      <c r="M686" s="488">
        <v>1658</v>
      </c>
      <c r="N686" s="506">
        <v>24143</v>
      </c>
      <c r="O686" s="488">
        <v>22378</v>
      </c>
      <c r="P686" s="479">
        <f t="shared" si="283"/>
        <v>47045</v>
      </c>
      <c r="Q686" s="480">
        <f t="shared" si="284"/>
        <v>1568.1666666666667</v>
      </c>
      <c r="R686" s="481">
        <f t="shared" si="285"/>
        <v>44965</v>
      </c>
      <c r="S686" s="482">
        <f t="shared" si="286"/>
        <v>1498.8333333333333</v>
      </c>
      <c r="T686" s="506">
        <v>1688</v>
      </c>
      <c r="U686" s="507">
        <v>1306</v>
      </c>
      <c r="V686" s="479">
        <f t="shared" si="287"/>
        <v>47045</v>
      </c>
      <c r="W686" s="478">
        <f t="shared" si="288"/>
        <v>44965</v>
      </c>
      <c r="X686" s="506"/>
      <c r="Y686" s="488"/>
      <c r="Z686" s="506"/>
      <c r="AA686" s="488"/>
      <c r="AB686" s="506"/>
      <c r="AC686" s="488"/>
      <c r="AD686" s="506"/>
      <c r="AE686" s="507"/>
      <c r="AF686" s="479">
        <f t="shared" si="289"/>
        <v>0</v>
      </c>
      <c r="AG686" s="480">
        <f t="shared" si="290"/>
        <v>0</v>
      </c>
      <c r="AH686" s="481">
        <f t="shared" si="291"/>
        <v>0</v>
      </c>
      <c r="AI686" s="481">
        <f t="shared" si="292"/>
        <v>0</v>
      </c>
      <c r="AJ686" s="487"/>
      <c r="AK686" s="507"/>
      <c r="AL686" s="479">
        <f t="shared" si="293"/>
        <v>0</v>
      </c>
      <c r="AM686" s="482">
        <f t="shared" si="294"/>
        <v>0</v>
      </c>
      <c r="AN686" s="487"/>
      <c r="AO686" s="488"/>
      <c r="AP686" s="487"/>
      <c r="AQ686" s="488"/>
      <c r="AR686" s="487"/>
      <c r="AS686" s="488"/>
      <c r="AT686" s="487"/>
      <c r="AU686" s="488"/>
      <c r="AV686" s="479">
        <f t="shared" si="295"/>
        <v>0</v>
      </c>
      <c r="AW686" s="483">
        <f t="shared" si="296"/>
        <v>0</v>
      </c>
      <c r="AX686" s="481">
        <f t="shared" si="297"/>
        <v>0</v>
      </c>
      <c r="AY686" s="484">
        <f t="shared" si="298"/>
        <v>0</v>
      </c>
      <c r="AZ686" s="485">
        <f t="shared" si="299"/>
        <v>1568.1666666666667</v>
      </c>
      <c r="BA686" s="481">
        <f t="shared" si="300"/>
        <v>1498.8333333333333</v>
      </c>
    </row>
    <row r="687" spans="1:53">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c r="AA687" s="156"/>
      <c r="AB687" s="156"/>
      <c r="AC687" s="156"/>
      <c r="AD687" s="156"/>
      <c r="AE687" s="156"/>
      <c r="AF687" s="156"/>
      <c r="AG687" s="156"/>
      <c r="AH687" s="156"/>
      <c r="AI687" s="156"/>
      <c r="AJ687" s="156"/>
      <c r="AK687" s="156"/>
      <c r="AL687" s="156"/>
      <c r="AM687" s="156"/>
      <c r="AN687" s="156"/>
      <c r="AO687" s="156"/>
      <c r="AP687" s="156"/>
      <c r="AQ687" s="156"/>
      <c r="AR687" s="156"/>
      <c r="AS687" s="156"/>
      <c r="AT687" s="156"/>
      <c r="AU687" s="156"/>
      <c r="AV687" s="156"/>
      <c r="AW687" s="156"/>
      <c r="AX687" s="156"/>
    </row>
    <row r="688" spans="1:53">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c r="AA688" s="156"/>
      <c r="AB688" s="156"/>
      <c r="AC688" s="156"/>
      <c r="AD688" s="156"/>
      <c r="AE688" s="156"/>
      <c r="AF688" s="156"/>
      <c r="AG688" s="156"/>
      <c r="AH688" s="156"/>
      <c r="AI688" s="156"/>
      <c r="AJ688" s="156"/>
      <c r="AK688" s="156"/>
      <c r="AL688" s="156"/>
      <c r="AM688" s="156"/>
      <c r="AN688" s="156"/>
      <c r="AO688" s="156"/>
      <c r="AP688" s="156"/>
      <c r="AQ688" s="156"/>
      <c r="AR688" s="156"/>
      <c r="AS688" s="156"/>
      <c r="AT688" s="156"/>
      <c r="AU688" s="156"/>
      <c r="AV688" s="156"/>
      <c r="AW688" s="156"/>
      <c r="AX688" s="156"/>
    </row>
    <row r="689" spans="4:50">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c r="AA689" s="156"/>
      <c r="AB689" s="156"/>
      <c r="AC689" s="156"/>
      <c r="AD689" s="156"/>
      <c r="AE689" s="156"/>
      <c r="AF689" s="156"/>
      <c r="AG689" s="156"/>
      <c r="AH689" s="156"/>
      <c r="AI689" s="156"/>
      <c r="AJ689" s="156"/>
      <c r="AK689" s="156"/>
      <c r="AL689" s="156"/>
      <c r="AM689" s="156"/>
      <c r="AN689" s="156"/>
      <c r="AO689" s="156"/>
      <c r="AP689" s="156"/>
      <c r="AQ689" s="156"/>
      <c r="AR689" s="156"/>
      <c r="AS689" s="156"/>
      <c r="AT689" s="156"/>
      <c r="AU689" s="156"/>
      <c r="AV689" s="156"/>
      <c r="AW689" s="156"/>
      <c r="AX689" s="156"/>
    </row>
    <row r="690" spans="4:50">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c r="AA690" s="156"/>
      <c r="AB690" s="156"/>
      <c r="AC690" s="156"/>
      <c r="AD690" s="156"/>
      <c r="AE690" s="156"/>
      <c r="AF690" s="156"/>
      <c r="AG690" s="156"/>
      <c r="AH690" s="156"/>
      <c r="AI690" s="156"/>
      <c r="AJ690" s="156"/>
      <c r="AK690" s="156"/>
      <c r="AL690" s="156"/>
      <c r="AM690" s="156"/>
      <c r="AN690" s="156"/>
      <c r="AO690" s="156"/>
      <c r="AP690" s="156"/>
      <c r="AQ690" s="156"/>
      <c r="AR690" s="156"/>
      <c r="AS690" s="156"/>
      <c r="AT690" s="156"/>
      <c r="AU690" s="156"/>
      <c r="AV690" s="156"/>
      <c r="AW690" s="156"/>
      <c r="AX690" s="156"/>
    </row>
    <row r="691" spans="4:50">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c r="AD691" s="156"/>
      <c r="AE691" s="156"/>
      <c r="AF691" s="156"/>
      <c r="AG691" s="156"/>
      <c r="AH691" s="156"/>
      <c r="AI691" s="156"/>
      <c r="AJ691" s="156"/>
      <c r="AK691" s="156"/>
      <c r="AL691" s="156"/>
      <c r="AM691" s="156"/>
      <c r="AN691" s="156"/>
      <c r="AO691" s="156"/>
      <c r="AP691" s="156"/>
      <c r="AQ691" s="156"/>
      <c r="AR691" s="156"/>
      <c r="AS691" s="156"/>
      <c r="AT691" s="156"/>
      <c r="AU691" s="156"/>
      <c r="AV691" s="156"/>
      <c r="AW691" s="156"/>
      <c r="AX691" s="156"/>
    </row>
    <row r="692" spans="4:50">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c r="AA692" s="156"/>
      <c r="AB692" s="156"/>
      <c r="AC692" s="156"/>
      <c r="AD692" s="156"/>
      <c r="AE692" s="156"/>
      <c r="AF692" s="156"/>
      <c r="AG692" s="156"/>
      <c r="AH692" s="156"/>
      <c r="AI692" s="156"/>
      <c r="AJ692" s="156"/>
      <c r="AK692" s="156"/>
      <c r="AL692" s="156"/>
      <c r="AM692" s="156"/>
      <c r="AN692" s="156"/>
      <c r="AO692" s="156"/>
      <c r="AP692" s="156"/>
      <c r="AQ692" s="156"/>
      <c r="AR692" s="156"/>
      <c r="AS692" s="156"/>
      <c r="AT692" s="156"/>
      <c r="AU692" s="156"/>
      <c r="AV692" s="156"/>
      <c r="AW692" s="156"/>
      <c r="AX692" s="156"/>
    </row>
    <row r="693" spans="4:50">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c r="AA693" s="156"/>
      <c r="AB693" s="156"/>
      <c r="AC693" s="156"/>
      <c r="AD693" s="156"/>
      <c r="AE693" s="156"/>
      <c r="AF693" s="156"/>
      <c r="AG693" s="156"/>
      <c r="AH693" s="156"/>
      <c r="AI693" s="156"/>
      <c r="AJ693" s="156"/>
      <c r="AK693" s="156"/>
      <c r="AL693" s="156"/>
      <c r="AM693" s="156"/>
      <c r="AN693" s="156"/>
      <c r="AO693" s="156"/>
      <c r="AP693" s="156"/>
      <c r="AQ693" s="156"/>
      <c r="AR693" s="156"/>
      <c r="AS693" s="156"/>
      <c r="AT693" s="156"/>
      <c r="AU693" s="156"/>
      <c r="AV693" s="156"/>
      <c r="AW693" s="156"/>
      <c r="AX693" s="156"/>
    </row>
    <row r="694" spans="4:50">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c r="AA694" s="156"/>
      <c r="AB694" s="156"/>
      <c r="AC694" s="156"/>
      <c r="AD694" s="156"/>
      <c r="AE694" s="156"/>
      <c r="AF694" s="156"/>
      <c r="AG694" s="156"/>
      <c r="AH694" s="156"/>
      <c r="AI694" s="156"/>
      <c r="AJ694" s="156"/>
      <c r="AK694" s="156"/>
      <c r="AL694" s="156"/>
      <c r="AM694" s="156"/>
      <c r="AN694" s="156"/>
      <c r="AO694" s="156"/>
      <c r="AP694" s="156"/>
      <c r="AQ694" s="156"/>
      <c r="AR694" s="156"/>
      <c r="AS694" s="156"/>
      <c r="AT694" s="156"/>
      <c r="AU694" s="156"/>
      <c r="AV694" s="156"/>
      <c r="AW694" s="156"/>
      <c r="AX694" s="156"/>
    </row>
    <row r="695" spans="4:50">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c r="AA695" s="156"/>
      <c r="AB695" s="156"/>
      <c r="AC695" s="156"/>
      <c r="AD695" s="156"/>
      <c r="AE695" s="156"/>
      <c r="AF695" s="156"/>
      <c r="AG695" s="156"/>
      <c r="AH695" s="156"/>
      <c r="AI695" s="156"/>
      <c r="AJ695" s="156"/>
      <c r="AK695" s="156"/>
      <c r="AL695" s="156"/>
      <c r="AM695" s="156"/>
      <c r="AN695" s="156"/>
      <c r="AO695" s="156"/>
      <c r="AP695" s="156"/>
      <c r="AQ695" s="156"/>
      <c r="AR695" s="156"/>
      <c r="AS695" s="156"/>
      <c r="AT695" s="156"/>
      <c r="AU695" s="156"/>
      <c r="AV695" s="156"/>
      <c r="AW695" s="156"/>
      <c r="AX695" s="156"/>
    </row>
    <row r="696" spans="4:50">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c r="AA696" s="156"/>
      <c r="AB696" s="156"/>
      <c r="AC696" s="156"/>
      <c r="AD696" s="156"/>
      <c r="AE696" s="156"/>
      <c r="AF696" s="156"/>
      <c r="AG696" s="156"/>
      <c r="AH696" s="156"/>
      <c r="AI696" s="156"/>
      <c r="AJ696" s="156"/>
      <c r="AK696" s="156"/>
      <c r="AL696" s="156"/>
      <c r="AM696" s="156"/>
      <c r="AN696" s="156"/>
      <c r="AO696" s="156"/>
      <c r="AP696" s="156"/>
      <c r="AQ696" s="156"/>
      <c r="AR696" s="156"/>
      <c r="AS696" s="156"/>
      <c r="AT696" s="156"/>
      <c r="AU696" s="156"/>
      <c r="AV696" s="156"/>
      <c r="AW696" s="156"/>
      <c r="AX696" s="156"/>
    </row>
    <row r="697" spans="4:50">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c r="AC697" s="156"/>
      <c r="AD697" s="156"/>
      <c r="AE697" s="156"/>
      <c r="AF697" s="156"/>
      <c r="AG697" s="156"/>
      <c r="AH697" s="156"/>
      <c r="AI697" s="156"/>
      <c r="AJ697" s="156"/>
      <c r="AK697" s="156"/>
      <c r="AL697" s="156"/>
      <c r="AM697" s="156"/>
      <c r="AN697" s="156"/>
      <c r="AO697" s="156"/>
      <c r="AP697" s="156"/>
      <c r="AQ697" s="156"/>
      <c r="AR697" s="156"/>
      <c r="AS697" s="156"/>
      <c r="AT697" s="156"/>
      <c r="AU697" s="156"/>
      <c r="AV697" s="156"/>
      <c r="AW697" s="156"/>
      <c r="AX697" s="156"/>
    </row>
    <row r="698" spans="4:50">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c r="AA698" s="156"/>
      <c r="AB698" s="156"/>
      <c r="AC698" s="156"/>
      <c r="AD698" s="156"/>
      <c r="AE698" s="156"/>
      <c r="AF698" s="156"/>
      <c r="AG698" s="156"/>
      <c r="AH698" s="156"/>
      <c r="AI698" s="156"/>
      <c r="AJ698" s="156"/>
      <c r="AK698" s="156"/>
      <c r="AL698" s="156"/>
      <c r="AM698" s="156"/>
      <c r="AN698" s="156"/>
      <c r="AO698" s="156"/>
      <c r="AP698" s="156"/>
      <c r="AQ698" s="156"/>
      <c r="AR698" s="156"/>
      <c r="AS698" s="156"/>
      <c r="AT698" s="156"/>
      <c r="AU698" s="156"/>
      <c r="AV698" s="156"/>
      <c r="AW698" s="156"/>
      <c r="AX698" s="156"/>
    </row>
    <row r="699" spans="4:50">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c r="AA699" s="156"/>
      <c r="AB699" s="156"/>
      <c r="AC699" s="156"/>
      <c r="AD699" s="156"/>
      <c r="AE699" s="156"/>
      <c r="AF699" s="156"/>
      <c r="AG699" s="156"/>
      <c r="AH699" s="156"/>
      <c r="AI699" s="156"/>
      <c r="AJ699" s="156"/>
      <c r="AK699" s="156"/>
      <c r="AL699" s="156"/>
      <c r="AM699" s="156"/>
      <c r="AN699" s="156"/>
      <c r="AO699" s="156"/>
      <c r="AP699" s="156"/>
      <c r="AQ699" s="156"/>
      <c r="AR699" s="156"/>
      <c r="AS699" s="156"/>
      <c r="AT699" s="156"/>
      <c r="AU699" s="156"/>
      <c r="AV699" s="156"/>
      <c r="AW699" s="156"/>
      <c r="AX699" s="156"/>
    </row>
    <row r="700" spans="4:50">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c r="AA700" s="156"/>
      <c r="AB700" s="156"/>
      <c r="AC700" s="156"/>
      <c r="AD700" s="156"/>
      <c r="AE700" s="156"/>
      <c r="AF700" s="156"/>
      <c r="AG700" s="156"/>
      <c r="AH700" s="156"/>
      <c r="AI700" s="156"/>
      <c r="AJ700" s="156"/>
      <c r="AK700" s="156"/>
      <c r="AL700" s="156"/>
      <c r="AM700" s="156"/>
      <c r="AN700" s="156"/>
      <c r="AO700" s="156"/>
      <c r="AP700" s="156"/>
      <c r="AQ700" s="156"/>
      <c r="AR700" s="156"/>
      <c r="AS700" s="156"/>
      <c r="AT700" s="156"/>
      <c r="AU700" s="156"/>
      <c r="AV700" s="156"/>
      <c r="AW700" s="156"/>
      <c r="AX700" s="156"/>
    </row>
    <row r="701" spans="4:50">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c r="AA701" s="156"/>
      <c r="AB701" s="156"/>
      <c r="AC701" s="156"/>
      <c r="AD701" s="156"/>
      <c r="AE701" s="156"/>
      <c r="AF701" s="156"/>
      <c r="AG701" s="156"/>
      <c r="AH701" s="156"/>
      <c r="AI701" s="156"/>
      <c r="AJ701" s="156"/>
      <c r="AK701" s="156"/>
      <c r="AL701" s="156"/>
      <c r="AM701" s="156"/>
      <c r="AN701" s="156"/>
      <c r="AO701" s="156"/>
      <c r="AP701" s="156"/>
      <c r="AQ701" s="156"/>
      <c r="AR701" s="156"/>
      <c r="AS701" s="156"/>
      <c r="AT701" s="156"/>
      <c r="AU701" s="156"/>
      <c r="AV701" s="156"/>
      <c r="AW701" s="156"/>
      <c r="AX701" s="156"/>
    </row>
    <row r="702" spans="4:50">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c r="AA702" s="156"/>
      <c r="AB702" s="156"/>
      <c r="AC702" s="156"/>
      <c r="AD702" s="156"/>
      <c r="AE702" s="156"/>
      <c r="AF702" s="156"/>
      <c r="AG702" s="156"/>
      <c r="AH702" s="156"/>
      <c r="AI702" s="156"/>
      <c r="AJ702" s="156"/>
      <c r="AK702" s="156"/>
      <c r="AL702" s="156"/>
      <c r="AM702" s="156"/>
      <c r="AN702" s="156"/>
      <c r="AO702" s="156"/>
      <c r="AP702" s="156"/>
      <c r="AQ702" s="156"/>
      <c r="AR702" s="156"/>
      <c r="AS702" s="156"/>
      <c r="AT702" s="156"/>
      <c r="AU702" s="156"/>
      <c r="AV702" s="156"/>
      <c r="AW702" s="156"/>
      <c r="AX702" s="156"/>
    </row>
    <row r="703" spans="4:50">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c r="AA703" s="156"/>
      <c r="AB703" s="156"/>
      <c r="AC703" s="156"/>
      <c r="AD703" s="156"/>
      <c r="AE703" s="156"/>
      <c r="AF703" s="156"/>
      <c r="AG703" s="156"/>
      <c r="AH703" s="156"/>
      <c r="AI703" s="156"/>
      <c r="AJ703" s="156"/>
      <c r="AK703" s="156"/>
      <c r="AL703" s="156"/>
      <c r="AM703" s="156"/>
      <c r="AN703" s="156"/>
      <c r="AO703" s="156"/>
      <c r="AP703" s="156"/>
      <c r="AQ703" s="156"/>
      <c r="AR703" s="156"/>
      <c r="AS703" s="156"/>
      <c r="AT703" s="156"/>
      <c r="AU703" s="156"/>
      <c r="AV703" s="156"/>
      <c r="AW703" s="156"/>
      <c r="AX703" s="156"/>
    </row>
    <row r="704" spans="4:50">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c r="AA704" s="156"/>
      <c r="AB704" s="156"/>
      <c r="AC704" s="156"/>
      <c r="AD704" s="156"/>
      <c r="AE704" s="156"/>
      <c r="AF704" s="156"/>
      <c r="AG704" s="156"/>
      <c r="AH704" s="156"/>
      <c r="AI704" s="156"/>
      <c r="AJ704" s="156"/>
      <c r="AK704" s="156"/>
      <c r="AL704" s="156"/>
      <c r="AM704" s="156"/>
      <c r="AN704" s="156"/>
      <c r="AO704" s="156"/>
      <c r="AP704" s="156"/>
      <c r="AQ704" s="156"/>
      <c r="AR704" s="156"/>
      <c r="AS704" s="156"/>
      <c r="AT704" s="156"/>
      <c r="AU704" s="156"/>
      <c r="AV704" s="156"/>
      <c r="AW704" s="156"/>
      <c r="AX704" s="156"/>
    </row>
    <row r="705" spans="4:50">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c r="AA705" s="156"/>
      <c r="AB705" s="156"/>
      <c r="AC705" s="156"/>
      <c r="AD705" s="156"/>
      <c r="AE705" s="156"/>
      <c r="AF705" s="156"/>
      <c r="AG705" s="156"/>
      <c r="AH705" s="156"/>
      <c r="AI705" s="156"/>
      <c r="AJ705" s="156"/>
      <c r="AK705" s="156"/>
      <c r="AL705" s="156"/>
      <c r="AM705" s="156"/>
      <c r="AN705" s="156"/>
      <c r="AO705" s="156"/>
      <c r="AP705" s="156"/>
      <c r="AQ705" s="156"/>
      <c r="AR705" s="156"/>
      <c r="AS705" s="156"/>
      <c r="AT705" s="156"/>
      <c r="AU705" s="156"/>
      <c r="AV705" s="156"/>
      <c r="AW705" s="156"/>
      <c r="AX705" s="156"/>
    </row>
    <row r="706" spans="4:50">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c r="AA706" s="156"/>
      <c r="AB706" s="156"/>
      <c r="AC706" s="156"/>
      <c r="AD706" s="156"/>
      <c r="AE706" s="156"/>
      <c r="AF706" s="156"/>
      <c r="AG706" s="156"/>
      <c r="AH706" s="156"/>
      <c r="AI706" s="156"/>
      <c r="AJ706" s="156"/>
      <c r="AK706" s="156"/>
      <c r="AL706" s="156"/>
      <c r="AM706" s="156"/>
      <c r="AN706" s="156"/>
      <c r="AO706" s="156"/>
      <c r="AP706" s="156"/>
      <c r="AQ706" s="156"/>
      <c r="AR706" s="156"/>
      <c r="AS706" s="156"/>
      <c r="AT706" s="156"/>
      <c r="AU706" s="156"/>
      <c r="AV706" s="156"/>
      <c r="AW706" s="156"/>
      <c r="AX706" s="156"/>
    </row>
    <row r="707" spans="4:50">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c r="AA707" s="156"/>
      <c r="AB707" s="156"/>
      <c r="AC707" s="156"/>
      <c r="AD707" s="156"/>
      <c r="AE707" s="156"/>
      <c r="AF707" s="156"/>
      <c r="AG707" s="156"/>
      <c r="AH707" s="156"/>
      <c r="AI707" s="156"/>
      <c r="AJ707" s="156"/>
      <c r="AK707" s="156"/>
      <c r="AL707" s="156"/>
      <c r="AM707" s="156"/>
      <c r="AN707" s="156"/>
      <c r="AO707" s="156"/>
      <c r="AP707" s="156"/>
      <c r="AQ707" s="156"/>
      <c r="AR707" s="156"/>
      <c r="AS707" s="156"/>
      <c r="AT707" s="156"/>
      <c r="AU707" s="156"/>
      <c r="AV707" s="156"/>
      <c r="AW707" s="156"/>
      <c r="AX707" s="156"/>
    </row>
    <row r="708" spans="4:50">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c r="AA708" s="156"/>
      <c r="AB708" s="156"/>
      <c r="AC708" s="156"/>
      <c r="AD708" s="156"/>
      <c r="AE708" s="156"/>
      <c r="AF708" s="156"/>
      <c r="AG708" s="156"/>
      <c r="AH708" s="156"/>
      <c r="AI708" s="156"/>
      <c r="AJ708" s="156"/>
      <c r="AK708" s="156"/>
      <c r="AL708" s="156"/>
      <c r="AM708" s="156"/>
      <c r="AN708" s="156"/>
      <c r="AO708" s="156"/>
      <c r="AP708" s="156"/>
      <c r="AQ708" s="156"/>
      <c r="AR708" s="156"/>
      <c r="AS708" s="156"/>
      <c r="AT708" s="156"/>
      <c r="AU708" s="156"/>
      <c r="AV708" s="156"/>
      <c r="AW708" s="156"/>
      <c r="AX708" s="156"/>
    </row>
    <row r="709" spans="4:50">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c r="AA709" s="156"/>
      <c r="AB709" s="156"/>
      <c r="AC709" s="156"/>
      <c r="AD709" s="156"/>
      <c r="AE709" s="156"/>
      <c r="AF709" s="156"/>
      <c r="AG709" s="156"/>
      <c r="AH709" s="156"/>
      <c r="AI709" s="156"/>
      <c r="AJ709" s="156"/>
      <c r="AK709" s="156"/>
      <c r="AL709" s="156"/>
      <c r="AM709" s="156"/>
      <c r="AN709" s="156"/>
      <c r="AO709" s="156"/>
      <c r="AP709" s="156"/>
      <c r="AQ709" s="156"/>
      <c r="AR709" s="156"/>
      <c r="AS709" s="156"/>
      <c r="AT709" s="156"/>
      <c r="AU709" s="156"/>
      <c r="AV709" s="156"/>
      <c r="AW709" s="156"/>
      <c r="AX709" s="156"/>
    </row>
    <row r="710" spans="4:50">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c r="AA710" s="156"/>
      <c r="AB710" s="156"/>
      <c r="AC710" s="156"/>
      <c r="AD710" s="156"/>
      <c r="AE710" s="156"/>
      <c r="AF710" s="156"/>
      <c r="AG710" s="156"/>
      <c r="AH710" s="156"/>
      <c r="AI710" s="156"/>
      <c r="AJ710" s="156"/>
      <c r="AK710" s="156"/>
      <c r="AL710" s="156"/>
      <c r="AM710" s="156"/>
      <c r="AN710" s="156"/>
      <c r="AO710" s="156"/>
      <c r="AP710" s="156"/>
      <c r="AQ710" s="156"/>
      <c r="AR710" s="156"/>
      <c r="AS710" s="156"/>
      <c r="AT710" s="156"/>
      <c r="AU710" s="156"/>
      <c r="AV710" s="156"/>
      <c r="AW710" s="156"/>
      <c r="AX710" s="156"/>
    </row>
    <row r="711" spans="4:50">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c r="AA711" s="156"/>
      <c r="AB711" s="156"/>
      <c r="AC711" s="156"/>
      <c r="AD711" s="156"/>
      <c r="AE711" s="156"/>
      <c r="AF711" s="156"/>
      <c r="AG711" s="156"/>
      <c r="AH711" s="156"/>
      <c r="AI711" s="156"/>
      <c r="AJ711" s="156"/>
      <c r="AK711" s="156"/>
      <c r="AL711" s="156"/>
      <c r="AM711" s="156"/>
      <c r="AN711" s="156"/>
      <c r="AO711" s="156"/>
      <c r="AP711" s="156"/>
      <c r="AQ711" s="156"/>
      <c r="AR711" s="156"/>
      <c r="AS711" s="156"/>
      <c r="AT711" s="156"/>
      <c r="AU711" s="156"/>
      <c r="AV711" s="156"/>
      <c r="AW711" s="156"/>
      <c r="AX711" s="156"/>
    </row>
    <row r="712" spans="4:50">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c r="AA712" s="156"/>
      <c r="AB712" s="156"/>
      <c r="AC712" s="156"/>
      <c r="AD712" s="156"/>
      <c r="AE712" s="156"/>
      <c r="AF712" s="156"/>
      <c r="AG712" s="156"/>
      <c r="AH712" s="156"/>
      <c r="AI712" s="156"/>
      <c r="AJ712" s="156"/>
      <c r="AK712" s="156"/>
      <c r="AL712" s="156"/>
      <c r="AM712" s="156"/>
      <c r="AN712" s="156"/>
      <c r="AO712" s="156"/>
      <c r="AP712" s="156"/>
      <c r="AQ712" s="156"/>
      <c r="AR712" s="156"/>
      <c r="AS712" s="156"/>
      <c r="AT712" s="156"/>
      <c r="AU712" s="156"/>
      <c r="AV712" s="156"/>
      <c r="AW712" s="156"/>
      <c r="AX712" s="156"/>
    </row>
    <row r="713" spans="4:50">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c r="AC713" s="156"/>
      <c r="AD713" s="156"/>
      <c r="AE713" s="156"/>
      <c r="AF713" s="156"/>
      <c r="AG713" s="156"/>
      <c r="AH713" s="156"/>
      <c r="AI713" s="156"/>
      <c r="AJ713" s="156"/>
      <c r="AK713" s="156"/>
      <c r="AL713" s="156"/>
      <c r="AM713" s="156"/>
      <c r="AN713" s="156"/>
      <c r="AO713" s="156"/>
      <c r="AP713" s="156"/>
      <c r="AQ713" s="156"/>
      <c r="AR713" s="156"/>
      <c r="AS713" s="156"/>
      <c r="AT713" s="156"/>
      <c r="AU713" s="156"/>
      <c r="AV713" s="156"/>
      <c r="AW713" s="156"/>
      <c r="AX713" s="156"/>
    </row>
    <row r="714" spans="4:50">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c r="AA714" s="156"/>
      <c r="AB714" s="156"/>
      <c r="AC714" s="156"/>
      <c r="AD714" s="156"/>
      <c r="AE714" s="156"/>
      <c r="AF714" s="156"/>
      <c r="AG714" s="156"/>
      <c r="AH714" s="156"/>
      <c r="AI714" s="156"/>
      <c r="AJ714" s="156"/>
      <c r="AK714" s="156"/>
      <c r="AL714" s="156"/>
      <c r="AM714" s="156"/>
      <c r="AN714" s="156"/>
      <c r="AO714" s="156"/>
      <c r="AP714" s="156"/>
      <c r="AQ714" s="156"/>
      <c r="AR714" s="156"/>
      <c r="AS714" s="156"/>
      <c r="AT714" s="156"/>
      <c r="AU714" s="156"/>
      <c r="AV714" s="156"/>
      <c r="AW714" s="156"/>
      <c r="AX714" s="156"/>
    </row>
    <row r="715" spans="4:50">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c r="AD715" s="156"/>
      <c r="AE715" s="156"/>
      <c r="AF715" s="156"/>
      <c r="AG715" s="156"/>
      <c r="AH715" s="156"/>
      <c r="AI715" s="156"/>
      <c r="AJ715" s="156"/>
      <c r="AK715" s="156"/>
      <c r="AL715" s="156"/>
      <c r="AM715" s="156"/>
      <c r="AN715" s="156"/>
      <c r="AO715" s="156"/>
      <c r="AP715" s="156"/>
      <c r="AQ715" s="156"/>
      <c r="AR715" s="156"/>
      <c r="AS715" s="156"/>
      <c r="AT715" s="156"/>
      <c r="AU715" s="156"/>
      <c r="AV715" s="156"/>
      <c r="AW715" s="156"/>
      <c r="AX715" s="156"/>
    </row>
    <row r="716" spans="4:50">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c r="AA716" s="156"/>
      <c r="AB716" s="156"/>
      <c r="AC716" s="156"/>
      <c r="AD716" s="156"/>
      <c r="AE716" s="156"/>
      <c r="AF716" s="156"/>
      <c r="AG716" s="156"/>
      <c r="AH716" s="156"/>
      <c r="AI716" s="156"/>
      <c r="AJ716" s="156"/>
      <c r="AK716" s="156"/>
      <c r="AL716" s="156"/>
      <c r="AM716" s="156"/>
      <c r="AN716" s="156"/>
      <c r="AO716" s="156"/>
      <c r="AP716" s="156"/>
      <c r="AQ716" s="156"/>
      <c r="AR716" s="156"/>
      <c r="AS716" s="156"/>
      <c r="AT716" s="156"/>
      <c r="AU716" s="156"/>
      <c r="AV716" s="156"/>
      <c r="AW716" s="156"/>
      <c r="AX716" s="156"/>
    </row>
    <row r="717" spans="4:50">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c r="AA717" s="156"/>
      <c r="AB717" s="156"/>
      <c r="AC717" s="156"/>
      <c r="AD717" s="156"/>
      <c r="AE717" s="156"/>
      <c r="AF717" s="156"/>
      <c r="AG717" s="156"/>
      <c r="AH717" s="156"/>
      <c r="AI717" s="156"/>
      <c r="AJ717" s="156"/>
      <c r="AK717" s="156"/>
      <c r="AL717" s="156"/>
      <c r="AM717" s="156"/>
      <c r="AN717" s="156"/>
      <c r="AO717" s="156"/>
      <c r="AP717" s="156"/>
      <c r="AQ717" s="156"/>
      <c r="AR717" s="156"/>
      <c r="AS717" s="156"/>
      <c r="AT717" s="156"/>
      <c r="AU717" s="156"/>
      <c r="AV717" s="156"/>
      <c r="AW717" s="156"/>
      <c r="AX717" s="156"/>
    </row>
    <row r="718" spans="4:50">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c r="AA718" s="156"/>
      <c r="AB718" s="156"/>
      <c r="AC718" s="156"/>
      <c r="AD718" s="156"/>
      <c r="AE718" s="156"/>
      <c r="AF718" s="156"/>
      <c r="AG718" s="156"/>
      <c r="AH718" s="156"/>
      <c r="AI718" s="156"/>
      <c r="AJ718" s="156"/>
      <c r="AK718" s="156"/>
      <c r="AL718" s="156"/>
      <c r="AM718" s="156"/>
      <c r="AN718" s="156"/>
      <c r="AO718" s="156"/>
      <c r="AP718" s="156"/>
      <c r="AQ718" s="156"/>
      <c r="AR718" s="156"/>
      <c r="AS718" s="156"/>
      <c r="AT718" s="156"/>
      <c r="AU718" s="156"/>
      <c r="AV718" s="156"/>
      <c r="AW718" s="156"/>
      <c r="AX718" s="156"/>
    </row>
    <row r="719" spans="4:50">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c r="AA719" s="156"/>
      <c r="AB719" s="156"/>
      <c r="AC719" s="156"/>
      <c r="AD719" s="156"/>
      <c r="AE719" s="156"/>
      <c r="AF719" s="156"/>
      <c r="AG719" s="156"/>
      <c r="AH719" s="156"/>
      <c r="AI719" s="156"/>
      <c r="AJ719" s="156"/>
      <c r="AK719" s="156"/>
      <c r="AL719" s="156"/>
      <c r="AM719" s="156"/>
      <c r="AN719" s="156"/>
      <c r="AO719" s="156"/>
      <c r="AP719" s="156"/>
      <c r="AQ719" s="156"/>
      <c r="AR719" s="156"/>
      <c r="AS719" s="156"/>
      <c r="AT719" s="156"/>
      <c r="AU719" s="156"/>
      <c r="AV719" s="156"/>
      <c r="AW719" s="156"/>
      <c r="AX719" s="156"/>
    </row>
    <row r="720" spans="4:50">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c r="AA720" s="156"/>
      <c r="AB720" s="156"/>
      <c r="AC720" s="156"/>
      <c r="AD720" s="156"/>
      <c r="AE720" s="156"/>
      <c r="AF720" s="156"/>
      <c r="AG720" s="156"/>
      <c r="AH720" s="156"/>
      <c r="AI720" s="156"/>
      <c r="AJ720" s="156"/>
      <c r="AK720" s="156"/>
      <c r="AL720" s="156"/>
      <c r="AM720" s="156"/>
      <c r="AN720" s="156"/>
      <c r="AO720" s="156"/>
      <c r="AP720" s="156"/>
      <c r="AQ720" s="156"/>
      <c r="AR720" s="156"/>
      <c r="AS720" s="156"/>
      <c r="AT720" s="156"/>
      <c r="AU720" s="156"/>
      <c r="AV720" s="156"/>
      <c r="AW720" s="156"/>
      <c r="AX720" s="156"/>
    </row>
    <row r="721" spans="4:50">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c r="AA721" s="156"/>
      <c r="AB721" s="156"/>
      <c r="AC721" s="156"/>
      <c r="AD721" s="156"/>
      <c r="AE721" s="156"/>
      <c r="AF721" s="156"/>
      <c r="AG721" s="156"/>
      <c r="AH721" s="156"/>
      <c r="AI721" s="156"/>
      <c r="AJ721" s="156"/>
      <c r="AK721" s="156"/>
      <c r="AL721" s="156"/>
      <c r="AM721" s="156"/>
      <c r="AN721" s="156"/>
      <c r="AO721" s="156"/>
      <c r="AP721" s="156"/>
      <c r="AQ721" s="156"/>
      <c r="AR721" s="156"/>
      <c r="AS721" s="156"/>
      <c r="AT721" s="156"/>
      <c r="AU721" s="156"/>
      <c r="AV721" s="156"/>
      <c r="AW721" s="156"/>
      <c r="AX721" s="156"/>
    </row>
    <row r="722" spans="4:50">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c r="AA722" s="156"/>
      <c r="AB722" s="156"/>
      <c r="AC722" s="156"/>
      <c r="AD722" s="156"/>
      <c r="AE722" s="156"/>
      <c r="AF722" s="156"/>
      <c r="AG722" s="156"/>
      <c r="AH722" s="156"/>
      <c r="AI722" s="156"/>
      <c r="AJ722" s="156"/>
      <c r="AK722" s="156"/>
      <c r="AL722" s="156"/>
      <c r="AM722" s="156"/>
      <c r="AN722" s="156"/>
      <c r="AO722" s="156"/>
      <c r="AP722" s="156"/>
      <c r="AQ722" s="156"/>
      <c r="AR722" s="156"/>
      <c r="AS722" s="156"/>
      <c r="AT722" s="156"/>
      <c r="AU722" s="156"/>
      <c r="AV722" s="156"/>
      <c r="AW722" s="156"/>
      <c r="AX722" s="156"/>
    </row>
    <row r="723" spans="4:50">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c r="AA723" s="156"/>
      <c r="AB723" s="156"/>
      <c r="AC723" s="156"/>
      <c r="AD723" s="156"/>
      <c r="AE723" s="156"/>
      <c r="AF723" s="156"/>
      <c r="AG723" s="156"/>
      <c r="AH723" s="156"/>
      <c r="AI723" s="156"/>
      <c r="AJ723" s="156"/>
      <c r="AK723" s="156"/>
      <c r="AL723" s="156"/>
      <c r="AM723" s="156"/>
      <c r="AN723" s="156"/>
      <c r="AO723" s="156"/>
      <c r="AP723" s="156"/>
      <c r="AQ723" s="156"/>
      <c r="AR723" s="156"/>
      <c r="AS723" s="156"/>
      <c r="AT723" s="156"/>
      <c r="AU723" s="156"/>
      <c r="AV723" s="156"/>
      <c r="AW723" s="156"/>
      <c r="AX723" s="156"/>
    </row>
    <row r="724" spans="4:50">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c r="AA724" s="156"/>
      <c r="AB724" s="156"/>
      <c r="AC724" s="156"/>
      <c r="AD724" s="156"/>
      <c r="AE724" s="156"/>
      <c r="AF724" s="156"/>
      <c r="AG724" s="156"/>
      <c r="AH724" s="156"/>
      <c r="AI724" s="156"/>
      <c r="AJ724" s="156"/>
      <c r="AK724" s="156"/>
      <c r="AL724" s="156"/>
      <c r="AM724" s="156"/>
      <c r="AN724" s="156"/>
      <c r="AO724" s="156"/>
      <c r="AP724" s="156"/>
      <c r="AQ724" s="156"/>
      <c r="AR724" s="156"/>
      <c r="AS724" s="156"/>
      <c r="AT724" s="156"/>
      <c r="AU724" s="156"/>
      <c r="AV724" s="156"/>
      <c r="AW724" s="156"/>
      <c r="AX724" s="156"/>
    </row>
    <row r="725" spans="4:50">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c r="AA725" s="156"/>
      <c r="AB725" s="156"/>
      <c r="AC725" s="156"/>
      <c r="AD725" s="156"/>
      <c r="AE725" s="156"/>
      <c r="AF725" s="156"/>
      <c r="AG725" s="156"/>
      <c r="AH725" s="156"/>
      <c r="AI725" s="156"/>
      <c r="AJ725" s="156"/>
      <c r="AK725" s="156"/>
      <c r="AL725" s="156"/>
      <c r="AM725" s="156"/>
      <c r="AN725" s="156"/>
      <c r="AO725" s="156"/>
      <c r="AP725" s="156"/>
      <c r="AQ725" s="156"/>
      <c r="AR725" s="156"/>
      <c r="AS725" s="156"/>
      <c r="AT725" s="156"/>
      <c r="AU725" s="156"/>
      <c r="AV725" s="156"/>
      <c r="AW725" s="156"/>
      <c r="AX725" s="156"/>
    </row>
    <row r="726" spans="4:50">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c r="AA726" s="156"/>
      <c r="AB726" s="156"/>
      <c r="AC726" s="156"/>
      <c r="AD726" s="156"/>
      <c r="AE726" s="156"/>
      <c r="AF726" s="156"/>
      <c r="AG726" s="156"/>
      <c r="AH726" s="156"/>
      <c r="AI726" s="156"/>
      <c r="AJ726" s="156"/>
      <c r="AK726" s="156"/>
      <c r="AL726" s="156"/>
      <c r="AM726" s="156"/>
      <c r="AN726" s="156"/>
      <c r="AO726" s="156"/>
      <c r="AP726" s="156"/>
      <c r="AQ726" s="156"/>
      <c r="AR726" s="156"/>
      <c r="AS726" s="156"/>
      <c r="AT726" s="156"/>
      <c r="AU726" s="156"/>
      <c r="AV726" s="156"/>
      <c r="AW726" s="156"/>
      <c r="AX726" s="156"/>
    </row>
    <row r="727" spans="4:50">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c r="AA727" s="156"/>
      <c r="AB727" s="156"/>
      <c r="AC727" s="156"/>
      <c r="AD727" s="156"/>
      <c r="AE727" s="156"/>
      <c r="AF727" s="156"/>
      <c r="AG727" s="156"/>
      <c r="AH727" s="156"/>
      <c r="AI727" s="156"/>
      <c r="AJ727" s="156"/>
      <c r="AK727" s="156"/>
      <c r="AL727" s="156"/>
      <c r="AM727" s="156"/>
      <c r="AN727" s="156"/>
      <c r="AO727" s="156"/>
      <c r="AP727" s="156"/>
      <c r="AQ727" s="156"/>
      <c r="AR727" s="156"/>
      <c r="AS727" s="156"/>
      <c r="AT727" s="156"/>
      <c r="AU727" s="156"/>
      <c r="AV727" s="156"/>
      <c r="AW727" s="156"/>
      <c r="AX727" s="156"/>
    </row>
    <row r="728" spans="4:50">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c r="AA728" s="156"/>
      <c r="AB728" s="156"/>
      <c r="AC728" s="156"/>
      <c r="AD728" s="156"/>
      <c r="AE728" s="156"/>
      <c r="AF728" s="156"/>
      <c r="AG728" s="156"/>
      <c r="AH728" s="156"/>
      <c r="AI728" s="156"/>
      <c r="AJ728" s="156"/>
      <c r="AK728" s="156"/>
      <c r="AL728" s="156"/>
      <c r="AM728" s="156"/>
      <c r="AN728" s="156"/>
      <c r="AO728" s="156"/>
      <c r="AP728" s="156"/>
      <c r="AQ728" s="156"/>
      <c r="AR728" s="156"/>
      <c r="AS728" s="156"/>
      <c r="AT728" s="156"/>
      <c r="AU728" s="156"/>
      <c r="AV728" s="156"/>
      <c r="AW728" s="156"/>
      <c r="AX728" s="156"/>
    </row>
    <row r="729" spans="4:50">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c r="AA729" s="156"/>
      <c r="AB729" s="156"/>
      <c r="AC729" s="156"/>
      <c r="AD729" s="156"/>
      <c r="AE729" s="156"/>
      <c r="AF729" s="156"/>
      <c r="AG729" s="156"/>
      <c r="AH729" s="156"/>
      <c r="AI729" s="156"/>
      <c r="AJ729" s="156"/>
      <c r="AK729" s="156"/>
      <c r="AL729" s="156"/>
      <c r="AM729" s="156"/>
      <c r="AN729" s="156"/>
      <c r="AO729" s="156"/>
      <c r="AP729" s="156"/>
      <c r="AQ729" s="156"/>
      <c r="AR729" s="156"/>
      <c r="AS729" s="156"/>
      <c r="AT729" s="156"/>
      <c r="AU729" s="156"/>
      <c r="AV729" s="156"/>
      <c r="AW729" s="156"/>
      <c r="AX729" s="156"/>
    </row>
    <row r="730" spans="4:50">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c r="AA730" s="156"/>
      <c r="AB730" s="156"/>
      <c r="AC730" s="156"/>
      <c r="AD730" s="156"/>
      <c r="AE730" s="156"/>
      <c r="AF730" s="156"/>
      <c r="AG730" s="156"/>
      <c r="AH730" s="156"/>
      <c r="AI730" s="156"/>
      <c r="AJ730" s="156"/>
      <c r="AK730" s="156"/>
      <c r="AL730" s="156"/>
      <c r="AM730" s="156"/>
      <c r="AN730" s="156"/>
      <c r="AO730" s="156"/>
      <c r="AP730" s="156"/>
      <c r="AQ730" s="156"/>
      <c r="AR730" s="156"/>
      <c r="AS730" s="156"/>
      <c r="AT730" s="156"/>
      <c r="AU730" s="156"/>
      <c r="AV730" s="156"/>
      <c r="AW730" s="156"/>
      <c r="AX730" s="156"/>
    </row>
    <row r="731" spans="4:50">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c r="AA731" s="156"/>
      <c r="AB731" s="156"/>
      <c r="AC731" s="156"/>
      <c r="AD731" s="156"/>
      <c r="AE731" s="156"/>
      <c r="AF731" s="156"/>
      <c r="AG731" s="156"/>
      <c r="AH731" s="156"/>
      <c r="AI731" s="156"/>
      <c r="AJ731" s="156"/>
      <c r="AK731" s="156"/>
      <c r="AL731" s="156"/>
      <c r="AM731" s="156"/>
      <c r="AN731" s="156"/>
      <c r="AO731" s="156"/>
      <c r="AP731" s="156"/>
      <c r="AQ731" s="156"/>
      <c r="AR731" s="156"/>
      <c r="AS731" s="156"/>
      <c r="AT731" s="156"/>
      <c r="AU731" s="156"/>
      <c r="AV731" s="156"/>
      <c r="AW731" s="156"/>
      <c r="AX731" s="156"/>
    </row>
    <row r="732" spans="4:50">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c r="AA732" s="156"/>
      <c r="AB732" s="156"/>
      <c r="AC732" s="156"/>
      <c r="AD732" s="156"/>
      <c r="AE732" s="156"/>
      <c r="AF732" s="156"/>
      <c r="AG732" s="156"/>
      <c r="AH732" s="156"/>
      <c r="AI732" s="156"/>
      <c r="AJ732" s="156"/>
      <c r="AK732" s="156"/>
      <c r="AL732" s="156"/>
      <c r="AM732" s="156"/>
      <c r="AN732" s="156"/>
      <c r="AO732" s="156"/>
      <c r="AP732" s="156"/>
      <c r="AQ732" s="156"/>
      <c r="AR732" s="156"/>
      <c r="AS732" s="156"/>
      <c r="AT732" s="156"/>
      <c r="AU732" s="156"/>
      <c r="AV732" s="156"/>
      <c r="AW732" s="156"/>
      <c r="AX732" s="156"/>
    </row>
    <row r="733" spans="4:50">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c r="AA733" s="156"/>
      <c r="AB733" s="156"/>
      <c r="AC733" s="156"/>
      <c r="AD733" s="156"/>
      <c r="AE733" s="156"/>
      <c r="AF733" s="156"/>
      <c r="AG733" s="156"/>
      <c r="AH733" s="156"/>
      <c r="AI733" s="156"/>
      <c r="AJ733" s="156"/>
      <c r="AK733" s="156"/>
      <c r="AL733" s="156"/>
      <c r="AM733" s="156"/>
      <c r="AN733" s="156"/>
      <c r="AO733" s="156"/>
      <c r="AP733" s="156"/>
      <c r="AQ733" s="156"/>
      <c r="AR733" s="156"/>
      <c r="AS733" s="156"/>
      <c r="AT733" s="156"/>
      <c r="AU733" s="156"/>
      <c r="AV733" s="156"/>
      <c r="AW733" s="156"/>
      <c r="AX733" s="156"/>
    </row>
    <row r="734" spans="4:50">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c r="AA734" s="156"/>
      <c r="AB734" s="156"/>
      <c r="AC734" s="156"/>
      <c r="AD734" s="156"/>
      <c r="AE734" s="156"/>
      <c r="AF734" s="156"/>
      <c r="AG734" s="156"/>
      <c r="AH734" s="156"/>
      <c r="AI734" s="156"/>
      <c r="AJ734" s="156"/>
      <c r="AK734" s="156"/>
      <c r="AL734" s="156"/>
      <c r="AM734" s="156"/>
      <c r="AN734" s="156"/>
      <c r="AO734" s="156"/>
      <c r="AP734" s="156"/>
      <c r="AQ734" s="156"/>
      <c r="AR734" s="156"/>
      <c r="AS734" s="156"/>
      <c r="AT734" s="156"/>
      <c r="AU734" s="156"/>
      <c r="AV734" s="156"/>
      <c r="AW734" s="156"/>
      <c r="AX734" s="156"/>
    </row>
    <row r="735" spans="4:50">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c r="AA735" s="156"/>
      <c r="AB735" s="156"/>
      <c r="AC735" s="156"/>
      <c r="AD735" s="156"/>
      <c r="AE735" s="156"/>
      <c r="AF735" s="156"/>
      <c r="AG735" s="156"/>
      <c r="AH735" s="156"/>
      <c r="AI735" s="156"/>
      <c r="AJ735" s="156"/>
      <c r="AK735" s="156"/>
      <c r="AL735" s="156"/>
      <c r="AM735" s="156"/>
      <c r="AN735" s="156"/>
      <c r="AO735" s="156"/>
      <c r="AP735" s="156"/>
      <c r="AQ735" s="156"/>
      <c r="AR735" s="156"/>
      <c r="AS735" s="156"/>
      <c r="AT735" s="156"/>
      <c r="AU735" s="156"/>
      <c r="AV735" s="156"/>
      <c r="AW735" s="156"/>
      <c r="AX735" s="156"/>
    </row>
    <row r="736" spans="4:50">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c r="AA736" s="156"/>
      <c r="AB736" s="156"/>
      <c r="AC736" s="156"/>
      <c r="AD736" s="156"/>
      <c r="AE736" s="156"/>
      <c r="AF736" s="156"/>
      <c r="AG736" s="156"/>
      <c r="AH736" s="156"/>
      <c r="AI736" s="156"/>
      <c r="AJ736" s="156"/>
      <c r="AK736" s="156"/>
      <c r="AL736" s="156"/>
      <c r="AM736" s="156"/>
      <c r="AN736" s="156"/>
      <c r="AO736" s="156"/>
      <c r="AP736" s="156"/>
      <c r="AQ736" s="156"/>
      <c r="AR736" s="156"/>
      <c r="AS736" s="156"/>
      <c r="AT736" s="156"/>
      <c r="AU736" s="156"/>
      <c r="AV736" s="156"/>
      <c r="AW736" s="156"/>
      <c r="AX736" s="156"/>
    </row>
    <row r="737" spans="4:50">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c r="AA737" s="156"/>
      <c r="AB737" s="156"/>
      <c r="AC737" s="156"/>
      <c r="AD737" s="156"/>
      <c r="AE737" s="156"/>
      <c r="AF737" s="156"/>
      <c r="AG737" s="156"/>
      <c r="AH737" s="156"/>
      <c r="AI737" s="156"/>
      <c r="AJ737" s="156"/>
      <c r="AK737" s="156"/>
      <c r="AL737" s="156"/>
      <c r="AM737" s="156"/>
      <c r="AN737" s="156"/>
      <c r="AO737" s="156"/>
      <c r="AP737" s="156"/>
      <c r="AQ737" s="156"/>
      <c r="AR737" s="156"/>
      <c r="AS737" s="156"/>
      <c r="AT737" s="156"/>
      <c r="AU737" s="156"/>
      <c r="AV737" s="156"/>
      <c r="AW737" s="156"/>
      <c r="AX737" s="156"/>
    </row>
    <row r="738" spans="4:50">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c r="AA738" s="156"/>
      <c r="AB738" s="156"/>
      <c r="AC738" s="156"/>
      <c r="AD738" s="156"/>
      <c r="AE738" s="156"/>
      <c r="AF738" s="156"/>
      <c r="AG738" s="156"/>
      <c r="AH738" s="156"/>
      <c r="AI738" s="156"/>
      <c r="AJ738" s="156"/>
      <c r="AK738" s="156"/>
      <c r="AL738" s="156"/>
      <c r="AM738" s="156"/>
      <c r="AN738" s="156"/>
      <c r="AO738" s="156"/>
      <c r="AP738" s="156"/>
      <c r="AQ738" s="156"/>
      <c r="AR738" s="156"/>
      <c r="AS738" s="156"/>
      <c r="AT738" s="156"/>
      <c r="AU738" s="156"/>
      <c r="AV738" s="156"/>
      <c r="AW738" s="156"/>
      <c r="AX738" s="156"/>
    </row>
    <row r="739" spans="4:50">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c r="AA739" s="156"/>
      <c r="AB739" s="156"/>
      <c r="AC739" s="156"/>
      <c r="AD739" s="156"/>
      <c r="AE739" s="156"/>
      <c r="AF739" s="156"/>
      <c r="AG739" s="156"/>
      <c r="AH739" s="156"/>
      <c r="AI739" s="156"/>
      <c r="AJ739" s="156"/>
      <c r="AK739" s="156"/>
      <c r="AL739" s="156"/>
      <c r="AM739" s="156"/>
      <c r="AN739" s="156"/>
      <c r="AO739" s="156"/>
      <c r="AP739" s="156"/>
      <c r="AQ739" s="156"/>
      <c r="AR739" s="156"/>
      <c r="AS739" s="156"/>
      <c r="AT739" s="156"/>
      <c r="AU739" s="156"/>
      <c r="AV739" s="156"/>
      <c r="AW739" s="156"/>
      <c r="AX739" s="156"/>
    </row>
    <row r="740" spans="4:50">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c r="AA740" s="156"/>
      <c r="AB740" s="156"/>
      <c r="AC740" s="156"/>
      <c r="AD740" s="156"/>
      <c r="AE740" s="156"/>
      <c r="AF740" s="156"/>
      <c r="AG740" s="156"/>
      <c r="AH740" s="156"/>
      <c r="AI740" s="156"/>
      <c r="AJ740" s="156"/>
      <c r="AK740" s="156"/>
      <c r="AL740" s="156"/>
      <c r="AM740" s="156"/>
      <c r="AN740" s="156"/>
      <c r="AO740" s="156"/>
      <c r="AP740" s="156"/>
      <c r="AQ740" s="156"/>
      <c r="AR740" s="156"/>
      <c r="AS740" s="156"/>
      <c r="AT740" s="156"/>
      <c r="AU740" s="156"/>
      <c r="AV740" s="156"/>
      <c r="AW740" s="156"/>
      <c r="AX740" s="156"/>
    </row>
    <row r="741" spans="4:50">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c r="AA741" s="156"/>
      <c r="AB741" s="156"/>
      <c r="AC741" s="156"/>
      <c r="AD741" s="156"/>
      <c r="AE741" s="156"/>
      <c r="AF741" s="156"/>
      <c r="AG741" s="156"/>
      <c r="AH741" s="156"/>
      <c r="AI741" s="156"/>
      <c r="AJ741" s="156"/>
      <c r="AK741" s="156"/>
      <c r="AL741" s="156"/>
      <c r="AM741" s="156"/>
      <c r="AN741" s="156"/>
      <c r="AO741" s="156"/>
      <c r="AP741" s="156"/>
      <c r="AQ741" s="156"/>
      <c r="AR741" s="156"/>
      <c r="AS741" s="156"/>
      <c r="AT741" s="156"/>
      <c r="AU741" s="156"/>
      <c r="AV741" s="156"/>
      <c r="AW741" s="156"/>
      <c r="AX741" s="156"/>
    </row>
    <row r="742" spans="4:50">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c r="AA742" s="156"/>
      <c r="AB742" s="156"/>
      <c r="AC742" s="156"/>
      <c r="AD742" s="156"/>
      <c r="AE742" s="156"/>
      <c r="AF742" s="156"/>
      <c r="AG742" s="156"/>
      <c r="AH742" s="156"/>
      <c r="AI742" s="156"/>
      <c r="AJ742" s="156"/>
      <c r="AK742" s="156"/>
      <c r="AL742" s="156"/>
      <c r="AM742" s="156"/>
      <c r="AN742" s="156"/>
      <c r="AO742" s="156"/>
      <c r="AP742" s="156"/>
      <c r="AQ742" s="156"/>
      <c r="AR742" s="156"/>
      <c r="AS742" s="156"/>
      <c r="AT742" s="156"/>
      <c r="AU742" s="156"/>
      <c r="AV742" s="156"/>
      <c r="AW742" s="156"/>
      <c r="AX742" s="156"/>
    </row>
    <row r="743" spans="4:50">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c r="AA743" s="156"/>
      <c r="AB743" s="156"/>
      <c r="AC743" s="156"/>
      <c r="AD743" s="156"/>
      <c r="AE743" s="156"/>
      <c r="AF743" s="156"/>
      <c r="AG743" s="156"/>
      <c r="AH743" s="156"/>
      <c r="AI743" s="156"/>
      <c r="AJ743" s="156"/>
      <c r="AK743" s="156"/>
      <c r="AL743" s="156"/>
      <c r="AM743" s="156"/>
      <c r="AN743" s="156"/>
      <c r="AO743" s="156"/>
      <c r="AP743" s="156"/>
      <c r="AQ743" s="156"/>
      <c r="AR743" s="156"/>
      <c r="AS743" s="156"/>
      <c r="AT743" s="156"/>
      <c r="AU743" s="156"/>
      <c r="AV743" s="156"/>
      <c r="AW743" s="156"/>
      <c r="AX743" s="156"/>
    </row>
    <row r="744" spans="4:50">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c r="AA744" s="156"/>
      <c r="AB744" s="156"/>
      <c r="AC744" s="156"/>
      <c r="AD744" s="156"/>
      <c r="AE744" s="156"/>
      <c r="AF744" s="156"/>
      <c r="AG744" s="156"/>
      <c r="AH744" s="156"/>
      <c r="AI744" s="156"/>
      <c r="AJ744" s="156"/>
      <c r="AK744" s="156"/>
      <c r="AL744" s="156"/>
      <c r="AM744" s="156"/>
      <c r="AN744" s="156"/>
      <c r="AO744" s="156"/>
      <c r="AP744" s="156"/>
      <c r="AQ744" s="156"/>
      <c r="AR744" s="156"/>
      <c r="AS744" s="156"/>
      <c r="AT744" s="156"/>
      <c r="AU744" s="156"/>
      <c r="AV744" s="156"/>
      <c r="AW744" s="156"/>
      <c r="AX744" s="156"/>
    </row>
    <row r="745" spans="4:50">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c r="AA745" s="156"/>
      <c r="AB745" s="156"/>
      <c r="AC745" s="156"/>
      <c r="AD745" s="156"/>
      <c r="AE745" s="156"/>
      <c r="AF745" s="156"/>
      <c r="AG745" s="156"/>
      <c r="AH745" s="156"/>
      <c r="AI745" s="156"/>
      <c r="AJ745" s="156"/>
      <c r="AK745" s="156"/>
      <c r="AL745" s="156"/>
      <c r="AM745" s="156"/>
      <c r="AN745" s="156"/>
      <c r="AO745" s="156"/>
      <c r="AP745" s="156"/>
      <c r="AQ745" s="156"/>
      <c r="AR745" s="156"/>
      <c r="AS745" s="156"/>
      <c r="AT745" s="156"/>
      <c r="AU745" s="156"/>
      <c r="AV745" s="156"/>
      <c r="AW745" s="156"/>
      <c r="AX745" s="156"/>
    </row>
    <row r="746" spans="4:50">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c r="AA746" s="156"/>
      <c r="AB746" s="156"/>
      <c r="AC746" s="156"/>
      <c r="AD746" s="156"/>
      <c r="AE746" s="156"/>
      <c r="AF746" s="156"/>
      <c r="AG746" s="156"/>
      <c r="AH746" s="156"/>
      <c r="AI746" s="156"/>
      <c r="AJ746" s="156"/>
      <c r="AK746" s="156"/>
      <c r="AL746" s="156"/>
      <c r="AM746" s="156"/>
      <c r="AN746" s="156"/>
      <c r="AO746" s="156"/>
      <c r="AP746" s="156"/>
      <c r="AQ746" s="156"/>
      <c r="AR746" s="156"/>
      <c r="AS746" s="156"/>
      <c r="AT746" s="156"/>
      <c r="AU746" s="156"/>
      <c r="AV746" s="156"/>
      <c r="AW746" s="156"/>
      <c r="AX746" s="156"/>
    </row>
    <row r="747" spans="4:50">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c r="AA747" s="156"/>
      <c r="AB747" s="156"/>
      <c r="AC747" s="156"/>
      <c r="AD747" s="156"/>
      <c r="AE747" s="156"/>
      <c r="AF747" s="156"/>
      <c r="AG747" s="156"/>
      <c r="AH747" s="156"/>
      <c r="AI747" s="156"/>
      <c r="AJ747" s="156"/>
      <c r="AK747" s="156"/>
      <c r="AL747" s="156"/>
      <c r="AM747" s="156"/>
      <c r="AN747" s="156"/>
      <c r="AO747" s="156"/>
      <c r="AP747" s="156"/>
      <c r="AQ747" s="156"/>
      <c r="AR747" s="156"/>
      <c r="AS747" s="156"/>
      <c r="AT747" s="156"/>
      <c r="AU747" s="156"/>
      <c r="AV747" s="156"/>
      <c r="AW747" s="156"/>
      <c r="AX747" s="156"/>
    </row>
    <row r="748" spans="4:50">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c r="AA748" s="156"/>
      <c r="AB748" s="156"/>
      <c r="AC748" s="156"/>
      <c r="AD748" s="156"/>
      <c r="AE748" s="156"/>
      <c r="AF748" s="156"/>
      <c r="AG748" s="156"/>
      <c r="AH748" s="156"/>
      <c r="AI748" s="156"/>
      <c r="AJ748" s="156"/>
      <c r="AK748" s="156"/>
      <c r="AL748" s="156"/>
      <c r="AM748" s="156"/>
      <c r="AN748" s="156"/>
      <c r="AO748" s="156"/>
      <c r="AP748" s="156"/>
      <c r="AQ748" s="156"/>
      <c r="AR748" s="156"/>
      <c r="AS748" s="156"/>
      <c r="AT748" s="156"/>
      <c r="AU748" s="156"/>
      <c r="AV748" s="156"/>
      <c r="AW748" s="156"/>
      <c r="AX748" s="156"/>
    </row>
    <row r="749" spans="4:50">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c r="AA749" s="156"/>
      <c r="AB749" s="156"/>
      <c r="AC749" s="156"/>
      <c r="AD749" s="156"/>
      <c r="AE749" s="156"/>
      <c r="AF749" s="156"/>
      <c r="AG749" s="156"/>
      <c r="AH749" s="156"/>
      <c r="AI749" s="156"/>
      <c r="AJ749" s="156"/>
      <c r="AK749" s="156"/>
      <c r="AL749" s="156"/>
      <c r="AM749" s="156"/>
      <c r="AN749" s="156"/>
      <c r="AO749" s="156"/>
      <c r="AP749" s="156"/>
      <c r="AQ749" s="156"/>
      <c r="AR749" s="156"/>
      <c r="AS749" s="156"/>
      <c r="AT749" s="156"/>
      <c r="AU749" s="156"/>
      <c r="AV749" s="156"/>
      <c r="AW749" s="156"/>
      <c r="AX749" s="156"/>
    </row>
    <row r="750" spans="4:50">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c r="AA750" s="156"/>
      <c r="AB750" s="156"/>
      <c r="AC750" s="156"/>
      <c r="AD750" s="156"/>
      <c r="AE750" s="156"/>
      <c r="AF750" s="156"/>
      <c r="AG750" s="156"/>
      <c r="AH750" s="156"/>
      <c r="AI750" s="156"/>
      <c r="AJ750" s="156"/>
      <c r="AK750" s="156"/>
      <c r="AL750" s="156"/>
      <c r="AM750" s="156"/>
      <c r="AN750" s="156"/>
      <c r="AO750" s="156"/>
      <c r="AP750" s="156"/>
      <c r="AQ750" s="156"/>
      <c r="AR750" s="156"/>
      <c r="AS750" s="156"/>
      <c r="AT750" s="156"/>
      <c r="AU750" s="156"/>
      <c r="AV750" s="156"/>
      <c r="AW750" s="156"/>
      <c r="AX750" s="156"/>
    </row>
    <row r="751" spans="4:50">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c r="AA751" s="156"/>
      <c r="AB751" s="156"/>
      <c r="AC751" s="156"/>
      <c r="AD751" s="156"/>
      <c r="AE751" s="156"/>
      <c r="AF751" s="156"/>
      <c r="AG751" s="156"/>
      <c r="AH751" s="156"/>
      <c r="AI751" s="156"/>
      <c r="AJ751" s="156"/>
      <c r="AK751" s="156"/>
      <c r="AL751" s="156"/>
      <c r="AM751" s="156"/>
      <c r="AN751" s="156"/>
      <c r="AO751" s="156"/>
      <c r="AP751" s="156"/>
      <c r="AQ751" s="156"/>
      <c r="AR751" s="156"/>
      <c r="AS751" s="156"/>
      <c r="AT751" s="156"/>
      <c r="AU751" s="156"/>
      <c r="AV751" s="156"/>
      <c r="AW751" s="156"/>
      <c r="AX751" s="156"/>
    </row>
    <row r="752" spans="4:50">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c r="AA752" s="156"/>
      <c r="AB752" s="156"/>
      <c r="AC752" s="156"/>
      <c r="AD752" s="156"/>
      <c r="AE752" s="156"/>
      <c r="AF752" s="156"/>
      <c r="AG752" s="156"/>
      <c r="AH752" s="156"/>
      <c r="AI752" s="156"/>
      <c r="AJ752" s="156"/>
      <c r="AK752" s="156"/>
      <c r="AL752" s="156"/>
      <c r="AM752" s="156"/>
      <c r="AN752" s="156"/>
      <c r="AO752" s="156"/>
      <c r="AP752" s="156"/>
      <c r="AQ752" s="156"/>
      <c r="AR752" s="156"/>
      <c r="AS752" s="156"/>
      <c r="AT752" s="156"/>
      <c r="AU752" s="156"/>
      <c r="AV752" s="156"/>
      <c r="AW752" s="156"/>
      <c r="AX752" s="156"/>
    </row>
    <row r="753" spans="4:50">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c r="AA753" s="156"/>
      <c r="AB753" s="156"/>
      <c r="AC753" s="156"/>
      <c r="AD753" s="156"/>
      <c r="AE753" s="156"/>
      <c r="AF753" s="156"/>
      <c r="AG753" s="156"/>
      <c r="AH753" s="156"/>
      <c r="AI753" s="156"/>
      <c r="AJ753" s="156"/>
      <c r="AK753" s="156"/>
      <c r="AL753" s="156"/>
      <c r="AM753" s="156"/>
      <c r="AN753" s="156"/>
      <c r="AO753" s="156"/>
      <c r="AP753" s="156"/>
      <c r="AQ753" s="156"/>
      <c r="AR753" s="156"/>
      <c r="AS753" s="156"/>
      <c r="AT753" s="156"/>
      <c r="AU753" s="156"/>
      <c r="AV753" s="156"/>
      <c r="AW753" s="156"/>
      <c r="AX753" s="156"/>
    </row>
    <row r="754" spans="4:50">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c r="AA754" s="156"/>
      <c r="AB754" s="156"/>
      <c r="AC754" s="156"/>
      <c r="AD754" s="156"/>
      <c r="AE754" s="156"/>
      <c r="AF754" s="156"/>
      <c r="AG754" s="156"/>
      <c r="AH754" s="156"/>
      <c r="AI754" s="156"/>
      <c r="AJ754" s="156"/>
      <c r="AK754" s="156"/>
      <c r="AL754" s="156"/>
      <c r="AM754" s="156"/>
      <c r="AN754" s="156"/>
      <c r="AO754" s="156"/>
      <c r="AP754" s="156"/>
      <c r="AQ754" s="156"/>
      <c r="AR754" s="156"/>
      <c r="AS754" s="156"/>
      <c r="AT754" s="156"/>
      <c r="AU754" s="156"/>
      <c r="AV754" s="156"/>
      <c r="AW754" s="156"/>
      <c r="AX754" s="156"/>
    </row>
    <row r="755" spans="4:50">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c r="AA755" s="156"/>
      <c r="AB755" s="156"/>
      <c r="AC755" s="156"/>
      <c r="AD755" s="156"/>
      <c r="AE755" s="156"/>
      <c r="AF755" s="156"/>
      <c r="AG755" s="156"/>
      <c r="AH755" s="156"/>
      <c r="AI755" s="156"/>
      <c r="AJ755" s="156"/>
      <c r="AK755" s="156"/>
      <c r="AL755" s="156"/>
      <c r="AM755" s="156"/>
      <c r="AN755" s="156"/>
      <c r="AO755" s="156"/>
      <c r="AP755" s="156"/>
      <c r="AQ755" s="156"/>
      <c r="AR755" s="156"/>
      <c r="AS755" s="156"/>
      <c r="AT755" s="156"/>
      <c r="AU755" s="156"/>
      <c r="AV755" s="156"/>
      <c r="AW755" s="156"/>
      <c r="AX755" s="156"/>
    </row>
    <row r="756" spans="4:50">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c r="AA756" s="156"/>
      <c r="AB756" s="156"/>
      <c r="AC756" s="156"/>
      <c r="AD756" s="156"/>
      <c r="AE756" s="156"/>
      <c r="AF756" s="156"/>
      <c r="AG756" s="156"/>
      <c r="AH756" s="156"/>
      <c r="AI756" s="156"/>
      <c r="AJ756" s="156"/>
      <c r="AK756" s="156"/>
      <c r="AL756" s="156"/>
      <c r="AM756" s="156"/>
      <c r="AN756" s="156"/>
      <c r="AO756" s="156"/>
      <c r="AP756" s="156"/>
      <c r="AQ756" s="156"/>
      <c r="AR756" s="156"/>
      <c r="AS756" s="156"/>
      <c r="AT756" s="156"/>
      <c r="AU756" s="156"/>
      <c r="AV756" s="156"/>
      <c r="AW756" s="156"/>
      <c r="AX756" s="156"/>
    </row>
    <row r="757" spans="4:50">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c r="AA757" s="156"/>
      <c r="AB757" s="156"/>
      <c r="AC757" s="156"/>
      <c r="AD757" s="156"/>
      <c r="AE757" s="156"/>
      <c r="AF757" s="156"/>
      <c r="AG757" s="156"/>
      <c r="AH757" s="156"/>
      <c r="AI757" s="156"/>
      <c r="AJ757" s="156"/>
      <c r="AK757" s="156"/>
      <c r="AL757" s="156"/>
      <c r="AM757" s="156"/>
      <c r="AN757" s="156"/>
      <c r="AO757" s="156"/>
      <c r="AP757" s="156"/>
      <c r="AQ757" s="156"/>
      <c r="AR757" s="156"/>
      <c r="AS757" s="156"/>
      <c r="AT757" s="156"/>
      <c r="AU757" s="156"/>
      <c r="AV757" s="156"/>
      <c r="AW757" s="156"/>
      <c r="AX757" s="156"/>
    </row>
    <row r="758" spans="4:50">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c r="AA758" s="156"/>
      <c r="AB758" s="156"/>
      <c r="AC758" s="156"/>
      <c r="AD758" s="156"/>
      <c r="AE758" s="156"/>
      <c r="AF758" s="156"/>
      <c r="AG758" s="156"/>
      <c r="AH758" s="156"/>
      <c r="AI758" s="156"/>
      <c r="AJ758" s="156"/>
      <c r="AK758" s="156"/>
      <c r="AL758" s="156"/>
      <c r="AM758" s="156"/>
      <c r="AN758" s="156"/>
      <c r="AO758" s="156"/>
      <c r="AP758" s="156"/>
      <c r="AQ758" s="156"/>
      <c r="AR758" s="156"/>
      <c r="AS758" s="156"/>
      <c r="AT758" s="156"/>
      <c r="AU758" s="156"/>
      <c r="AV758" s="156"/>
      <c r="AW758" s="156"/>
      <c r="AX758" s="156"/>
    </row>
    <row r="759" spans="4:50">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c r="AA759" s="156"/>
      <c r="AB759" s="156"/>
      <c r="AC759" s="156"/>
      <c r="AD759" s="156"/>
      <c r="AE759" s="156"/>
      <c r="AF759" s="156"/>
      <c r="AG759" s="156"/>
      <c r="AH759" s="156"/>
      <c r="AI759" s="156"/>
      <c r="AJ759" s="156"/>
      <c r="AK759" s="156"/>
      <c r="AL759" s="156"/>
      <c r="AM759" s="156"/>
      <c r="AN759" s="156"/>
      <c r="AO759" s="156"/>
      <c r="AP759" s="156"/>
      <c r="AQ759" s="156"/>
      <c r="AR759" s="156"/>
      <c r="AS759" s="156"/>
      <c r="AT759" s="156"/>
      <c r="AU759" s="156"/>
      <c r="AV759" s="156"/>
      <c r="AW759" s="156"/>
      <c r="AX759" s="156"/>
    </row>
    <row r="760" spans="4:50">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c r="AC760" s="156"/>
      <c r="AD760" s="156"/>
      <c r="AE760" s="156"/>
      <c r="AF760" s="156"/>
      <c r="AG760" s="156"/>
      <c r="AH760" s="156"/>
      <c r="AI760" s="156"/>
      <c r="AJ760" s="156"/>
      <c r="AK760" s="156"/>
      <c r="AL760" s="156"/>
      <c r="AM760" s="156"/>
      <c r="AN760" s="156"/>
      <c r="AO760" s="156"/>
      <c r="AP760" s="156"/>
      <c r="AQ760" s="156"/>
      <c r="AR760" s="156"/>
      <c r="AS760" s="156"/>
      <c r="AT760" s="156"/>
      <c r="AU760" s="156"/>
      <c r="AV760" s="156"/>
      <c r="AW760" s="156"/>
      <c r="AX760" s="156"/>
    </row>
    <row r="761" spans="4:50">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c r="AC761" s="156"/>
      <c r="AD761" s="156"/>
      <c r="AE761" s="156"/>
      <c r="AF761" s="156"/>
      <c r="AG761" s="156"/>
      <c r="AH761" s="156"/>
      <c r="AI761" s="156"/>
      <c r="AJ761" s="156"/>
      <c r="AK761" s="156"/>
      <c r="AL761" s="156"/>
      <c r="AM761" s="156"/>
      <c r="AN761" s="156"/>
      <c r="AO761" s="156"/>
      <c r="AP761" s="156"/>
      <c r="AQ761" s="156"/>
      <c r="AR761" s="156"/>
      <c r="AS761" s="156"/>
      <c r="AT761" s="156"/>
      <c r="AU761" s="156"/>
      <c r="AV761" s="156"/>
      <c r="AW761" s="156"/>
      <c r="AX761" s="156"/>
    </row>
    <row r="762" spans="4:50">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c r="AC762" s="156"/>
      <c r="AD762" s="156"/>
      <c r="AE762" s="156"/>
      <c r="AF762" s="156"/>
      <c r="AG762" s="156"/>
      <c r="AH762" s="156"/>
      <c r="AI762" s="156"/>
      <c r="AJ762" s="156"/>
      <c r="AK762" s="156"/>
      <c r="AL762" s="156"/>
      <c r="AM762" s="156"/>
      <c r="AN762" s="156"/>
      <c r="AO762" s="156"/>
      <c r="AP762" s="156"/>
      <c r="AQ762" s="156"/>
      <c r="AR762" s="156"/>
      <c r="AS762" s="156"/>
      <c r="AT762" s="156"/>
      <c r="AU762" s="156"/>
      <c r="AV762" s="156"/>
      <c r="AW762" s="156"/>
      <c r="AX762" s="156"/>
    </row>
    <row r="763" spans="4:50">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c r="AA763" s="156"/>
      <c r="AB763" s="156"/>
      <c r="AC763" s="156"/>
      <c r="AD763" s="156"/>
      <c r="AE763" s="156"/>
      <c r="AF763" s="156"/>
      <c r="AG763" s="156"/>
      <c r="AH763" s="156"/>
      <c r="AI763" s="156"/>
      <c r="AJ763" s="156"/>
      <c r="AK763" s="156"/>
      <c r="AL763" s="156"/>
      <c r="AM763" s="156"/>
      <c r="AN763" s="156"/>
      <c r="AO763" s="156"/>
      <c r="AP763" s="156"/>
      <c r="AQ763" s="156"/>
      <c r="AR763" s="156"/>
      <c r="AS763" s="156"/>
      <c r="AT763" s="156"/>
      <c r="AU763" s="156"/>
      <c r="AV763" s="156"/>
      <c r="AW763" s="156"/>
      <c r="AX763" s="156"/>
    </row>
    <row r="764" spans="4:50">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c r="AA764" s="156"/>
      <c r="AB764" s="156"/>
      <c r="AC764" s="156"/>
      <c r="AD764" s="156"/>
      <c r="AE764" s="156"/>
      <c r="AF764" s="156"/>
      <c r="AG764" s="156"/>
      <c r="AH764" s="156"/>
      <c r="AI764" s="156"/>
      <c r="AJ764" s="156"/>
      <c r="AK764" s="156"/>
      <c r="AL764" s="156"/>
      <c r="AM764" s="156"/>
      <c r="AN764" s="156"/>
      <c r="AO764" s="156"/>
      <c r="AP764" s="156"/>
      <c r="AQ764" s="156"/>
      <c r="AR764" s="156"/>
      <c r="AS764" s="156"/>
      <c r="AT764" s="156"/>
      <c r="AU764" s="156"/>
      <c r="AV764" s="156"/>
      <c r="AW764" s="156"/>
      <c r="AX764" s="156"/>
    </row>
    <row r="765" spans="4:50">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c r="AA765" s="156"/>
      <c r="AB765" s="156"/>
      <c r="AC765" s="156"/>
      <c r="AD765" s="156"/>
      <c r="AE765" s="156"/>
      <c r="AF765" s="156"/>
      <c r="AG765" s="156"/>
      <c r="AH765" s="156"/>
      <c r="AI765" s="156"/>
      <c r="AJ765" s="156"/>
      <c r="AK765" s="156"/>
      <c r="AL765" s="156"/>
      <c r="AM765" s="156"/>
      <c r="AN765" s="156"/>
      <c r="AO765" s="156"/>
      <c r="AP765" s="156"/>
      <c r="AQ765" s="156"/>
      <c r="AR765" s="156"/>
      <c r="AS765" s="156"/>
      <c r="AT765" s="156"/>
      <c r="AU765" s="156"/>
      <c r="AV765" s="156"/>
      <c r="AW765" s="156"/>
      <c r="AX765" s="156"/>
    </row>
    <row r="766" spans="4:50">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c r="AA766" s="156"/>
      <c r="AB766" s="156"/>
      <c r="AC766" s="156"/>
      <c r="AD766" s="156"/>
      <c r="AE766" s="156"/>
      <c r="AF766" s="156"/>
      <c r="AG766" s="156"/>
      <c r="AH766" s="156"/>
      <c r="AI766" s="156"/>
      <c r="AJ766" s="156"/>
      <c r="AK766" s="156"/>
      <c r="AL766" s="156"/>
      <c r="AM766" s="156"/>
      <c r="AN766" s="156"/>
      <c r="AO766" s="156"/>
      <c r="AP766" s="156"/>
      <c r="AQ766" s="156"/>
      <c r="AR766" s="156"/>
      <c r="AS766" s="156"/>
      <c r="AT766" s="156"/>
      <c r="AU766" s="156"/>
      <c r="AV766" s="156"/>
      <c r="AW766" s="156"/>
      <c r="AX766" s="156"/>
    </row>
    <row r="767" spans="4:50">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c r="AA767" s="156"/>
      <c r="AB767" s="156"/>
      <c r="AC767" s="156"/>
      <c r="AD767" s="156"/>
      <c r="AE767" s="156"/>
      <c r="AF767" s="156"/>
      <c r="AG767" s="156"/>
      <c r="AH767" s="156"/>
      <c r="AI767" s="156"/>
      <c r="AJ767" s="156"/>
      <c r="AK767" s="156"/>
      <c r="AL767" s="156"/>
      <c r="AM767" s="156"/>
      <c r="AN767" s="156"/>
      <c r="AO767" s="156"/>
      <c r="AP767" s="156"/>
      <c r="AQ767" s="156"/>
      <c r="AR767" s="156"/>
      <c r="AS767" s="156"/>
      <c r="AT767" s="156"/>
      <c r="AU767" s="156"/>
      <c r="AV767" s="156"/>
      <c r="AW767" s="156"/>
      <c r="AX767" s="156"/>
    </row>
    <row r="768" spans="4:50">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c r="AA768" s="156"/>
      <c r="AB768" s="156"/>
      <c r="AC768" s="156"/>
      <c r="AD768" s="156"/>
      <c r="AE768" s="156"/>
      <c r="AF768" s="156"/>
      <c r="AG768" s="156"/>
      <c r="AH768" s="156"/>
      <c r="AI768" s="156"/>
      <c r="AJ768" s="156"/>
      <c r="AK768" s="156"/>
      <c r="AL768" s="156"/>
      <c r="AM768" s="156"/>
      <c r="AN768" s="156"/>
      <c r="AO768" s="156"/>
      <c r="AP768" s="156"/>
      <c r="AQ768" s="156"/>
      <c r="AR768" s="156"/>
      <c r="AS768" s="156"/>
      <c r="AT768" s="156"/>
      <c r="AU768" s="156"/>
      <c r="AV768" s="156"/>
      <c r="AW768" s="156"/>
      <c r="AX768" s="156"/>
    </row>
    <row r="769" spans="4:50">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c r="AA769" s="156"/>
      <c r="AB769" s="156"/>
      <c r="AC769" s="156"/>
      <c r="AD769" s="156"/>
      <c r="AE769" s="156"/>
      <c r="AF769" s="156"/>
      <c r="AG769" s="156"/>
      <c r="AH769" s="156"/>
      <c r="AI769" s="156"/>
      <c r="AJ769" s="156"/>
      <c r="AK769" s="156"/>
      <c r="AL769" s="156"/>
      <c r="AM769" s="156"/>
      <c r="AN769" s="156"/>
      <c r="AO769" s="156"/>
      <c r="AP769" s="156"/>
      <c r="AQ769" s="156"/>
      <c r="AR769" s="156"/>
      <c r="AS769" s="156"/>
      <c r="AT769" s="156"/>
      <c r="AU769" s="156"/>
      <c r="AV769" s="156"/>
      <c r="AW769" s="156"/>
      <c r="AX769" s="156"/>
    </row>
    <row r="770" spans="4:50">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c r="AA770" s="156"/>
      <c r="AB770" s="156"/>
      <c r="AC770" s="156"/>
      <c r="AD770" s="156"/>
      <c r="AE770" s="156"/>
      <c r="AF770" s="156"/>
      <c r="AG770" s="156"/>
      <c r="AH770" s="156"/>
      <c r="AI770" s="156"/>
      <c r="AJ770" s="156"/>
      <c r="AK770" s="156"/>
      <c r="AL770" s="156"/>
      <c r="AM770" s="156"/>
      <c r="AN770" s="156"/>
      <c r="AO770" s="156"/>
      <c r="AP770" s="156"/>
      <c r="AQ770" s="156"/>
      <c r="AR770" s="156"/>
      <c r="AS770" s="156"/>
      <c r="AT770" s="156"/>
      <c r="AU770" s="156"/>
      <c r="AV770" s="156"/>
      <c r="AW770" s="156"/>
      <c r="AX770" s="156"/>
    </row>
    <row r="771" spans="4:50">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c r="AA771" s="156"/>
      <c r="AB771" s="156"/>
      <c r="AC771" s="156"/>
      <c r="AD771" s="156"/>
      <c r="AE771" s="156"/>
      <c r="AF771" s="156"/>
      <c r="AG771" s="156"/>
      <c r="AH771" s="156"/>
      <c r="AI771" s="156"/>
      <c r="AJ771" s="156"/>
      <c r="AK771" s="156"/>
      <c r="AL771" s="156"/>
      <c r="AM771" s="156"/>
      <c r="AN771" s="156"/>
      <c r="AO771" s="156"/>
      <c r="AP771" s="156"/>
      <c r="AQ771" s="156"/>
      <c r="AR771" s="156"/>
      <c r="AS771" s="156"/>
      <c r="AT771" s="156"/>
      <c r="AU771" s="156"/>
      <c r="AV771" s="156"/>
      <c r="AW771" s="156"/>
      <c r="AX771" s="156"/>
    </row>
    <row r="772" spans="4:50">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c r="AA772" s="156"/>
      <c r="AB772" s="156"/>
      <c r="AC772" s="156"/>
      <c r="AD772" s="156"/>
      <c r="AE772" s="156"/>
      <c r="AF772" s="156"/>
      <c r="AG772" s="156"/>
      <c r="AH772" s="156"/>
      <c r="AI772" s="156"/>
      <c r="AJ772" s="156"/>
      <c r="AK772" s="156"/>
      <c r="AL772" s="156"/>
      <c r="AM772" s="156"/>
      <c r="AN772" s="156"/>
      <c r="AO772" s="156"/>
      <c r="AP772" s="156"/>
      <c r="AQ772" s="156"/>
      <c r="AR772" s="156"/>
      <c r="AS772" s="156"/>
      <c r="AT772" s="156"/>
      <c r="AU772" s="156"/>
      <c r="AV772" s="156"/>
      <c r="AW772" s="156"/>
      <c r="AX772" s="156"/>
    </row>
    <row r="773" spans="4:50">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c r="AA773" s="156"/>
      <c r="AB773" s="156"/>
      <c r="AC773" s="156"/>
      <c r="AD773" s="156"/>
      <c r="AE773" s="156"/>
      <c r="AF773" s="156"/>
      <c r="AG773" s="156"/>
      <c r="AH773" s="156"/>
      <c r="AI773" s="156"/>
      <c r="AJ773" s="156"/>
      <c r="AK773" s="156"/>
      <c r="AL773" s="156"/>
      <c r="AM773" s="156"/>
      <c r="AN773" s="156"/>
      <c r="AO773" s="156"/>
      <c r="AP773" s="156"/>
      <c r="AQ773" s="156"/>
      <c r="AR773" s="156"/>
      <c r="AS773" s="156"/>
      <c r="AT773" s="156"/>
      <c r="AU773" s="156"/>
      <c r="AV773" s="156"/>
      <c r="AW773" s="156"/>
      <c r="AX773" s="156"/>
    </row>
    <row r="774" spans="4:50">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c r="AA774" s="156"/>
      <c r="AB774" s="156"/>
      <c r="AC774" s="156"/>
      <c r="AD774" s="156"/>
      <c r="AE774" s="156"/>
      <c r="AF774" s="156"/>
      <c r="AG774" s="156"/>
      <c r="AH774" s="156"/>
      <c r="AI774" s="156"/>
      <c r="AJ774" s="156"/>
      <c r="AK774" s="156"/>
      <c r="AL774" s="156"/>
      <c r="AM774" s="156"/>
      <c r="AN774" s="156"/>
      <c r="AO774" s="156"/>
      <c r="AP774" s="156"/>
      <c r="AQ774" s="156"/>
      <c r="AR774" s="156"/>
      <c r="AS774" s="156"/>
      <c r="AT774" s="156"/>
      <c r="AU774" s="156"/>
      <c r="AV774" s="156"/>
      <c r="AW774" s="156"/>
      <c r="AX774" s="156"/>
    </row>
    <row r="775" spans="4:50">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c r="AA775" s="156"/>
      <c r="AB775" s="156"/>
      <c r="AC775" s="156"/>
      <c r="AD775" s="156"/>
      <c r="AE775" s="156"/>
      <c r="AF775" s="156"/>
      <c r="AG775" s="156"/>
      <c r="AH775" s="156"/>
      <c r="AI775" s="156"/>
      <c r="AJ775" s="156"/>
      <c r="AK775" s="156"/>
      <c r="AL775" s="156"/>
      <c r="AM775" s="156"/>
      <c r="AN775" s="156"/>
      <c r="AO775" s="156"/>
      <c r="AP775" s="156"/>
      <c r="AQ775" s="156"/>
      <c r="AR775" s="156"/>
      <c r="AS775" s="156"/>
      <c r="AT775" s="156"/>
      <c r="AU775" s="156"/>
      <c r="AV775" s="156"/>
      <c r="AW775" s="156"/>
      <c r="AX775" s="156"/>
    </row>
    <row r="776" spans="4:50">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c r="AA776" s="156"/>
      <c r="AB776" s="156"/>
      <c r="AC776" s="156"/>
      <c r="AD776" s="156"/>
      <c r="AE776" s="156"/>
      <c r="AF776" s="156"/>
      <c r="AG776" s="156"/>
      <c r="AH776" s="156"/>
      <c r="AI776" s="156"/>
      <c r="AJ776" s="156"/>
      <c r="AK776" s="156"/>
      <c r="AL776" s="156"/>
      <c r="AM776" s="156"/>
      <c r="AN776" s="156"/>
      <c r="AO776" s="156"/>
      <c r="AP776" s="156"/>
      <c r="AQ776" s="156"/>
      <c r="AR776" s="156"/>
      <c r="AS776" s="156"/>
      <c r="AT776" s="156"/>
      <c r="AU776" s="156"/>
      <c r="AV776" s="156"/>
      <c r="AW776" s="156"/>
      <c r="AX776" s="156"/>
    </row>
    <row r="777" spans="4:50">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c r="AA777" s="156"/>
      <c r="AB777" s="156"/>
      <c r="AC777" s="156"/>
      <c r="AD777" s="156"/>
      <c r="AE777" s="156"/>
      <c r="AF777" s="156"/>
      <c r="AG777" s="156"/>
      <c r="AH777" s="156"/>
      <c r="AI777" s="156"/>
      <c r="AJ777" s="156"/>
      <c r="AK777" s="156"/>
      <c r="AL777" s="156"/>
      <c r="AM777" s="156"/>
      <c r="AN777" s="156"/>
      <c r="AO777" s="156"/>
      <c r="AP777" s="156"/>
      <c r="AQ777" s="156"/>
      <c r="AR777" s="156"/>
      <c r="AS777" s="156"/>
      <c r="AT777" s="156"/>
      <c r="AU777" s="156"/>
      <c r="AV777" s="156"/>
      <c r="AW777" s="156"/>
      <c r="AX777" s="156"/>
    </row>
    <row r="778" spans="4:50">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c r="AA778" s="156"/>
      <c r="AB778" s="156"/>
      <c r="AC778" s="156"/>
      <c r="AD778" s="156"/>
      <c r="AE778" s="156"/>
      <c r="AF778" s="156"/>
      <c r="AG778" s="156"/>
      <c r="AH778" s="156"/>
      <c r="AI778" s="156"/>
      <c r="AJ778" s="156"/>
      <c r="AK778" s="156"/>
      <c r="AL778" s="156"/>
      <c r="AM778" s="156"/>
      <c r="AN778" s="156"/>
      <c r="AO778" s="156"/>
      <c r="AP778" s="156"/>
      <c r="AQ778" s="156"/>
      <c r="AR778" s="156"/>
      <c r="AS778" s="156"/>
      <c r="AT778" s="156"/>
      <c r="AU778" s="156"/>
      <c r="AV778" s="156"/>
      <c r="AW778" s="156"/>
      <c r="AX778" s="156"/>
    </row>
    <row r="779" spans="4:50">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c r="AA779" s="156"/>
      <c r="AB779" s="156"/>
      <c r="AC779" s="156"/>
      <c r="AD779" s="156"/>
      <c r="AE779" s="156"/>
      <c r="AF779" s="156"/>
      <c r="AG779" s="156"/>
      <c r="AH779" s="156"/>
      <c r="AI779" s="156"/>
      <c r="AJ779" s="156"/>
      <c r="AK779" s="156"/>
      <c r="AL779" s="156"/>
      <c r="AM779" s="156"/>
      <c r="AN779" s="156"/>
      <c r="AO779" s="156"/>
      <c r="AP779" s="156"/>
      <c r="AQ779" s="156"/>
      <c r="AR779" s="156"/>
      <c r="AS779" s="156"/>
      <c r="AT779" s="156"/>
      <c r="AU779" s="156"/>
      <c r="AV779" s="156"/>
      <c r="AW779" s="156"/>
      <c r="AX779" s="156"/>
    </row>
    <row r="780" spans="4:50">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c r="AA780" s="156"/>
      <c r="AB780" s="156"/>
      <c r="AC780" s="156"/>
      <c r="AD780" s="156"/>
      <c r="AE780" s="156"/>
      <c r="AF780" s="156"/>
      <c r="AG780" s="156"/>
      <c r="AH780" s="156"/>
      <c r="AI780" s="156"/>
      <c r="AJ780" s="156"/>
      <c r="AK780" s="156"/>
      <c r="AL780" s="156"/>
      <c r="AM780" s="156"/>
      <c r="AN780" s="156"/>
      <c r="AO780" s="156"/>
      <c r="AP780" s="156"/>
      <c r="AQ780" s="156"/>
      <c r="AR780" s="156"/>
      <c r="AS780" s="156"/>
      <c r="AT780" s="156"/>
      <c r="AU780" s="156"/>
      <c r="AV780" s="156"/>
      <c r="AW780" s="156"/>
      <c r="AX780" s="156"/>
    </row>
    <row r="781" spans="4:50">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c r="AA781" s="156"/>
      <c r="AB781" s="156"/>
      <c r="AC781" s="156"/>
      <c r="AD781" s="156"/>
      <c r="AE781" s="156"/>
      <c r="AF781" s="156"/>
      <c r="AG781" s="156"/>
      <c r="AH781" s="156"/>
      <c r="AI781" s="156"/>
      <c r="AJ781" s="156"/>
      <c r="AK781" s="156"/>
      <c r="AL781" s="156"/>
      <c r="AM781" s="156"/>
      <c r="AN781" s="156"/>
      <c r="AO781" s="156"/>
      <c r="AP781" s="156"/>
      <c r="AQ781" s="156"/>
      <c r="AR781" s="156"/>
      <c r="AS781" s="156"/>
      <c r="AT781" s="156"/>
      <c r="AU781" s="156"/>
      <c r="AV781" s="156"/>
      <c r="AW781" s="156"/>
      <c r="AX781" s="156"/>
    </row>
    <row r="782" spans="4:50">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c r="AA782" s="156"/>
      <c r="AB782" s="156"/>
      <c r="AC782" s="156"/>
      <c r="AD782" s="156"/>
      <c r="AE782" s="156"/>
      <c r="AF782" s="156"/>
      <c r="AG782" s="156"/>
      <c r="AH782" s="156"/>
      <c r="AI782" s="156"/>
      <c r="AJ782" s="156"/>
      <c r="AK782" s="156"/>
      <c r="AL782" s="156"/>
      <c r="AM782" s="156"/>
      <c r="AN782" s="156"/>
      <c r="AO782" s="156"/>
      <c r="AP782" s="156"/>
      <c r="AQ782" s="156"/>
      <c r="AR782" s="156"/>
      <c r="AS782" s="156"/>
      <c r="AT782" s="156"/>
      <c r="AU782" s="156"/>
      <c r="AV782" s="156"/>
      <c r="AW782" s="156"/>
      <c r="AX782" s="156"/>
    </row>
    <row r="783" spans="4:50">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c r="AA783" s="156"/>
      <c r="AB783" s="156"/>
      <c r="AC783" s="156"/>
      <c r="AD783" s="156"/>
      <c r="AE783" s="156"/>
      <c r="AF783" s="156"/>
      <c r="AG783" s="156"/>
      <c r="AH783" s="156"/>
      <c r="AI783" s="156"/>
      <c r="AJ783" s="156"/>
      <c r="AK783" s="156"/>
      <c r="AL783" s="156"/>
      <c r="AM783" s="156"/>
      <c r="AN783" s="156"/>
      <c r="AO783" s="156"/>
      <c r="AP783" s="156"/>
      <c r="AQ783" s="156"/>
      <c r="AR783" s="156"/>
      <c r="AS783" s="156"/>
      <c r="AT783" s="156"/>
      <c r="AU783" s="156"/>
      <c r="AV783" s="156"/>
      <c r="AW783" s="156"/>
      <c r="AX783" s="156"/>
    </row>
    <row r="784" spans="4:50">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c r="AA784" s="156"/>
      <c r="AB784" s="156"/>
      <c r="AC784" s="156"/>
      <c r="AD784" s="156"/>
      <c r="AE784" s="156"/>
      <c r="AF784" s="156"/>
      <c r="AG784" s="156"/>
      <c r="AH784" s="156"/>
      <c r="AI784" s="156"/>
      <c r="AJ784" s="156"/>
      <c r="AK784" s="156"/>
      <c r="AL784" s="156"/>
      <c r="AM784" s="156"/>
      <c r="AN784" s="156"/>
      <c r="AO784" s="156"/>
      <c r="AP784" s="156"/>
      <c r="AQ784" s="156"/>
      <c r="AR784" s="156"/>
      <c r="AS784" s="156"/>
      <c r="AT784" s="156"/>
      <c r="AU784" s="156"/>
      <c r="AV784" s="156"/>
      <c r="AW784" s="156"/>
      <c r="AX784" s="156"/>
    </row>
    <row r="785" spans="4:50">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c r="AA785" s="156"/>
      <c r="AB785" s="156"/>
      <c r="AC785" s="156"/>
      <c r="AD785" s="156"/>
      <c r="AE785" s="156"/>
      <c r="AF785" s="156"/>
      <c r="AG785" s="156"/>
      <c r="AH785" s="156"/>
      <c r="AI785" s="156"/>
      <c r="AJ785" s="156"/>
      <c r="AK785" s="156"/>
      <c r="AL785" s="156"/>
      <c r="AM785" s="156"/>
      <c r="AN785" s="156"/>
      <c r="AO785" s="156"/>
      <c r="AP785" s="156"/>
      <c r="AQ785" s="156"/>
      <c r="AR785" s="156"/>
      <c r="AS785" s="156"/>
      <c r="AT785" s="156"/>
      <c r="AU785" s="156"/>
      <c r="AV785" s="156"/>
      <c r="AW785" s="156"/>
      <c r="AX785" s="156"/>
    </row>
    <row r="786" spans="4:50">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c r="AA786" s="156"/>
      <c r="AB786" s="156"/>
      <c r="AC786" s="156"/>
      <c r="AD786" s="156"/>
      <c r="AE786" s="156"/>
      <c r="AF786" s="156"/>
      <c r="AG786" s="156"/>
      <c r="AH786" s="156"/>
      <c r="AI786" s="156"/>
      <c r="AJ786" s="156"/>
      <c r="AK786" s="156"/>
      <c r="AL786" s="156"/>
      <c r="AM786" s="156"/>
      <c r="AN786" s="156"/>
      <c r="AO786" s="156"/>
      <c r="AP786" s="156"/>
      <c r="AQ786" s="156"/>
      <c r="AR786" s="156"/>
      <c r="AS786" s="156"/>
      <c r="AT786" s="156"/>
      <c r="AU786" s="156"/>
      <c r="AV786" s="156"/>
      <c r="AW786" s="156"/>
      <c r="AX786" s="156"/>
    </row>
    <row r="787" spans="4:50">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c r="AC787" s="156"/>
      <c r="AD787" s="156"/>
      <c r="AE787" s="156"/>
      <c r="AF787" s="156"/>
      <c r="AG787" s="156"/>
      <c r="AH787" s="156"/>
      <c r="AI787" s="156"/>
      <c r="AJ787" s="156"/>
      <c r="AK787" s="156"/>
      <c r="AL787" s="156"/>
      <c r="AM787" s="156"/>
      <c r="AN787" s="156"/>
      <c r="AO787" s="156"/>
      <c r="AP787" s="156"/>
      <c r="AQ787" s="156"/>
      <c r="AR787" s="156"/>
      <c r="AS787" s="156"/>
      <c r="AT787" s="156"/>
      <c r="AU787" s="156"/>
      <c r="AV787" s="156"/>
      <c r="AW787" s="156"/>
      <c r="AX787" s="156"/>
    </row>
    <row r="788" spans="4:50">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c r="AA788" s="156"/>
      <c r="AB788" s="156"/>
      <c r="AC788" s="156"/>
      <c r="AD788" s="156"/>
      <c r="AE788" s="156"/>
      <c r="AF788" s="156"/>
      <c r="AG788" s="156"/>
      <c r="AH788" s="156"/>
      <c r="AI788" s="156"/>
      <c r="AJ788" s="156"/>
      <c r="AK788" s="156"/>
      <c r="AL788" s="156"/>
      <c r="AM788" s="156"/>
      <c r="AN788" s="156"/>
      <c r="AO788" s="156"/>
      <c r="AP788" s="156"/>
      <c r="AQ788" s="156"/>
      <c r="AR788" s="156"/>
      <c r="AS788" s="156"/>
      <c r="AT788" s="156"/>
      <c r="AU788" s="156"/>
      <c r="AV788" s="156"/>
      <c r="AW788" s="156"/>
      <c r="AX788" s="156"/>
    </row>
    <row r="789" spans="4:50">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c r="AA789" s="156"/>
      <c r="AB789" s="156"/>
      <c r="AC789" s="156"/>
      <c r="AD789" s="156"/>
      <c r="AE789" s="156"/>
      <c r="AF789" s="156"/>
      <c r="AG789" s="156"/>
      <c r="AH789" s="156"/>
      <c r="AI789" s="156"/>
      <c r="AJ789" s="156"/>
      <c r="AK789" s="156"/>
      <c r="AL789" s="156"/>
      <c r="AM789" s="156"/>
      <c r="AN789" s="156"/>
      <c r="AO789" s="156"/>
      <c r="AP789" s="156"/>
      <c r="AQ789" s="156"/>
      <c r="AR789" s="156"/>
      <c r="AS789" s="156"/>
      <c r="AT789" s="156"/>
      <c r="AU789" s="156"/>
      <c r="AV789" s="156"/>
      <c r="AW789" s="156"/>
      <c r="AX789" s="156"/>
    </row>
    <row r="790" spans="4:50">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c r="AA790" s="156"/>
      <c r="AB790" s="156"/>
      <c r="AC790" s="156"/>
      <c r="AD790" s="156"/>
      <c r="AE790" s="156"/>
      <c r="AF790" s="156"/>
      <c r="AG790" s="156"/>
      <c r="AH790" s="156"/>
      <c r="AI790" s="156"/>
      <c r="AJ790" s="156"/>
      <c r="AK790" s="156"/>
      <c r="AL790" s="156"/>
      <c r="AM790" s="156"/>
      <c r="AN790" s="156"/>
      <c r="AO790" s="156"/>
      <c r="AP790" s="156"/>
      <c r="AQ790" s="156"/>
      <c r="AR790" s="156"/>
      <c r="AS790" s="156"/>
      <c r="AT790" s="156"/>
      <c r="AU790" s="156"/>
      <c r="AV790" s="156"/>
      <c r="AW790" s="156"/>
      <c r="AX790" s="156"/>
    </row>
    <row r="791" spans="4:50">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c r="AA791" s="156"/>
      <c r="AB791" s="156"/>
      <c r="AC791" s="156"/>
      <c r="AD791" s="156"/>
      <c r="AE791" s="156"/>
      <c r="AF791" s="156"/>
      <c r="AG791" s="156"/>
      <c r="AH791" s="156"/>
      <c r="AI791" s="156"/>
      <c r="AJ791" s="156"/>
      <c r="AK791" s="156"/>
      <c r="AL791" s="156"/>
      <c r="AM791" s="156"/>
      <c r="AN791" s="156"/>
      <c r="AO791" s="156"/>
      <c r="AP791" s="156"/>
      <c r="AQ791" s="156"/>
      <c r="AR791" s="156"/>
      <c r="AS791" s="156"/>
      <c r="AT791" s="156"/>
      <c r="AU791" s="156"/>
      <c r="AV791" s="156"/>
      <c r="AW791" s="156"/>
      <c r="AX791" s="156"/>
    </row>
    <row r="792" spans="4:50">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c r="AA792" s="156"/>
      <c r="AB792" s="156"/>
      <c r="AC792" s="156"/>
      <c r="AD792" s="156"/>
      <c r="AE792" s="156"/>
      <c r="AF792" s="156"/>
      <c r="AG792" s="156"/>
      <c r="AH792" s="156"/>
      <c r="AI792" s="156"/>
      <c r="AJ792" s="156"/>
      <c r="AK792" s="156"/>
      <c r="AL792" s="156"/>
      <c r="AM792" s="156"/>
      <c r="AN792" s="156"/>
      <c r="AO792" s="156"/>
      <c r="AP792" s="156"/>
      <c r="AQ792" s="156"/>
      <c r="AR792" s="156"/>
      <c r="AS792" s="156"/>
      <c r="AT792" s="156"/>
      <c r="AU792" s="156"/>
      <c r="AV792" s="156"/>
      <c r="AW792" s="156"/>
      <c r="AX792" s="156"/>
    </row>
    <row r="793" spans="4:50">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c r="AA793" s="156"/>
      <c r="AB793" s="156"/>
      <c r="AC793" s="156"/>
      <c r="AD793" s="156"/>
      <c r="AE793" s="156"/>
      <c r="AF793" s="156"/>
      <c r="AG793" s="156"/>
      <c r="AH793" s="156"/>
      <c r="AI793" s="156"/>
      <c r="AJ793" s="156"/>
      <c r="AK793" s="156"/>
      <c r="AL793" s="156"/>
      <c r="AM793" s="156"/>
      <c r="AN793" s="156"/>
      <c r="AO793" s="156"/>
      <c r="AP793" s="156"/>
      <c r="AQ793" s="156"/>
      <c r="AR793" s="156"/>
      <c r="AS793" s="156"/>
      <c r="AT793" s="156"/>
      <c r="AU793" s="156"/>
      <c r="AV793" s="156"/>
      <c r="AW793" s="156"/>
      <c r="AX793" s="156"/>
    </row>
    <row r="794" spans="4:50">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c r="AA794" s="156"/>
      <c r="AB794" s="156"/>
      <c r="AC794" s="156"/>
      <c r="AD794" s="156"/>
      <c r="AE794" s="156"/>
      <c r="AF794" s="156"/>
      <c r="AG794" s="156"/>
      <c r="AH794" s="156"/>
      <c r="AI794" s="156"/>
      <c r="AJ794" s="156"/>
      <c r="AK794" s="156"/>
      <c r="AL794" s="156"/>
      <c r="AM794" s="156"/>
      <c r="AN794" s="156"/>
      <c r="AO794" s="156"/>
      <c r="AP794" s="156"/>
      <c r="AQ794" s="156"/>
      <c r="AR794" s="156"/>
      <c r="AS794" s="156"/>
      <c r="AT794" s="156"/>
      <c r="AU794" s="156"/>
      <c r="AV794" s="156"/>
      <c r="AW794" s="156"/>
      <c r="AX794" s="156"/>
    </row>
    <row r="795" spans="4:50">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c r="AA795" s="156"/>
      <c r="AB795" s="156"/>
      <c r="AC795" s="156"/>
      <c r="AD795" s="156"/>
      <c r="AE795" s="156"/>
      <c r="AF795" s="156"/>
      <c r="AG795" s="156"/>
      <c r="AH795" s="156"/>
      <c r="AI795" s="156"/>
      <c r="AJ795" s="156"/>
      <c r="AK795" s="156"/>
      <c r="AL795" s="156"/>
      <c r="AM795" s="156"/>
      <c r="AN795" s="156"/>
      <c r="AO795" s="156"/>
      <c r="AP795" s="156"/>
      <c r="AQ795" s="156"/>
      <c r="AR795" s="156"/>
      <c r="AS795" s="156"/>
      <c r="AT795" s="156"/>
      <c r="AU795" s="156"/>
      <c r="AV795" s="156"/>
      <c r="AW795" s="156"/>
      <c r="AX795" s="156"/>
    </row>
    <row r="796" spans="4:50">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c r="AA796" s="156"/>
      <c r="AB796" s="156"/>
      <c r="AC796" s="156"/>
      <c r="AD796" s="156"/>
      <c r="AE796" s="156"/>
      <c r="AF796" s="156"/>
      <c r="AG796" s="156"/>
      <c r="AH796" s="156"/>
      <c r="AI796" s="156"/>
      <c r="AJ796" s="156"/>
      <c r="AK796" s="156"/>
      <c r="AL796" s="156"/>
      <c r="AM796" s="156"/>
      <c r="AN796" s="156"/>
      <c r="AO796" s="156"/>
      <c r="AP796" s="156"/>
      <c r="AQ796" s="156"/>
      <c r="AR796" s="156"/>
      <c r="AS796" s="156"/>
      <c r="AT796" s="156"/>
      <c r="AU796" s="156"/>
      <c r="AV796" s="156"/>
      <c r="AW796" s="156"/>
      <c r="AX796" s="156"/>
    </row>
    <row r="797" spans="4:50">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c r="AA797" s="156"/>
      <c r="AB797" s="156"/>
      <c r="AC797" s="156"/>
      <c r="AD797" s="156"/>
      <c r="AE797" s="156"/>
      <c r="AF797" s="156"/>
      <c r="AG797" s="156"/>
      <c r="AH797" s="156"/>
      <c r="AI797" s="156"/>
      <c r="AJ797" s="156"/>
      <c r="AK797" s="156"/>
      <c r="AL797" s="156"/>
      <c r="AM797" s="156"/>
      <c r="AN797" s="156"/>
      <c r="AO797" s="156"/>
      <c r="AP797" s="156"/>
      <c r="AQ797" s="156"/>
      <c r="AR797" s="156"/>
      <c r="AS797" s="156"/>
      <c r="AT797" s="156"/>
      <c r="AU797" s="156"/>
      <c r="AV797" s="156"/>
      <c r="AW797" s="156"/>
      <c r="AX797" s="156"/>
    </row>
    <row r="798" spans="4:50">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c r="AA798" s="156"/>
      <c r="AB798" s="156"/>
      <c r="AC798" s="156"/>
      <c r="AD798" s="156"/>
      <c r="AE798" s="156"/>
      <c r="AF798" s="156"/>
      <c r="AG798" s="156"/>
      <c r="AH798" s="156"/>
      <c r="AI798" s="156"/>
      <c r="AJ798" s="156"/>
      <c r="AK798" s="156"/>
      <c r="AL798" s="156"/>
      <c r="AM798" s="156"/>
      <c r="AN798" s="156"/>
      <c r="AO798" s="156"/>
      <c r="AP798" s="156"/>
      <c r="AQ798" s="156"/>
      <c r="AR798" s="156"/>
      <c r="AS798" s="156"/>
      <c r="AT798" s="156"/>
      <c r="AU798" s="156"/>
      <c r="AV798" s="156"/>
      <c r="AW798" s="156"/>
      <c r="AX798" s="156"/>
    </row>
    <row r="799" spans="4:50">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c r="AA799" s="156"/>
      <c r="AB799" s="156"/>
      <c r="AC799" s="156"/>
      <c r="AD799" s="156"/>
      <c r="AE799" s="156"/>
      <c r="AF799" s="156"/>
      <c r="AG799" s="156"/>
      <c r="AH799" s="156"/>
      <c r="AI799" s="156"/>
      <c r="AJ799" s="156"/>
      <c r="AK799" s="156"/>
      <c r="AL799" s="156"/>
      <c r="AM799" s="156"/>
      <c r="AN799" s="156"/>
      <c r="AO799" s="156"/>
      <c r="AP799" s="156"/>
      <c r="AQ799" s="156"/>
      <c r="AR799" s="156"/>
      <c r="AS799" s="156"/>
      <c r="AT799" s="156"/>
      <c r="AU799" s="156"/>
      <c r="AV799" s="156"/>
      <c r="AW799" s="156"/>
      <c r="AX799" s="156"/>
    </row>
    <row r="800" spans="4:50">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c r="AA800" s="156"/>
      <c r="AB800" s="156"/>
      <c r="AC800" s="156"/>
      <c r="AD800" s="156"/>
      <c r="AE800" s="156"/>
      <c r="AF800" s="156"/>
      <c r="AG800" s="156"/>
      <c r="AH800" s="156"/>
      <c r="AI800" s="156"/>
      <c r="AJ800" s="156"/>
      <c r="AK800" s="156"/>
      <c r="AL800" s="156"/>
      <c r="AM800" s="156"/>
      <c r="AN800" s="156"/>
      <c r="AO800" s="156"/>
      <c r="AP800" s="156"/>
      <c r="AQ800" s="156"/>
      <c r="AR800" s="156"/>
      <c r="AS800" s="156"/>
      <c r="AT800" s="156"/>
      <c r="AU800" s="156"/>
      <c r="AV800" s="156"/>
      <c r="AW800" s="156"/>
      <c r="AX800" s="156"/>
    </row>
    <row r="801" spans="4:50">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c r="AA801" s="156"/>
      <c r="AB801" s="156"/>
      <c r="AC801" s="156"/>
      <c r="AD801" s="156"/>
      <c r="AE801" s="156"/>
      <c r="AF801" s="156"/>
      <c r="AG801" s="156"/>
      <c r="AH801" s="156"/>
      <c r="AI801" s="156"/>
      <c r="AJ801" s="156"/>
      <c r="AK801" s="156"/>
      <c r="AL801" s="156"/>
      <c r="AM801" s="156"/>
      <c r="AN801" s="156"/>
      <c r="AO801" s="156"/>
      <c r="AP801" s="156"/>
      <c r="AQ801" s="156"/>
      <c r="AR801" s="156"/>
      <c r="AS801" s="156"/>
      <c r="AT801" s="156"/>
      <c r="AU801" s="156"/>
      <c r="AV801" s="156"/>
      <c r="AW801" s="156"/>
      <c r="AX801" s="156"/>
    </row>
    <row r="802" spans="4:50">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c r="AA802" s="156"/>
      <c r="AB802" s="156"/>
      <c r="AC802" s="156"/>
      <c r="AD802" s="156"/>
      <c r="AE802" s="156"/>
      <c r="AF802" s="156"/>
      <c r="AG802" s="156"/>
      <c r="AH802" s="156"/>
      <c r="AI802" s="156"/>
      <c r="AJ802" s="156"/>
      <c r="AK802" s="156"/>
      <c r="AL802" s="156"/>
      <c r="AM802" s="156"/>
      <c r="AN802" s="156"/>
      <c r="AO802" s="156"/>
      <c r="AP802" s="156"/>
      <c r="AQ802" s="156"/>
      <c r="AR802" s="156"/>
      <c r="AS802" s="156"/>
      <c r="AT802" s="156"/>
      <c r="AU802" s="156"/>
      <c r="AV802" s="156"/>
      <c r="AW802" s="156"/>
      <c r="AX802" s="156"/>
    </row>
    <row r="803" spans="4:50">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c r="AA803" s="156"/>
      <c r="AB803" s="156"/>
      <c r="AC803" s="156"/>
      <c r="AD803" s="156"/>
      <c r="AE803" s="156"/>
      <c r="AF803" s="156"/>
      <c r="AG803" s="156"/>
      <c r="AH803" s="156"/>
      <c r="AI803" s="156"/>
      <c r="AJ803" s="156"/>
      <c r="AK803" s="156"/>
      <c r="AL803" s="156"/>
      <c r="AM803" s="156"/>
      <c r="AN803" s="156"/>
      <c r="AO803" s="156"/>
      <c r="AP803" s="156"/>
      <c r="AQ803" s="156"/>
      <c r="AR803" s="156"/>
      <c r="AS803" s="156"/>
      <c r="AT803" s="156"/>
      <c r="AU803" s="156"/>
      <c r="AV803" s="156"/>
      <c r="AW803" s="156"/>
      <c r="AX803" s="156"/>
    </row>
    <row r="804" spans="4:50">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c r="AA804" s="156"/>
      <c r="AB804" s="156"/>
      <c r="AC804" s="156"/>
      <c r="AD804" s="156"/>
      <c r="AE804" s="156"/>
      <c r="AF804" s="156"/>
      <c r="AG804" s="156"/>
      <c r="AH804" s="156"/>
      <c r="AI804" s="156"/>
      <c r="AJ804" s="156"/>
      <c r="AK804" s="156"/>
      <c r="AL804" s="156"/>
      <c r="AM804" s="156"/>
      <c r="AN804" s="156"/>
      <c r="AO804" s="156"/>
      <c r="AP804" s="156"/>
      <c r="AQ804" s="156"/>
      <c r="AR804" s="156"/>
      <c r="AS804" s="156"/>
      <c r="AT804" s="156"/>
      <c r="AU804" s="156"/>
      <c r="AV804" s="156"/>
      <c r="AW804" s="156"/>
      <c r="AX804" s="156"/>
    </row>
    <row r="805" spans="4:50">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c r="AA805" s="156"/>
      <c r="AB805" s="156"/>
      <c r="AC805" s="156"/>
      <c r="AD805" s="156"/>
      <c r="AE805" s="156"/>
      <c r="AF805" s="156"/>
      <c r="AG805" s="156"/>
      <c r="AH805" s="156"/>
      <c r="AI805" s="156"/>
      <c r="AJ805" s="156"/>
      <c r="AK805" s="156"/>
      <c r="AL805" s="156"/>
      <c r="AM805" s="156"/>
      <c r="AN805" s="156"/>
      <c r="AO805" s="156"/>
      <c r="AP805" s="156"/>
      <c r="AQ805" s="156"/>
      <c r="AR805" s="156"/>
      <c r="AS805" s="156"/>
      <c r="AT805" s="156"/>
      <c r="AU805" s="156"/>
      <c r="AV805" s="156"/>
      <c r="AW805" s="156"/>
      <c r="AX805" s="156"/>
    </row>
    <row r="806" spans="4:50">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c r="AA806" s="156"/>
      <c r="AB806" s="156"/>
      <c r="AC806" s="156"/>
      <c r="AD806" s="156"/>
      <c r="AE806" s="156"/>
      <c r="AF806" s="156"/>
      <c r="AG806" s="156"/>
      <c r="AH806" s="156"/>
      <c r="AI806" s="156"/>
      <c r="AJ806" s="156"/>
      <c r="AK806" s="156"/>
      <c r="AL806" s="156"/>
      <c r="AM806" s="156"/>
      <c r="AN806" s="156"/>
      <c r="AO806" s="156"/>
      <c r="AP806" s="156"/>
      <c r="AQ806" s="156"/>
      <c r="AR806" s="156"/>
      <c r="AS806" s="156"/>
      <c r="AT806" s="156"/>
      <c r="AU806" s="156"/>
      <c r="AV806" s="156"/>
      <c r="AW806" s="156"/>
      <c r="AX806" s="156"/>
    </row>
    <row r="807" spans="4:50">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c r="AA807" s="156"/>
      <c r="AB807" s="156"/>
      <c r="AC807" s="156"/>
      <c r="AD807" s="156"/>
      <c r="AE807" s="156"/>
      <c r="AF807" s="156"/>
      <c r="AG807" s="156"/>
      <c r="AH807" s="156"/>
      <c r="AI807" s="156"/>
      <c r="AJ807" s="156"/>
      <c r="AK807" s="156"/>
      <c r="AL807" s="156"/>
      <c r="AM807" s="156"/>
      <c r="AN807" s="156"/>
      <c r="AO807" s="156"/>
      <c r="AP807" s="156"/>
      <c r="AQ807" s="156"/>
      <c r="AR807" s="156"/>
      <c r="AS807" s="156"/>
      <c r="AT807" s="156"/>
      <c r="AU807" s="156"/>
      <c r="AV807" s="156"/>
      <c r="AW807" s="156"/>
      <c r="AX807" s="156"/>
    </row>
    <row r="808" spans="4:50">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c r="AA808" s="156"/>
      <c r="AB808" s="156"/>
      <c r="AC808" s="156"/>
      <c r="AD808" s="156"/>
      <c r="AE808" s="156"/>
      <c r="AF808" s="156"/>
      <c r="AG808" s="156"/>
      <c r="AH808" s="156"/>
      <c r="AI808" s="156"/>
      <c r="AJ808" s="156"/>
      <c r="AK808" s="156"/>
      <c r="AL808" s="156"/>
      <c r="AM808" s="156"/>
      <c r="AN808" s="156"/>
      <c r="AO808" s="156"/>
      <c r="AP808" s="156"/>
      <c r="AQ808" s="156"/>
      <c r="AR808" s="156"/>
      <c r="AS808" s="156"/>
      <c r="AT808" s="156"/>
      <c r="AU808" s="156"/>
      <c r="AV808" s="156"/>
      <c r="AW808" s="156"/>
      <c r="AX808" s="156"/>
    </row>
    <row r="809" spans="4:50">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c r="AA809" s="156"/>
      <c r="AB809" s="156"/>
      <c r="AC809" s="156"/>
      <c r="AD809" s="156"/>
      <c r="AE809" s="156"/>
      <c r="AF809" s="156"/>
      <c r="AG809" s="156"/>
      <c r="AH809" s="156"/>
      <c r="AI809" s="156"/>
      <c r="AJ809" s="156"/>
      <c r="AK809" s="156"/>
      <c r="AL809" s="156"/>
      <c r="AM809" s="156"/>
      <c r="AN809" s="156"/>
      <c r="AO809" s="156"/>
      <c r="AP809" s="156"/>
      <c r="AQ809" s="156"/>
      <c r="AR809" s="156"/>
      <c r="AS809" s="156"/>
      <c r="AT809" s="156"/>
      <c r="AU809" s="156"/>
      <c r="AV809" s="156"/>
      <c r="AW809" s="156"/>
      <c r="AX809" s="156"/>
    </row>
    <row r="810" spans="4:50">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c r="AA810" s="156"/>
      <c r="AB810" s="156"/>
      <c r="AC810" s="156"/>
      <c r="AD810" s="156"/>
      <c r="AE810" s="156"/>
      <c r="AF810" s="156"/>
      <c r="AG810" s="156"/>
      <c r="AH810" s="156"/>
      <c r="AI810" s="156"/>
      <c r="AJ810" s="156"/>
      <c r="AK810" s="156"/>
      <c r="AL810" s="156"/>
      <c r="AM810" s="156"/>
      <c r="AN810" s="156"/>
      <c r="AO810" s="156"/>
      <c r="AP810" s="156"/>
      <c r="AQ810" s="156"/>
      <c r="AR810" s="156"/>
      <c r="AS810" s="156"/>
      <c r="AT810" s="156"/>
      <c r="AU810" s="156"/>
      <c r="AV810" s="156"/>
      <c r="AW810" s="156"/>
      <c r="AX810" s="156"/>
    </row>
    <row r="811" spans="4:50">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c r="AA811" s="156"/>
      <c r="AB811" s="156"/>
      <c r="AC811" s="156"/>
      <c r="AD811" s="156"/>
      <c r="AE811" s="156"/>
      <c r="AF811" s="156"/>
      <c r="AG811" s="156"/>
      <c r="AH811" s="156"/>
      <c r="AI811" s="156"/>
      <c r="AJ811" s="156"/>
      <c r="AK811" s="156"/>
      <c r="AL811" s="156"/>
      <c r="AM811" s="156"/>
      <c r="AN811" s="156"/>
      <c r="AO811" s="156"/>
      <c r="AP811" s="156"/>
      <c r="AQ811" s="156"/>
      <c r="AR811" s="156"/>
      <c r="AS811" s="156"/>
      <c r="AT811" s="156"/>
      <c r="AU811" s="156"/>
      <c r="AV811" s="156"/>
      <c r="AW811" s="156"/>
      <c r="AX811" s="156"/>
    </row>
    <row r="812" spans="4:50">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c r="AA812" s="156"/>
      <c r="AB812" s="156"/>
      <c r="AC812" s="156"/>
      <c r="AD812" s="156"/>
      <c r="AE812" s="156"/>
      <c r="AF812" s="156"/>
      <c r="AG812" s="156"/>
      <c r="AH812" s="156"/>
      <c r="AI812" s="156"/>
      <c r="AJ812" s="156"/>
      <c r="AK812" s="156"/>
      <c r="AL812" s="156"/>
      <c r="AM812" s="156"/>
      <c r="AN812" s="156"/>
      <c r="AO812" s="156"/>
      <c r="AP812" s="156"/>
      <c r="AQ812" s="156"/>
      <c r="AR812" s="156"/>
      <c r="AS812" s="156"/>
      <c r="AT812" s="156"/>
      <c r="AU812" s="156"/>
      <c r="AV812" s="156"/>
      <c r="AW812" s="156"/>
      <c r="AX812" s="156"/>
    </row>
    <row r="813" spans="4:50">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c r="AA813" s="156"/>
      <c r="AB813" s="156"/>
      <c r="AC813" s="156"/>
      <c r="AD813" s="156"/>
      <c r="AE813" s="156"/>
      <c r="AF813" s="156"/>
      <c r="AG813" s="156"/>
      <c r="AH813" s="156"/>
      <c r="AI813" s="156"/>
      <c r="AJ813" s="156"/>
      <c r="AK813" s="156"/>
      <c r="AL813" s="156"/>
      <c r="AM813" s="156"/>
      <c r="AN813" s="156"/>
      <c r="AO813" s="156"/>
      <c r="AP813" s="156"/>
      <c r="AQ813" s="156"/>
      <c r="AR813" s="156"/>
      <c r="AS813" s="156"/>
      <c r="AT813" s="156"/>
      <c r="AU813" s="156"/>
      <c r="AV813" s="156"/>
      <c r="AW813" s="156"/>
      <c r="AX813" s="156"/>
    </row>
    <row r="814" spans="4:50">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c r="AA814" s="156"/>
      <c r="AB814" s="156"/>
      <c r="AC814" s="156"/>
      <c r="AD814" s="156"/>
      <c r="AE814" s="156"/>
      <c r="AF814" s="156"/>
      <c r="AG814" s="156"/>
      <c r="AH814" s="156"/>
      <c r="AI814" s="156"/>
      <c r="AJ814" s="156"/>
      <c r="AK814" s="156"/>
      <c r="AL814" s="156"/>
      <c r="AM814" s="156"/>
      <c r="AN814" s="156"/>
      <c r="AO814" s="156"/>
      <c r="AP814" s="156"/>
      <c r="AQ814" s="156"/>
      <c r="AR814" s="156"/>
      <c r="AS814" s="156"/>
      <c r="AT814" s="156"/>
      <c r="AU814" s="156"/>
      <c r="AV814" s="156"/>
      <c r="AW814" s="156"/>
      <c r="AX814" s="156"/>
    </row>
    <row r="815" spans="4:50">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c r="AA815" s="156"/>
      <c r="AB815" s="156"/>
      <c r="AC815" s="156"/>
      <c r="AD815" s="156"/>
      <c r="AE815" s="156"/>
      <c r="AF815" s="156"/>
      <c r="AG815" s="156"/>
      <c r="AH815" s="156"/>
      <c r="AI815" s="156"/>
      <c r="AJ815" s="156"/>
      <c r="AK815" s="156"/>
      <c r="AL815" s="156"/>
      <c r="AM815" s="156"/>
      <c r="AN815" s="156"/>
      <c r="AO815" s="156"/>
      <c r="AP815" s="156"/>
      <c r="AQ815" s="156"/>
      <c r="AR815" s="156"/>
      <c r="AS815" s="156"/>
      <c r="AT815" s="156"/>
      <c r="AU815" s="156"/>
      <c r="AV815" s="156"/>
      <c r="AW815" s="156"/>
      <c r="AX815" s="156"/>
    </row>
    <row r="816" spans="4:50">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c r="AA816" s="156"/>
      <c r="AB816" s="156"/>
      <c r="AC816" s="156"/>
      <c r="AD816" s="156"/>
      <c r="AE816" s="156"/>
      <c r="AF816" s="156"/>
      <c r="AG816" s="156"/>
      <c r="AH816" s="156"/>
      <c r="AI816" s="156"/>
      <c r="AJ816" s="156"/>
      <c r="AK816" s="156"/>
      <c r="AL816" s="156"/>
      <c r="AM816" s="156"/>
      <c r="AN816" s="156"/>
      <c r="AO816" s="156"/>
      <c r="AP816" s="156"/>
      <c r="AQ816" s="156"/>
      <c r="AR816" s="156"/>
      <c r="AS816" s="156"/>
      <c r="AT816" s="156"/>
      <c r="AU816" s="156"/>
      <c r="AV816" s="156"/>
      <c r="AW816" s="156"/>
      <c r="AX816" s="156"/>
    </row>
    <row r="817" spans="4:50">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c r="AA817" s="156"/>
      <c r="AB817" s="156"/>
      <c r="AC817" s="156"/>
      <c r="AD817" s="156"/>
      <c r="AE817" s="156"/>
      <c r="AF817" s="156"/>
      <c r="AG817" s="156"/>
      <c r="AH817" s="156"/>
      <c r="AI817" s="156"/>
      <c r="AJ817" s="156"/>
      <c r="AK817" s="156"/>
      <c r="AL817" s="156"/>
      <c r="AM817" s="156"/>
      <c r="AN817" s="156"/>
      <c r="AO817" s="156"/>
      <c r="AP817" s="156"/>
      <c r="AQ817" s="156"/>
      <c r="AR817" s="156"/>
      <c r="AS817" s="156"/>
      <c r="AT817" s="156"/>
      <c r="AU817" s="156"/>
      <c r="AV817" s="156"/>
      <c r="AW817" s="156"/>
      <c r="AX817" s="156"/>
    </row>
    <row r="818" spans="4:50">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c r="AA818" s="156"/>
      <c r="AB818" s="156"/>
      <c r="AC818" s="156"/>
      <c r="AD818" s="156"/>
      <c r="AE818" s="156"/>
      <c r="AF818" s="156"/>
      <c r="AG818" s="156"/>
      <c r="AH818" s="156"/>
      <c r="AI818" s="156"/>
      <c r="AJ818" s="156"/>
      <c r="AK818" s="156"/>
      <c r="AL818" s="156"/>
      <c r="AM818" s="156"/>
      <c r="AN818" s="156"/>
      <c r="AO818" s="156"/>
      <c r="AP818" s="156"/>
      <c r="AQ818" s="156"/>
      <c r="AR818" s="156"/>
      <c r="AS818" s="156"/>
      <c r="AT818" s="156"/>
      <c r="AU818" s="156"/>
      <c r="AV818" s="156"/>
      <c r="AW818" s="156"/>
      <c r="AX818" s="156"/>
    </row>
    <row r="819" spans="4:50">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c r="AA819" s="156"/>
      <c r="AB819" s="156"/>
      <c r="AC819" s="156"/>
      <c r="AD819" s="156"/>
      <c r="AE819" s="156"/>
      <c r="AF819" s="156"/>
      <c r="AG819" s="156"/>
      <c r="AH819" s="156"/>
      <c r="AI819" s="156"/>
      <c r="AJ819" s="156"/>
      <c r="AK819" s="156"/>
      <c r="AL819" s="156"/>
      <c r="AM819" s="156"/>
      <c r="AN819" s="156"/>
      <c r="AO819" s="156"/>
      <c r="AP819" s="156"/>
      <c r="AQ819" s="156"/>
      <c r="AR819" s="156"/>
      <c r="AS819" s="156"/>
      <c r="AT819" s="156"/>
      <c r="AU819" s="156"/>
      <c r="AV819" s="156"/>
      <c r="AW819" s="156"/>
      <c r="AX819" s="156"/>
    </row>
    <row r="820" spans="4:50">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c r="AA820" s="156"/>
      <c r="AB820" s="156"/>
      <c r="AC820" s="156"/>
      <c r="AD820" s="156"/>
      <c r="AE820" s="156"/>
      <c r="AF820" s="156"/>
      <c r="AG820" s="156"/>
      <c r="AH820" s="156"/>
      <c r="AI820" s="156"/>
      <c r="AJ820" s="156"/>
      <c r="AK820" s="156"/>
      <c r="AL820" s="156"/>
      <c r="AM820" s="156"/>
      <c r="AN820" s="156"/>
      <c r="AO820" s="156"/>
      <c r="AP820" s="156"/>
      <c r="AQ820" s="156"/>
      <c r="AR820" s="156"/>
      <c r="AS820" s="156"/>
      <c r="AT820" s="156"/>
      <c r="AU820" s="156"/>
      <c r="AV820" s="156"/>
      <c r="AW820" s="156"/>
      <c r="AX820" s="156"/>
    </row>
    <row r="821" spans="4:50">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c r="AA821" s="156"/>
      <c r="AB821" s="156"/>
      <c r="AC821" s="156"/>
      <c r="AD821" s="156"/>
      <c r="AE821" s="156"/>
      <c r="AF821" s="156"/>
      <c r="AG821" s="156"/>
      <c r="AH821" s="156"/>
      <c r="AI821" s="156"/>
      <c r="AJ821" s="156"/>
      <c r="AK821" s="156"/>
      <c r="AL821" s="156"/>
      <c r="AM821" s="156"/>
      <c r="AN821" s="156"/>
      <c r="AO821" s="156"/>
      <c r="AP821" s="156"/>
      <c r="AQ821" s="156"/>
      <c r="AR821" s="156"/>
      <c r="AS821" s="156"/>
      <c r="AT821" s="156"/>
      <c r="AU821" s="156"/>
      <c r="AV821" s="156"/>
      <c r="AW821" s="156"/>
      <c r="AX821" s="156"/>
    </row>
    <row r="822" spans="4:50">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c r="AA822" s="156"/>
      <c r="AB822" s="156"/>
      <c r="AC822" s="156"/>
      <c r="AD822" s="156"/>
      <c r="AE822" s="156"/>
      <c r="AF822" s="156"/>
      <c r="AG822" s="156"/>
      <c r="AH822" s="156"/>
      <c r="AI822" s="156"/>
      <c r="AJ822" s="156"/>
      <c r="AK822" s="156"/>
      <c r="AL822" s="156"/>
      <c r="AM822" s="156"/>
      <c r="AN822" s="156"/>
      <c r="AO822" s="156"/>
      <c r="AP822" s="156"/>
      <c r="AQ822" s="156"/>
      <c r="AR822" s="156"/>
      <c r="AS822" s="156"/>
      <c r="AT822" s="156"/>
      <c r="AU822" s="156"/>
      <c r="AV822" s="156"/>
      <c r="AW822" s="156"/>
      <c r="AX822" s="156"/>
    </row>
    <row r="823" spans="4:50">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c r="AA823" s="156"/>
      <c r="AB823" s="156"/>
      <c r="AC823" s="156"/>
      <c r="AD823" s="156"/>
      <c r="AE823" s="156"/>
      <c r="AF823" s="156"/>
      <c r="AG823" s="156"/>
      <c r="AH823" s="156"/>
      <c r="AI823" s="156"/>
      <c r="AJ823" s="156"/>
      <c r="AK823" s="156"/>
      <c r="AL823" s="156"/>
      <c r="AM823" s="156"/>
      <c r="AN823" s="156"/>
      <c r="AO823" s="156"/>
      <c r="AP823" s="156"/>
      <c r="AQ823" s="156"/>
      <c r="AR823" s="156"/>
      <c r="AS823" s="156"/>
      <c r="AT823" s="156"/>
      <c r="AU823" s="156"/>
      <c r="AV823" s="156"/>
      <c r="AW823" s="156"/>
      <c r="AX823" s="156"/>
    </row>
    <row r="824" spans="4:50">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c r="AA824" s="156"/>
      <c r="AB824" s="156"/>
      <c r="AC824" s="156"/>
      <c r="AD824" s="156"/>
      <c r="AE824" s="156"/>
      <c r="AF824" s="156"/>
      <c r="AG824" s="156"/>
      <c r="AH824" s="156"/>
      <c r="AI824" s="156"/>
      <c r="AJ824" s="156"/>
      <c r="AK824" s="156"/>
      <c r="AL824" s="156"/>
      <c r="AM824" s="156"/>
      <c r="AN824" s="156"/>
      <c r="AO824" s="156"/>
      <c r="AP824" s="156"/>
      <c r="AQ824" s="156"/>
      <c r="AR824" s="156"/>
      <c r="AS824" s="156"/>
      <c r="AT824" s="156"/>
      <c r="AU824" s="156"/>
      <c r="AV824" s="156"/>
      <c r="AW824" s="156"/>
      <c r="AX824" s="156"/>
    </row>
    <row r="825" spans="4:50">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c r="AA825" s="156"/>
      <c r="AB825" s="156"/>
      <c r="AC825" s="156"/>
      <c r="AD825" s="156"/>
      <c r="AE825" s="156"/>
      <c r="AF825" s="156"/>
      <c r="AG825" s="156"/>
      <c r="AH825" s="156"/>
      <c r="AI825" s="156"/>
      <c r="AJ825" s="156"/>
      <c r="AK825" s="156"/>
      <c r="AL825" s="156"/>
      <c r="AM825" s="156"/>
      <c r="AN825" s="156"/>
      <c r="AO825" s="156"/>
      <c r="AP825" s="156"/>
      <c r="AQ825" s="156"/>
      <c r="AR825" s="156"/>
      <c r="AS825" s="156"/>
      <c r="AT825" s="156"/>
      <c r="AU825" s="156"/>
      <c r="AV825" s="156"/>
      <c r="AW825" s="156"/>
      <c r="AX825" s="156"/>
    </row>
    <row r="826" spans="4:50">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c r="AA826" s="156"/>
      <c r="AB826" s="156"/>
      <c r="AC826" s="156"/>
      <c r="AD826" s="156"/>
      <c r="AE826" s="156"/>
      <c r="AF826" s="156"/>
      <c r="AG826" s="156"/>
      <c r="AH826" s="156"/>
      <c r="AI826" s="156"/>
      <c r="AJ826" s="156"/>
      <c r="AK826" s="156"/>
      <c r="AL826" s="156"/>
      <c r="AM826" s="156"/>
      <c r="AN826" s="156"/>
      <c r="AO826" s="156"/>
      <c r="AP826" s="156"/>
      <c r="AQ826" s="156"/>
      <c r="AR826" s="156"/>
      <c r="AS826" s="156"/>
      <c r="AT826" s="156"/>
      <c r="AU826" s="156"/>
      <c r="AV826" s="156"/>
      <c r="AW826" s="156"/>
      <c r="AX826" s="156"/>
    </row>
    <row r="827" spans="4:50">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c r="AA827" s="156"/>
      <c r="AB827" s="156"/>
      <c r="AC827" s="156"/>
      <c r="AD827" s="156"/>
      <c r="AE827" s="156"/>
      <c r="AF827" s="156"/>
      <c r="AG827" s="156"/>
      <c r="AH827" s="156"/>
      <c r="AI827" s="156"/>
      <c r="AJ827" s="156"/>
      <c r="AK827" s="156"/>
      <c r="AL827" s="156"/>
      <c r="AM827" s="156"/>
      <c r="AN827" s="156"/>
      <c r="AO827" s="156"/>
      <c r="AP827" s="156"/>
      <c r="AQ827" s="156"/>
      <c r="AR827" s="156"/>
      <c r="AS827" s="156"/>
      <c r="AT827" s="156"/>
      <c r="AU827" s="156"/>
      <c r="AV827" s="156"/>
      <c r="AW827" s="156"/>
      <c r="AX827" s="156"/>
    </row>
    <row r="828" spans="4:50">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c r="AA828" s="156"/>
      <c r="AB828" s="156"/>
      <c r="AC828" s="156"/>
      <c r="AD828" s="156"/>
      <c r="AE828" s="156"/>
      <c r="AF828" s="156"/>
      <c r="AG828" s="156"/>
      <c r="AH828" s="156"/>
      <c r="AI828" s="156"/>
      <c r="AJ828" s="156"/>
      <c r="AK828" s="156"/>
      <c r="AL828" s="156"/>
      <c r="AM828" s="156"/>
      <c r="AN828" s="156"/>
      <c r="AO828" s="156"/>
      <c r="AP828" s="156"/>
      <c r="AQ828" s="156"/>
      <c r="AR828" s="156"/>
      <c r="AS828" s="156"/>
      <c r="AT828" s="156"/>
      <c r="AU828" s="156"/>
      <c r="AV828" s="156"/>
      <c r="AW828" s="156"/>
      <c r="AX828" s="156"/>
    </row>
    <row r="829" spans="4:50">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c r="AA829" s="156"/>
      <c r="AB829" s="156"/>
      <c r="AC829" s="156"/>
      <c r="AD829" s="156"/>
      <c r="AE829" s="156"/>
      <c r="AF829" s="156"/>
      <c r="AG829" s="156"/>
      <c r="AH829" s="156"/>
      <c r="AI829" s="156"/>
      <c r="AJ829" s="156"/>
      <c r="AK829" s="156"/>
      <c r="AL829" s="156"/>
      <c r="AM829" s="156"/>
      <c r="AN829" s="156"/>
      <c r="AO829" s="156"/>
      <c r="AP829" s="156"/>
      <c r="AQ829" s="156"/>
      <c r="AR829" s="156"/>
      <c r="AS829" s="156"/>
      <c r="AT829" s="156"/>
      <c r="AU829" s="156"/>
      <c r="AV829" s="156"/>
      <c r="AW829" s="156"/>
      <c r="AX829" s="156"/>
    </row>
    <row r="830" spans="4:50">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c r="AA830" s="156"/>
      <c r="AB830" s="156"/>
      <c r="AC830" s="156"/>
      <c r="AD830" s="156"/>
      <c r="AE830" s="156"/>
      <c r="AF830" s="156"/>
      <c r="AG830" s="156"/>
      <c r="AH830" s="156"/>
      <c r="AI830" s="156"/>
      <c r="AJ830" s="156"/>
      <c r="AK830" s="156"/>
      <c r="AL830" s="156"/>
      <c r="AM830" s="156"/>
      <c r="AN830" s="156"/>
      <c r="AO830" s="156"/>
      <c r="AP830" s="156"/>
      <c r="AQ830" s="156"/>
      <c r="AR830" s="156"/>
      <c r="AS830" s="156"/>
      <c r="AT830" s="156"/>
      <c r="AU830" s="156"/>
      <c r="AV830" s="156"/>
      <c r="AW830" s="156"/>
      <c r="AX830" s="156"/>
    </row>
    <row r="831" spans="4:50">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c r="AA831" s="156"/>
      <c r="AB831" s="156"/>
      <c r="AC831" s="156"/>
      <c r="AD831" s="156"/>
      <c r="AE831" s="156"/>
      <c r="AF831" s="156"/>
      <c r="AG831" s="156"/>
      <c r="AH831" s="156"/>
      <c r="AI831" s="156"/>
      <c r="AJ831" s="156"/>
      <c r="AK831" s="156"/>
      <c r="AL831" s="156"/>
      <c r="AM831" s="156"/>
      <c r="AN831" s="156"/>
      <c r="AO831" s="156"/>
      <c r="AP831" s="156"/>
      <c r="AQ831" s="156"/>
      <c r="AR831" s="156"/>
      <c r="AS831" s="156"/>
      <c r="AT831" s="156"/>
      <c r="AU831" s="156"/>
      <c r="AV831" s="156"/>
      <c r="AW831" s="156"/>
      <c r="AX831" s="156"/>
    </row>
    <row r="832" spans="4:50">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c r="AA832" s="156"/>
      <c r="AB832" s="156"/>
      <c r="AC832" s="156"/>
      <c r="AD832" s="156"/>
      <c r="AE832" s="156"/>
      <c r="AF832" s="156"/>
      <c r="AG832" s="156"/>
      <c r="AH832" s="156"/>
      <c r="AI832" s="156"/>
      <c r="AJ832" s="156"/>
      <c r="AK832" s="156"/>
      <c r="AL832" s="156"/>
      <c r="AM832" s="156"/>
      <c r="AN832" s="156"/>
      <c r="AO832" s="156"/>
      <c r="AP832" s="156"/>
      <c r="AQ832" s="156"/>
      <c r="AR832" s="156"/>
      <c r="AS832" s="156"/>
      <c r="AT832" s="156"/>
      <c r="AU832" s="156"/>
      <c r="AV832" s="156"/>
      <c r="AW832" s="156"/>
      <c r="AX832" s="156"/>
    </row>
    <row r="833" spans="4:50">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c r="AA833" s="156"/>
      <c r="AB833" s="156"/>
      <c r="AC833" s="156"/>
      <c r="AD833" s="156"/>
      <c r="AE833" s="156"/>
      <c r="AF833" s="156"/>
      <c r="AG833" s="156"/>
      <c r="AH833" s="156"/>
      <c r="AI833" s="156"/>
      <c r="AJ833" s="156"/>
      <c r="AK833" s="156"/>
      <c r="AL833" s="156"/>
      <c r="AM833" s="156"/>
      <c r="AN833" s="156"/>
      <c r="AO833" s="156"/>
      <c r="AP833" s="156"/>
      <c r="AQ833" s="156"/>
      <c r="AR833" s="156"/>
      <c r="AS833" s="156"/>
      <c r="AT833" s="156"/>
      <c r="AU833" s="156"/>
      <c r="AV833" s="156"/>
      <c r="AW833" s="156"/>
      <c r="AX833" s="156"/>
    </row>
    <row r="834" spans="4:50">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c r="AA834" s="156"/>
      <c r="AB834" s="156"/>
      <c r="AC834" s="156"/>
      <c r="AD834" s="156"/>
      <c r="AE834" s="156"/>
      <c r="AF834" s="156"/>
      <c r="AG834" s="156"/>
      <c r="AH834" s="156"/>
      <c r="AI834" s="156"/>
      <c r="AJ834" s="156"/>
      <c r="AK834" s="156"/>
      <c r="AL834" s="156"/>
      <c r="AM834" s="156"/>
      <c r="AN834" s="156"/>
      <c r="AO834" s="156"/>
      <c r="AP834" s="156"/>
      <c r="AQ834" s="156"/>
      <c r="AR834" s="156"/>
      <c r="AS834" s="156"/>
      <c r="AT834" s="156"/>
      <c r="AU834" s="156"/>
      <c r="AV834" s="156"/>
      <c r="AW834" s="156"/>
      <c r="AX834" s="156"/>
    </row>
    <row r="835" spans="4:50">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c r="AA835" s="156"/>
      <c r="AB835" s="156"/>
      <c r="AC835" s="156"/>
      <c r="AD835" s="156"/>
      <c r="AE835" s="156"/>
      <c r="AF835" s="156"/>
      <c r="AG835" s="156"/>
      <c r="AH835" s="156"/>
      <c r="AI835" s="156"/>
      <c r="AJ835" s="156"/>
      <c r="AK835" s="156"/>
      <c r="AL835" s="156"/>
      <c r="AM835" s="156"/>
      <c r="AN835" s="156"/>
      <c r="AO835" s="156"/>
      <c r="AP835" s="156"/>
      <c r="AQ835" s="156"/>
      <c r="AR835" s="156"/>
      <c r="AS835" s="156"/>
      <c r="AT835" s="156"/>
      <c r="AU835" s="156"/>
      <c r="AV835" s="156"/>
      <c r="AW835" s="156"/>
      <c r="AX835" s="156"/>
    </row>
    <row r="836" spans="4:50">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c r="AA836" s="156"/>
      <c r="AB836" s="156"/>
      <c r="AC836" s="156"/>
      <c r="AD836" s="156"/>
      <c r="AE836" s="156"/>
      <c r="AF836" s="156"/>
      <c r="AG836" s="156"/>
      <c r="AH836" s="156"/>
      <c r="AI836" s="156"/>
      <c r="AJ836" s="156"/>
      <c r="AK836" s="156"/>
      <c r="AL836" s="156"/>
      <c r="AM836" s="156"/>
      <c r="AN836" s="156"/>
      <c r="AO836" s="156"/>
      <c r="AP836" s="156"/>
      <c r="AQ836" s="156"/>
      <c r="AR836" s="156"/>
      <c r="AS836" s="156"/>
      <c r="AT836" s="156"/>
      <c r="AU836" s="156"/>
      <c r="AV836" s="156"/>
      <c r="AW836" s="156"/>
      <c r="AX836" s="156"/>
    </row>
    <row r="837" spans="4:50">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c r="AA837" s="156"/>
      <c r="AB837" s="156"/>
      <c r="AC837" s="156"/>
      <c r="AD837" s="156"/>
      <c r="AE837" s="156"/>
      <c r="AF837" s="156"/>
      <c r="AG837" s="156"/>
      <c r="AH837" s="156"/>
      <c r="AI837" s="156"/>
      <c r="AJ837" s="156"/>
      <c r="AK837" s="156"/>
      <c r="AL837" s="156"/>
      <c r="AM837" s="156"/>
      <c r="AN837" s="156"/>
      <c r="AO837" s="156"/>
      <c r="AP837" s="156"/>
      <c r="AQ837" s="156"/>
      <c r="AR837" s="156"/>
      <c r="AS837" s="156"/>
      <c r="AT837" s="156"/>
      <c r="AU837" s="156"/>
      <c r="AV837" s="156"/>
      <c r="AW837" s="156"/>
      <c r="AX837" s="156"/>
    </row>
    <row r="838" spans="4:50">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c r="AA838" s="156"/>
      <c r="AB838" s="156"/>
      <c r="AC838" s="156"/>
      <c r="AD838" s="156"/>
      <c r="AE838" s="156"/>
      <c r="AF838" s="156"/>
      <c r="AG838" s="156"/>
      <c r="AH838" s="156"/>
      <c r="AI838" s="156"/>
      <c r="AJ838" s="156"/>
      <c r="AK838" s="156"/>
      <c r="AL838" s="156"/>
      <c r="AM838" s="156"/>
      <c r="AN838" s="156"/>
      <c r="AO838" s="156"/>
      <c r="AP838" s="156"/>
      <c r="AQ838" s="156"/>
      <c r="AR838" s="156"/>
      <c r="AS838" s="156"/>
      <c r="AT838" s="156"/>
      <c r="AU838" s="156"/>
      <c r="AV838" s="156"/>
      <c r="AW838" s="156"/>
      <c r="AX838" s="156"/>
    </row>
    <row r="839" spans="4:50">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c r="AA839" s="156"/>
      <c r="AB839" s="156"/>
      <c r="AC839" s="156"/>
      <c r="AD839" s="156"/>
      <c r="AE839" s="156"/>
      <c r="AF839" s="156"/>
      <c r="AG839" s="156"/>
      <c r="AH839" s="156"/>
      <c r="AI839" s="156"/>
      <c r="AJ839" s="156"/>
      <c r="AK839" s="156"/>
      <c r="AL839" s="156"/>
      <c r="AM839" s="156"/>
      <c r="AN839" s="156"/>
      <c r="AO839" s="156"/>
      <c r="AP839" s="156"/>
      <c r="AQ839" s="156"/>
      <c r="AR839" s="156"/>
      <c r="AS839" s="156"/>
      <c r="AT839" s="156"/>
      <c r="AU839" s="156"/>
      <c r="AV839" s="156"/>
      <c r="AW839" s="156"/>
      <c r="AX839" s="156"/>
    </row>
    <row r="840" spans="4:50">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c r="AA840" s="156"/>
      <c r="AB840" s="156"/>
      <c r="AC840" s="156"/>
      <c r="AD840" s="156"/>
      <c r="AE840" s="156"/>
      <c r="AF840" s="156"/>
      <c r="AG840" s="156"/>
      <c r="AH840" s="156"/>
      <c r="AI840" s="156"/>
      <c r="AJ840" s="156"/>
      <c r="AK840" s="156"/>
      <c r="AL840" s="156"/>
      <c r="AM840" s="156"/>
      <c r="AN840" s="156"/>
      <c r="AO840" s="156"/>
      <c r="AP840" s="156"/>
      <c r="AQ840" s="156"/>
      <c r="AR840" s="156"/>
      <c r="AS840" s="156"/>
      <c r="AT840" s="156"/>
      <c r="AU840" s="156"/>
      <c r="AV840" s="156"/>
      <c r="AW840" s="156"/>
      <c r="AX840" s="156"/>
    </row>
    <row r="841" spans="4:50">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c r="AA841" s="156"/>
      <c r="AB841" s="156"/>
      <c r="AC841" s="156"/>
      <c r="AD841" s="156"/>
      <c r="AE841" s="156"/>
      <c r="AF841" s="156"/>
      <c r="AG841" s="156"/>
      <c r="AH841" s="156"/>
      <c r="AI841" s="156"/>
      <c r="AJ841" s="156"/>
      <c r="AK841" s="156"/>
      <c r="AL841" s="156"/>
      <c r="AM841" s="156"/>
      <c r="AN841" s="156"/>
      <c r="AO841" s="156"/>
      <c r="AP841" s="156"/>
      <c r="AQ841" s="156"/>
      <c r="AR841" s="156"/>
      <c r="AS841" s="156"/>
      <c r="AT841" s="156"/>
      <c r="AU841" s="156"/>
      <c r="AV841" s="156"/>
      <c r="AW841" s="156"/>
      <c r="AX841" s="156"/>
    </row>
    <row r="842" spans="4:50">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c r="AA842" s="156"/>
      <c r="AB842" s="156"/>
      <c r="AC842" s="156"/>
      <c r="AD842" s="156"/>
      <c r="AE842" s="156"/>
      <c r="AF842" s="156"/>
      <c r="AG842" s="156"/>
      <c r="AH842" s="156"/>
      <c r="AI842" s="156"/>
      <c r="AJ842" s="156"/>
      <c r="AK842" s="156"/>
      <c r="AL842" s="156"/>
      <c r="AM842" s="156"/>
      <c r="AN842" s="156"/>
      <c r="AO842" s="156"/>
      <c r="AP842" s="156"/>
      <c r="AQ842" s="156"/>
      <c r="AR842" s="156"/>
      <c r="AS842" s="156"/>
      <c r="AT842" s="156"/>
      <c r="AU842" s="156"/>
      <c r="AV842" s="156"/>
      <c r="AW842" s="156"/>
      <c r="AX842" s="156"/>
    </row>
    <row r="843" spans="4:50">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c r="AA843" s="156"/>
      <c r="AB843" s="156"/>
      <c r="AC843" s="156"/>
      <c r="AD843" s="156"/>
      <c r="AE843" s="156"/>
      <c r="AF843" s="156"/>
      <c r="AG843" s="156"/>
      <c r="AH843" s="156"/>
      <c r="AI843" s="156"/>
      <c r="AJ843" s="156"/>
      <c r="AK843" s="156"/>
      <c r="AL843" s="156"/>
      <c r="AM843" s="156"/>
      <c r="AN843" s="156"/>
      <c r="AO843" s="156"/>
      <c r="AP843" s="156"/>
      <c r="AQ843" s="156"/>
      <c r="AR843" s="156"/>
      <c r="AS843" s="156"/>
      <c r="AT843" s="156"/>
      <c r="AU843" s="156"/>
      <c r="AV843" s="156"/>
      <c r="AW843" s="156"/>
      <c r="AX843" s="156"/>
    </row>
    <row r="844" spans="4:50">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c r="AA844" s="156"/>
      <c r="AB844" s="156"/>
      <c r="AC844" s="156"/>
      <c r="AD844" s="156"/>
      <c r="AE844" s="156"/>
      <c r="AF844" s="156"/>
      <c r="AG844" s="156"/>
      <c r="AH844" s="156"/>
      <c r="AI844" s="156"/>
      <c r="AJ844" s="156"/>
      <c r="AK844" s="156"/>
      <c r="AL844" s="156"/>
      <c r="AM844" s="156"/>
      <c r="AN844" s="156"/>
      <c r="AO844" s="156"/>
      <c r="AP844" s="156"/>
      <c r="AQ844" s="156"/>
      <c r="AR844" s="156"/>
      <c r="AS844" s="156"/>
      <c r="AT844" s="156"/>
      <c r="AU844" s="156"/>
      <c r="AV844" s="156"/>
      <c r="AW844" s="156"/>
      <c r="AX844" s="156"/>
    </row>
    <row r="845" spans="4:50">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c r="AA845" s="156"/>
      <c r="AB845" s="156"/>
      <c r="AC845" s="156"/>
      <c r="AD845" s="156"/>
      <c r="AE845" s="156"/>
      <c r="AF845" s="156"/>
      <c r="AG845" s="156"/>
      <c r="AH845" s="156"/>
      <c r="AI845" s="156"/>
      <c r="AJ845" s="156"/>
      <c r="AK845" s="156"/>
      <c r="AL845" s="156"/>
      <c r="AM845" s="156"/>
      <c r="AN845" s="156"/>
      <c r="AO845" s="156"/>
      <c r="AP845" s="156"/>
      <c r="AQ845" s="156"/>
      <c r="AR845" s="156"/>
      <c r="AS845" s="156"/>
      <c r="AT845" s="156"/>
      <c r="AU845" s="156"/>
      <c r="AV845" s="156"/>
      <c r="AW845" s="156"/>
      <c r="AX845" s="156"/>
    </row>
    <row r="846" spans="4:50">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c r="AA846" s="156"/>
      <c r="AB846" s="156"/>
      <c r="AC846" s="156"/>
      <c r="AD846" s="156"/>
      <c r="AE846" s="156"/>
      <c r="AF846" s="156"/>
      <c r="AG846" s="156"/>
      <c r="AH846" s="156"/>
      <c r="AI846" s="156"/>
      <c r="AJ846" s="156"/>
      <c r="AK846" s="156"/>
      <c r="AL846" s="156"/>
      <c r="AM846" s="156"/>
      <c r="AN846" s="156"/>
      <c r="AO846" s="156"/>
      <c r="AP846" s="156"/>
      <c r="AQ846" s="156"/>
      <c r="AR846" s="156"/>
      <c r="AS846" s="156"/>
      <c r="AT846" s="156"/>
      <c r="AU846" s="156"/>
      <c r="AV846" s="156"/>
      <c r="AW846" s="156"/>
      <c r="AX846" s="156"/>
    </row>
    <row r="847" spans="4:50">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c r="AA847" s="156"/>
      <c r="AB847" s="156"/>
      <c r="AC847" s="156"/>
      <c r="AD847" s="156"/>
      <c r="AE847" s="156"/>
      <c r="AF847" s="156"/>
      <c r="AG847" s="156"/>
      <c r="AH847" s="156"/>
      <c r="AI847" s="156"/>
      <c r="AJ847" s="156"/>
      <c r="AK847" s="156"/>
      <c r="AL847" s="156"/>
      <c r="AM847" s="156"/>
      <c r="AN847" s="156"/>
      <c r="AO847" s="156"/>
      <c r="AP847" s="156"/>
      <c r="AQ847" s="156"/>
      <c r="AR847" s="156"/>
      <c r="AS847" s="156"/>
      <c r="AT847" s="156"/>
      <c r="AU847" s="156"/>
      <c r="AV847" s="156"/>
      <c r="AW847" s="156"/>
      <c r="AX847" s="156"/>
    </row>
    <row r="848" spans="4:50">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c r="AA848" s="156"/>
      <c r="AB848" s="156"/>
      <c r="AC848" s="156"/>
      <c r="AD848" s="156"/>
      <c r="AE848" s="156"/>
      <c r="AF848" s="156"/>
      <c r="AG848" s="156"/>
      <c r="AH848" s="156"/>
      <c r="AI848" s="156"/>
      <c r="AJ848" s="156"/>
      <c r="AK848" s="156"/>
      <c r="AL848" s="156"/>
      <c r="AM848" s="156"/>
      <c r="AN848" s="156"/>
      <c r="AO848" s="156"/>
      <c r="AP848" s="156"/>
      <c r="AQ848" s="156"/>
      <c r="AR848" s="156"/>
      <c r="AS848" s="156"/>
      <c r="AT848" s="156"/>
      <c r="AU848" s="156"/>
      <c r="AV848" s="156"/>
      <c r="AW848" s="156"/>
      <c r="AX848" s="156"/>
    </row>
    <row r="849" spans="4:50">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c r="AA849" s="156"/>
      <c r="AB849" s="156"/>
      <c r="AC849" s="156"/>
      <c r="AD849" s="156"/>
      <c r="AE849" s="156"/>
      <c r="AF849" s="156"/>
      <c r="AG849" s="156"/>
      <c r="AH849" s="156"/>
      <c r="AI849" s="156"/>
      <c r="AJ849" s="156"/>
      <c r="AK849" s="156"/>
      <c r="AL849" s="156"/>
      <c r="AM849" s="156"/>
      <c r="AN849" s="156"/>
      <c r="AO849" s="156"/>
      <c r="AP849" s="156"/>
      <c r="AQ849" s="156"/>
      <c r="AR849" s="156"/>
      <c r="AS849" s="156"/>
      <c r="AT849" s="156"/>
      <c r="AU849" s="156"/>
      <c r="AV849" s="156"/>
      <c r="AW849" s="156"/>
      <c r="AX849" s="156"/>
    </row>
    <row r="850" spans="4:50">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c r="AA850" s="156"/>
      <c r="AB850" s="156"/>
      <c r="AC850" s="156"/>
      <c r="AD850" s="156"/>
      <c r="AE850" s="156"/>
      <c r="AF850" s="156"/>
      <c r="AG850" s="156"/>
      <c r="AH850" s="156"/>
      <c r="AI850" s="156"/>
      <c r="AJ850" s="156"/>
      <c r="AK850" s="156"/>
      <c r="AL850" s="156"/>
      <c r="AM850" s="156"/>
      <c r="AN850" s="156"/>
      <c r="AO850" s="156"/>
      <c r="AP850" s="156"/>
      <c r="AQ850" s="156"/>
      <c r="AR850" s="156"/>
      <c r="AS850" s="156"/>
      <c r="AT850" s="156"/>
      <c r="AU850" s="156"/>
      <c r="AV850" s="156"/>
      <c r="AW850" s="156"/>
      <c r="AX850" s="156"/>
    </row>
    <row r="851" spans="4:50">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c r="AA851" s="156"/>
      <c r="AB851" s="156"/>
      <c r="AC851" s="156"/>
      <c r="AD851" s="156"/>
      <c r="AE851" s="156"/>
      <c r="AF851" s="156"/>
      <c r="AG851" s="156"/>
      <c r="AH851" s="156"/>
      <c r="AI851" s="156"/>
      <c r="AJ851" s="156"/>
      <c r="AK851" s="156"/>
      <c r="AL851" s="156"/>
      <c r="AM851" s="156"/>
      <c r="AN851" s="156"/>
      <c r="AO851" s="156"/>
      <c r="AP851" s="156"/>
      <c r="AQ851" s="156"/>
      <c r="AR851" s="156"/>
      <c r="AS851" s="156"/>
      <c r="AT851" s="156"/>
      <c r="AU851" s="156"/>
      <c r="AV851" s="156"/>
      <c r="AW851" s="156"/>
      <c r="AX851" s="156"/>
    </row>
    <row r="852" spans="4:50">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c r="AA852" s="156"/>
      <c r="AB852" s="156"/>
      <c r="AC852" s="156"/>
      <c r="AD852" s="156"/>
      <c r="AE852" s="156"/>
      <c r="AF852" s="156"/>
      <c r="AG852" s="156"/>
      <c r="AH852" s="156"/>
      <c r="AI852" s="156"/>
      <c r="AJ852" s="156"/>
      <c r="AK852" s="156"/>
      <c r="AL852" s="156"/>
      <c r="AM852" s="156"/>
      <c r="AN852" s="156"/>
      <c r="AO852" s="156"/>
      <c r="AP852" s="156"/>
      <c r="AQ852" s="156"/>
      <c r="AR852" s="156"/>
      <c r="AS852" s="156"/>
      <c r="AT852" s="156"/>
      <c r="AU852" s="156"/>
      <c r="AV852" s="156"/>
      <c r="AW852" s="156"/>
      <c r="AX852" s="156"/>
    </row>
    <row r="853" spans="4:50">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c r="AA853" s="156"/>
      <c r="AB853" s="156"/>
      <c r="AC853" s="156"/>
      <c r="AD853" s="156"/>
      <c r="AE853" s="156"/>
      <c r="AF853" s="156"/>
      <c r="AG853" s="156"/>
      <c r="AH853" s="156"/>
      <c r="AI853" s="156"/>
      <c r="AJ853" s="156"/>
      <c r="AK853" s="156"/>
      <c r="AL853" s="156"/>
      <c r="AM853" s="156"/>
      <c r="AN853" s="156"/>
      <c r="AO853" s="156"/>
      <c r="AP853" s="156"/>
      <c r="AQ853" s="156"/>
      <c r="AR853" s="156"/>
      <c r="AS853" s="156"/>
      <c r="AT853" s="156"/>
      <c r="AU853" s="156"/>
      <c r="AV853" s="156"/>
      <c r="AW853" s="156"/>
      <c r="AX853" s="156"/>
    </row>
    <row r="854" spans="4:50">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c r="AA854" s="156"/>
      <c r="AB854" s="156"/>
      <c r="AC854" s="156"/>
      <c r="AD854" s="156"/>
      <c r="AE854" s="156"/>
      <c r="AF854" s="156"/>
      <c r="AG854" s="156"/>
      <c r="AH854" s="156"/>
      <c r="AI854" s="156"/>
      <c r="AJ854" s="156"/>
      <c r="AK854" s="156"/>
      <c r="AL854" s="156"/>
      <c r="AM854" s="156"/>
      <c r="AN854" s="156"/>
      <c r="AO854" s="156"/>
      <c r="AP854" s="156"/>
      <c r="AQ854" s="156"/>
      <c r="AR854" s="156"/>
      <c r="AS854" s="156"/>
      <c r="AT854" s="156"/>
      <c r="AU854" s="156"/>
      <c r="AV854" s="156"/>
      <c r="AW854" s="156"/>
      <c r="AX854" s="156"/>
    </row>
    <row r="855" spans="4:50">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c r="AA855" s="156"/>
      <c r="AB855" s="156"/>
      <c r="AC855" s="156"/>
      <c r="AD855" s="156"/>
      <c r="AE855" s="156"/>
      <c r="AF855" s="156"/>
      <c r="AG855" s="156"/>
      <c r="AH855" s="156"/>
      <c r="AI855" s="156"/>
      <c r="AJ855" s="156"/>
      <c r="AK855" s="156"/>
      <c r="AL855" s="156"/>
      <c r="AM855" s="156"/>
      <c r="AN855" s="156"/>
      <c r="AO855" s="156"/>
      <c r="AP855" s="156"/>
      <c r="AQ855" s="156"/>
      <c r="AR855" s="156"/>
      <c r="AS855" s="156"/>
      <c r="AT855" s="156"/>
      <c r="AU855" s="156"/>
      <c r="AV855" s="156"/>
      <c r="AW855" s="156"/>
      <c r="AX855" s="156"/>
    </row>
    <row r="856" spans="4:50">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c r="AA856" s="156"/>
      <c r="AB856" s="156"/>
      <c r="AC856" s="156"/>
      <c r="AD856" s="156"/>
      <c r="AE856" s="156"/>
      <c r="AF856" s="156"/>
      <c r="AG856" s="156"/>
      <c r="AH856" s="156"/>
      <c r="AI856" s="156"/>
      <c r="AJ856" s="156"/>
      <c r="AK856" s="156"/>
      <c r="AL856" s="156"/>
      <c r="AM856" s="156"/>
      <c r="AN856" s="156"/>
      <c r="AO856" s="156"/>
      <c r="AP856" s="156"/>
      <c r="AQ856" s="156"/>
      <c r="AR856" s="156"/>
      <c r="AS856" s="156"/>
      <c r="AT856" s="156"/>
      <c r="AU856" s="156"/>
      <c r="AV856" s="156"/>
      <c r="AW856" s="156"/>
      <c r="AX856" s="156"/>
    </row>
    <row r="857" spans="4:50">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c r="AA857" s="156"/>
      <c r="AB857" s="156"/>
      <c r="AC857" s="156"/>
      <c r="AD857" s="156"/>
      <c r="AE857" s="156"/>
      <c r="AF857" s="156"/>
      <c r="AG857" s="156"/>
      <c r="AH857" s="156"/>
      <c r="AI857" s="156"/>
      <c r="AJ857" s="156"/>
      <c r="AK857" s="156"/>
      <c r="AL857" s="156"/>
      <c r="AM857" s="156"/>
      <c r="AN857" s="156"/>
      <c r="AO857" s="156"/>
      <c r="AP857" s="156"/>
      <c r="AQ857" s="156"/>
      <c r="AR857" s="156"/>
      <c r="AS857" s="156"/>
      <c r="AT857" s="156"/>
      <c r="AU857" s="156"/>
      <c r="AV857" s="156"/>
      <c r="AW857" s="156"/>
      <c r="AX857" s="156"/>
    </row>
    <row r="858" spans="4:50">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c r="AA858" s="156"/>
      <c r="AB858" s="156"/>
      <c r="AC858" s="156"/>
      <c r="AD858" s="156"/>
      <c r="AE858" s="156"/>
      <c r="AF858" s="156"/>
      <c r="AG858" s="156"/>
      <c r="AH858" s="156"/>
      <c r="AI858" s="156"/>
      <c r="AJ858" s="156"/>
      <c r="AK858" s="156"/>
      <c r="AL858" s="156"/>
      <c r="AM858" s="156"/>
      <c r="AN858" s="156"/>
      <c r="AO858" s="156"/>
      <c r="AP858" s="156"/>
      <c r="AQ858" s="156"/>
      <c r="AR858" s="156"/>
      <c r="AS858" s="156"/>
      <c r="AT858" s="156"/>
      <c r="AU858" s="156"/>
      <c r="AV858" s="156"/>
      <c r="AW858" s="156"/>
      <c r="AX858" s="156"/>
    </row>
    <row r="859" spans="4:50">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c r="AA859" s="156"/>
      <c r="AB859" s="156"/>
      <c r="AC859" s="156"/>
      <c r="AD859" s="156"/>
      <c r="AE859" s="156"/>
      <c r="AF859" s="156"/>
      <c r="AG859" s="156"/>
      <c r="AH859" s="156"/>
      <c r="AI859" s="156"/>
      <c r="AJ859" s="156"/>
      <c r="AK859" s="156"/>
      <c r="AL859" s="156"/>
      <c r="AM859" s="156"/>
      <c r="AN859" s="156"/>
      <c r="AO859" s="156"/>
      <c r="AP859" s="156"/>
      <c r="AQ859" s="156"/>
      <c r="AR859" s="156"/>
      <c r="AS859" s="156"/>
      <c r="AT859" s="156"/>
      <c r="AU859" s="156"/>
      <c r="AV859" s="156"/>
      <c r="AW859" s="156"/>
      <c r="AX859" s="156"/>
    </row>
    <row r="860" spans="4:50">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c r="AA860" s="156"/>
      <c r="AB860" s="156"/>
      <c r="AC860" s="156"/>
      <c r="AD860" s="156"/>
      <c r="AE860" s="156"/>
      <c r="AF860" s="156"/>
      <c r="AG860" s="156"/>
      <c r="AH860" s="156"/>
      <c r="AI860" s="156"/>
      <c r="AJ860" s="156"/>
      <c r="AK860" s="156"/>
      <c r="AL860" s="156"/>
      <c r="AM860" s="156"/>
      <c r="AN860" s="156"/>
      <c r="AO860" s="156"/>
      <c r="AP860" s="156"/>
      <c r="AQ860" s="156"/>
      <c r="AR860" s="156"/>
      <c r="AS860" s="156"/>
      <c r="AT860" s="156"/>
      <c r="AU860" s="156"/>
      <c r="AV860" s="156"/>
      <c r="AW860" s="156"/>
      <c r="AX860" s="156"/>
    </row>
    <row r="861" spans="4:50">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c r="AA861" s="156"/>
      <c r="AB861" s="156"/>
      <c r="AC861" s="156"/>
      <c r="AD861" s="156"/>
      <c r="AE861" s="156"/>
      <c r="AF861" s="156"/>
      <c r="AG861" s="156"/>
      <c r="AH861" s="156"/>
      <c r="AI861" s="156"/>
      <c r="AJ861" s="156"/>
      <c r="AK861" s="156"/>
      <c r="AL861" s="156"/>
      <c r="AM861" s="156"/>
      <c r="AN861" s="156"/>
      <c r="AO861" s="156"/>
      <c r="AP861" s="156"/>
      <c r="AQ861" s="156"/>
      <c r="AR861" s="156"/>
      <c r="AS861" s="156"/>
      <c r="AT861" s="156"/>
      <c r="AU861" s="156"/>
      <c r="AV861" s="156"/>
      <c r="AW861" s="156"/>
      <c r="AX861" s="156"/>
    </row>
    <row r="862" spans="4:50">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c r="AA862" s="156"/>
      <c r="AB862" s="156"/>
      <c r="AC862" s="156"/>
      <c r="AD862" s="156"/>
      <c r="AE862" s="156"/>
      <c r="AF862" s="156"/>
      <c r="AG862" s="156"/>
      <c r="AH862" s="156"/>
      <c r="AI862" s="156"/>
      <c r="AJ862" s="156"/>
      <c r="AK862" s="156"/>
      <c r="AL862" s="156"/>
      <c r="AM862" s="156"/>
      <c r="AN862" s="156"/>
      <c r="AO862" s="156"/>
      <c r="AP862" s="156"/>
      <c r="AQ862" s="156"/>
      <c r="AR862" s="156"/>
      <c r="AS862" s="156"/>
      <c r="AT862" s="156"/>
      <c r="AU862" s="156"/>
      <c r="AV862" s="156"/>
      <c r="AW862" s="156"/>
      <c r="AX862" s="156"/>
    </row>
    <row r="863" spans="4:50">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c r="AA863" s="156"/>
      <c r="AB863" s="156"/>
      <c r="AC863" s="156"/>
      <c r="AD863" s="156"/>
      <c r="AE863" s="156"/>
      <c r="AF863" s="156"/>
      <c r="AG863" s="156"/>
      <c r="AH863" s="156"/>
      <c r="AI863" s="156"/>
      <c r="AJ863" s="156"/>
      <c r="AK863" s="156"/>
      <c r="AL863" s="156"/>
      <c r="AM863" s="156"/>
      <c r="AN863" s="156"/>
      <c r="AO863" s="156"/>
      <c r="AP863" s="156"/>
      <c r="AQ863" s="156"/>
      <c r="AR863" s="156"/>
      <c r="AS863" s="156"/>
      <c r="AT863" s="156"/>
      <c r="AU863" s="156"/>
      <c r="AV863" s="156"/>
      <c r="AW863" s="156"/>
      <c r="AX863" s="156"/>
    </row>
    <row r="864" spans="4:50">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c r="AA864" s="156"/>
      <c r="AB864" s="156"/>
      <c r="AC864" s="156"/>
      <c r="AD864" s="156"/>
      <c r="AE864" s="156"/>
      <c r="AF864" s="156"/>
      <c r="AG864" s="156"/>
      <c r="AH864" s="156"/>
      <c r="AI864" s="156"/>
      <c r="AJ864" s="156"/>
      <c r="AK864" s="156"/>
      <c r="AL864" s="156"/>
      <c r="AM864" s="156"/>
      <c r="AN864" s="156"/>
      <c r="AO864" s="156"/>
      <c r="AP864" s="156"/>
      <c r="AQ864" s="156"/>
      <c r="AR864" s="156"/>
      <c r="AS864" s="156"/>
      <c r="AT864" s="156"/>
      <c r="AU864" s="156"/>
      <c r="AV864" s="156"/>
      <c r="AW864" s="156"/>
      <c r="AX864" s="156"/>
    </row>
    <row r="865" spans="4:50">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c r="AA865" s="156"/>
      <c r="AB865" s="156"/>
      <c r="AC865" s="156"/>
      <c r="AD865" s="156"/>
      <c r="AE865" s="156"/>
      <c r="AF865" s="156"/>
      <c r="AG865" s="156"/>
      <c r="AH865" s="156"/>
      <c r="AI865" s="156"/>
      <c r="AJ865" s="156"/>
      <c r="AK865" s="156"/>
      <c r="AL865" s="156"/>
      <c r="AM865" s="156"/>
      <c r="AN865" s="156"/>
      <c r="AO865" s="156"/>
      <c r="AP865" s="156"/>
      <c r="AQ865" s="156"/>
      <c r="AR865" s="156"/>
      <c r="AS865" s="156"/>
      <c r="AT865" s="156"/>
      <c r="AU865" s="156"/>
      <c r="AV865" s="156"/>
      <c r="AW865" s="156"/>
      <c r="AX865" s="156"/>
    </row>
    <row r="866" spans="4:50">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c r="AA866" s="156"/>
      <c r="AB866" s="156"/>
      <c r="AC866" s="156"/>
      <c r="AD866" s="156"/>
      <c r="AE866" s="156"/>
      <c r="AF866" s="156"/>
      <c r="AG866" s="156"/>
      <c r="AH866" s="156"/>
      <c r="AI866" s="156"/>
      <c r="AJ866" s="156"/>
      <c r="AK866" s="156"/>
      <c r="AL866" s="156"/>
      <c r="AM866" s="156"/>
      <c r="AN866" s="156"/>
      <c r="AO866" s="156"/>
      <c r="AP866" s="156"/>
      <c r="AQ866" s="156"/>
      <c r="AR866" s="156"/>
      <c r="AS866" s="156"/>
      <c r="AT866" s="156"/>
      <c r="AU866" s="156"/>
      <c r="AV866" s="156"/>
      <c r="AW866" s="156"/>
      <c r="AX866" s="156"/>
    </row>
    <row r="867" spans="4:50">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c r="AA867" s="156"/>
      <c r="AB867" s="156"/>
      <c r="AC867" s="156"/>
      <c r="AD867" s="156"/>
      <c r="AE867" s="156"/>
      <c r="AF867" s="156"/>
      <c r="AG867" s="156"/>
      <c r="AH867" s="156"/>
      <c r="AI867" s="156"/>
      <c r="AJ867" s="156"/>
      <c r="AK867" s="156"/>
      <c r="AL867" s="156"/>
      <c r="AM867" s="156"/>
      <c r="AN867" s="156"/>
      <c r="AO867" s="156"/>
      <c r="AP867" s="156"/>
      <c r="AQ867" s="156"/>
      <c r="AR867" s="156"/>
      <c r="AS867" s="156"/>
      <c r="AT867" s="156"/>
      <c r="AU867" s="156"/>
      <c r="AV867" s="156"/>
      <c r="AW867" s="156"/>
      <c r="AX867" s="156"/>
    </row>
    <row r="868" spans="4:50">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c r="AA868" s="156"/>
      <c r="AB868" s="156"/>
      <c r="AC868" s="156"/>
      <c r="AD868" s="156"/>
      <c r="AE868" s="156"/>
      <c r="AF868" s="156"/>
      <c r="AG868" s="156"/>
      <c r="AH868" s="156"/>
      <c r="AI868" s="156"/>
      <c r="AJ868" s="156"/>
      <c r="AK868" s="156"/>
      <c r="AL868" s="156"/>
      <c r="AM868" s="156"/>
      <c r="AN868" s="156"/>
      <c r="AO868" s="156"/>
      <c r="AP868" s="156"/>
      <c r="AQ868" s="156"/>
      <c r="AR868" s="156"/>
      <c r="AS868" s="156"/>
      <c r="AT868" s="156"/>
      <c r="AU868" s="156"/>
      <c r="AV868" s="156"/>
      <c r="AW868" s="156"/>
      <c r="AX868" s="156"/>
    </row>
    <row r="869" spans="4:50">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c r="AA869" s="156"/>
      <c r="AB869" s="156"/>
      <c r="AC869" s="156"/>
      <c r="AD869" s="156"/>
      <c r="AE869" s="156"/>
      <c r="AF869" s="156"/>
      <c r="AG869" s="156"/>
      <c r="AH869" s="156"/>
      <c r="AI869" s="156"/>
      <c r="AJ869" s="156"/>
      <c r="AK869" s="156"/>
      <c r="AL869" s="156"/>
      <c r="AM869" s="156"/>
      <c r="AN869" s="156"/>
      <c r="AO869" s="156"/>
      <c r="AP869" s="156"/>
      <c r="AQ869" s="156"/>
      <c r="AR869" s="156"/>
      <c r="AS869" s="156"/>
      <c r="AT869" s="156"/>
      <c r="AU869" s="156"/>
      <c r="AV869" s="156"/>
      <c r="AW869" s="156"/>
      <c r="AX869" s="156"/>
    </row>
    <row r="870" spans="4:50">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c r="AA870" s="156"/>
      <c r="AB870" s="156"/>
      <c r="AC870" s="156"/>
      <c r="AD870" s="156"/>
      <c r="AE870" s="156"/>
      <c r="AF870" s="156"/>
      <c r="AG870" s="156"/>
      <c r="AH870" s="156"/>
      <c r="AI870" s="156"/>
      <c r="AJ870" s="156"/>
      <c r="AK870" s="156"/>
      <c r="AL870" s="156"/>
      <c r="AM870" s="156"/>
      <c r="AN870" s="156"/>
      <c r="AO870" s="156"/>
      <c r="AP870" s="156"/>
      <c r="AQ870" s="156"/>
      <c r="AR870" s="156"/>
      <c r="AS870" s="156"/>
      <c r="AT870" s="156"/>
      <c r="AU870" s="156"/>
      <c r="AV870" s="156"/>
      <c r="AW870" s="156"/>
      <c r="AX870" s="156"/>
    </row>
    <row r="871" spans="4:50">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c r="AA871" s="156"/>
      <c r="AB871" s="156"/>
      <c r="AC871" s="156"/>
      <c r="AD871" s="156"/>
      <c r="AE871" s="156"/>
      <c r="AF871" s="156"/>
      <c r="AG871" s="156"/>
      <c r="AH871" s="156"/>
      <c r="AI871" s="156"/>
      <c r="AJ871" s="156"/>
      <c r="AK871" s="156"/>
      <c r="AL871" s="156"/>
      <c r="AM871" s="156"/>
      <c r="AN871" s="156"/>
      <c r="AO871" s="156"/>
      <c r="AP871" s="156"/>
      <c r="AQ871" s="156"/>
      <c r="AR871" s="156"/>
      <c r="AS871" s="156"/>
      <c r="AT871" s="156"/>
      <c r="AU871" s="156"/>
      <c r="AV871" s="156"/>
      <c r="AW871" s="156"/>
      <c r="AX871" s="156"/>
    </row>
    <row r="872" spans="4:50">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c r="AA872" s="156"/>
      <c r="AB872" s="156"/>
      <c r="AC872" s="156"/>
      <c r="AD872" s="156"/>
      <c r="AE872" s="156"/>
      <c r="AF872" s="156"/>
      <c r="AG872" s="156"/>
      <c r="AH872" s="156"/>
      <c r="AI872" s="156"/>
      <c r="AJ872" s="156"/>
      <c r="AK872" s="156"/>
      <c r="AL872" s="156"/>
      <c r="AM872" s="156"/>
      <c r="AN872" s="156"/>
      <c r="AO872" s="156"/>
      <c r="AP872" s="156"/>
      <c r="AQ872" s="156"/>
      <c r="AR872" s="156"/>
      <c r="AS872" s="156"/>
      <c r="AT872" s="156"/>
      <c r="AU872" s="156"/>
      <c r="AV872" s="156"/>
      <c r="AW872" s="156"/>
      <c r="AX872" s="156"/>
    </row>
    <row r="873" spans="4:50">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c r="AA873" s="156"/>
      <c r="AB873" s="156"/>
      <c r="AC873" s="156"/>
      <c r="AD873" s="156"/>
      <c r="AE873" s="156"/>
      <c r="AF873" s="156"/>
      <c r="AG873" s="156"/>
      <c r="AH873" s="156"/>
      <c r="AI873" s="156"/>
      <c r="AJ873" s="156"/>
      <c r="AK873" s="156"/>
      <c r="AL873" s="156"/>
      <c r="AM873" s="156"/>
      <c r="AN873" s="156"/>
      <c r="AO873" s="156"/>
      <c r="AP873" s="156"/>
      <c r="AQ873" s="156"/>
      <c r="AR873" s="156"/>
      <c r="AS873" s="156"/>
      <c r="AT873" s="156"/>
      <c r="AU873" s="156"/>
      <c r="AV873" s="156"/>
      <c r="AW873" s="156"/>
      <c r="AX873" s="156"/>
    </row>
    <row r="874" spans="4:50">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c r="AA874" s="156"/>
      <c r="AB874" s="156"/>
      <c r="AC874" s="156"/>
      <c r="AD874" s="156"/>
      <c r="AE874" s="156"/>
      <c r="AF874" s="156"/>
      <c r="AG874" s="156"/>
      <c r="AH874" s="156"/>
      <c r="AI874" s="156"/>
      <c r="AJ874" s="156"/>
      <c r="AK874" s="156"/>
      <c r="AL874" s="156"/>
      <c r="AM874" s="156"/>
      <c r="AN874" s="156"/>
      <c r="AO874" s="156"/>
      <c r="AP874" s="156"/>
      <c r="AQ874" s="156"/>
      <c r="AR874" s="156"/>
      <c r="AS874" s="156"/>
      <c r="AT874" s="156"/>
      <c r="AU874" s="156"/>
      <c r="AV874" s="156"/>
      <c r="AW874" s="156"/>
      <c r="AX874" s="156"/>
    </row>
    <row r="875" spans="4:50">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c r="AA875" s="156"/>
      <c r="AB875" s="156"/>
      <c r="AC875" s="156"/>
      <c r="AD875" s="156"/>
      <c r="AE875" s="156"/>
      <c r="AF875" s="156"/>
      <c r="AG875" s="156"/>
      <c r="AH875" s="156"/>
      <c r="AI875" s="156"/>
      <c r="AJ875" s="156"/>
      <c r="AK875" s="156"/>
      <c r="AL875" s="156"/>
      <c r="AM875" s="156"/>
      <c r="AN875" s="156"/>
      <c r="AO875" s="156"/>
      <c r="AP875" s="156"/>
      <c r="AQ875" s="156"/>
      <c r="AR875" s="156"/>
      <c r="AS875" s="156"/>
      <c r="AT875" s="156"/>
      <c r="AU875" s="156"/>
      <c r="AV875" s="156"/>
      <c r="AW875" s="156"/>
      <c r="AX875" s="156"/>
    </row>
    <row r="876" spans="4:50">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c r="AA876" s="156"/>
      <c r="AB876" s="156"/>
      <c r="AC876" s="156"/>
      <c r="AD876" s="156"/>
      <c r="AE876" s="156"/>
      <c r="AF876" s="156"/>
      <c r="AG876" s="156"/>
      <c r="AH876" s="156"/>
      <c r="AI876" s="156"/>
      <c r="AJ876" s="156"/>
      <c r="AK876" s="156"/>
      <c r="AL876" s="156"/>
      <c r="AM876" s="156"/>
      <c r="AN876" s="156"/>
      <c r="AO876" s="156"/>
      <c r="AP876" s="156"/>
      <c r="AQ876" s="156"/>
      <c r="AR876" s="156"/>
      <c r="AS876" s="156"/>
      <c r="AT876" s="156"/>
      <c r="AU876" s="156"/>
      <c r="AV876" s="156"/>
      <c r="AW876" s="156"/>
      <c r="AX876" s="156"/>
    </row>
    <row r="877" spans="4:50">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c r="AA877" s="156"/>
      <c r="AB877" s="156"/>
      <c r="AC877" s="156"/>
      <c r="AD877" s="156"/>
      <c r="AE877" s="156"/>
      <c r="AF877" s="156"/>
      <c r="AG877" s="156"/>
      <c r="AH877" s="156"/>
      <c r="AI877" s="156"/>
      <c r="AJ877" s="156"/>
      <c r="AK877" s="156"/>
      <c r="AL877" s="156"/>
      <c r="AM877" s="156"/>
      <c r="AN877" s="156"/>
      <c r="AO877" s="156"/>
      <c r="AP877" s="156"/>
      <c r="AQ877" s="156"/>
      <c r="AR877" s="156"/>
      <c r="AS877" s="156"/>
      <c r="AT877" s="156"/>
      <c r="AU877" s="156"/>
      <c r="AV877" s="156"/>
      <c r="AW877" s="156"/>
      <c r="AX877" s="156"/>
    </row>
    <row r="878" spans="4:50">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c r="AA878" s="156"/>
      <c r="AB878" s="156"/>
      <c r="AC878" s="156"/>
      <c r="AD878" s="156"/>
      <c r="AE878" s="156"/>
      <c r="AF878" s="156"/>
      <c r="AG878" s="156"/>
      <c r="AH878" s="156"/>
      <c r="AI878" s="156"/>
      <c r="AJ878" s="156"/>
      <c r="AK878" s="156"/>
      <c r="AL878" s="156"/>
      <c r="AM878" s="156"/>
      <c r="AN878" s="156"/>
      <c r="AO878" s="156"/>
      <c r="AP878" s="156"/>
      <c r="AQ878" s="156"/>
      <c r="AR878" s="156"/>
      <c r="AS878" s="156"/>
      <c r="AT878" s="156"/>
      <c r="AU878" s="156"/>
      <c r="AV878" s="156"/>
      <c r="AW878" s="156"/>
      <c r="AX878" s="156"/>
    </row>
    <row r="879" spans="4:50">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c r="AA879" s="156"/>
      <c r="AB879" s="156"/>
      <c r="AC879" s="156"/>
      <c r="AD879" s="156"/>
      <c r="AE879" s="156"/>
      <c r="AF879" s="156"/>
      <c r="AG879" s="156"/>
      <c r="AH879" s="156"/>
      <c r="AI879" s="156"/>
      <c r="AJ879" s="156"/>
      <c r="AK879" s="156"/>
      <c r="AL879" s="156"/>
      <c r="AM879" s="156"/>
      <c r="AN879" s="156"/>
      <c r="AO879" s="156"/>
      <c r="AP879" s="156"/>
      <c r="AQ879" s="156"/>
      <c r="AR879" s="156"/>
      <c r="AS879" s="156"/>
      <c r="AT879" s="156"/>
      <c r="AU879" s="156"/>
      <c r="AV879" s="156"/>
      <c r="AW879" s="156"/>
      <c r="AX879" s="156"/>
    </row>
    <row r="880" spans="4:50">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c r="AA880" s="156"/>
      <c r="AB880" s="156"/>
      <c r="AC880" s="156"/>
      <c r="AD880" s="156"/>
      <c r="AE880" s="156"/>
      <c r="AF880" s="156"/>
      <c r="AG880" s="156"/>
      <c r="AH880" s="156"/>
      <c r="AI880" s="156"/>
      <c r="AJ880" s="156"/>
      <c r="AK880" s="156"/>
      <c r="AL880" s="156"/>
      <c r="AM880" s="156"/>
      <c r="AN880" s="156"/>
      <c r="AO880" s="156"/>
      <c r="AP880" s="156"/>
      <c r="AQ880" s="156"/>
      <c r="AR880" s="156"/>
      <c r="AS880" s="156"/>
      <c r="AT880" s="156"/>
      <c r="AU880" s="156"/>
      <c r="AV880" s="156"/>
      <c r="AW880" s="156"/>
      <c r="AX880" s="156"/>
    </row>
    <row r="881" spans="4:50">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c r="AA881" s="156"/>
      <c r="AB881" s="156"/>
      <c r="AC881" s="156"/>
      <c r="AD881" s="156"/>
      <c r="AE881" s="156"/>
      <c r="AF881" s="156"/>
      <c r="AG881" s="156"/>
      <c r="AH881" s="156"/>
      <c r="AI881" s="156"/>
      <c r="AJ881" s="156"/>
      <c r="AK881" s="156"/>
      <c r="AL881" s="156"/>
      <c r="AM881" s="156"/>
      <c r="AN881" s="156"/>
      <c r="AO881" s="156"/>
      <c r="AP881" s="156"/>
      <c r="AQ881" s="156"/>
      <c r="AR881" s="156"/>
      <c r="AS881" s="156"/>
      <c r="AT881" s="156"/>
      <c r="AU881" s="156"/>
      <c r="AV881" s="156"/>
      <c r="AW881" s="156"/>
      <c r="AX881" s="156"/>
    </row>
    <row r="882" spans="4:50">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c r="AA882" s="156"/>
      <c r="AB882" s="156"/>
      <c r="AC882" s="156"/>
      <c r="AD882" s="156"/>
      <c r="AE882" s="156"/>
      <c r="AF882" s="156"/>
      <c r="AG882" s="156"/>
      <c r="AH882" s="156"/>
      <c r="AI882" s="156"/>
      <c r="AJ882" s="156"/>
      <c r="AK882" s="156"/>
      <c r="AL882" s="156"/>
      <c r="AM882" s="156"/>
      <c r="AN882" s="156"/>
      <c r="AO882" s="156"/>
      <c r="AP882" s="156"/>
      <c r="AQ882" s="156"/>
      <c r="AR882" s="156"/>
      <c r="AS882" s="156"/>
      <c r="AT882" s="156"/>
      <c r="AU882" s="156"/>
      <c r="AV882" s="156"/>
      <c r="AW882" s="156"/>
      <c r="AX882" s="156"/>
    </row>
    <row r="883" spans="4:50">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c r="AA883" s="156"/>
      <c r="AB883" s="156"/>
      <c r="AC883" s="156"/>
      <c r="AD883" s="156"/>
      <c r="AE883" s="156"/>
      <c r="AF883" s="156"/>
      <c r="AG883" s="156"/>
      <c r="AH883" s="156"/>
      <c r="AI883" s="156"/>
      <c r="AJ883" s="156"/>
      <c r="AK883" s="156"/>
      <c r="AL883" s="156"/>
      <c r="AM883" s="156"/>
      <c r="AN883" s="156"/>
      <c r="AO883" s="156"/>
      <c r="AP883" s="156"/>
      <c r="AQ883" s="156"/>
      <c r="AR883" s="156"/>
      <c r="AS883" s="156"/>
      <c r="AT883" s="156"/>
      <c r="AU883" s="156"/>
      <c r="AV883" s="156"/>
      <c r="AW883" s="156"/>
      <c r="AX883" s="156"/>
    </row>
    <row r="884" spans="4:50">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c r="AA884" s="156"/>
      <c r="AB884" s="156"/>
      <c r="AC884" s="156"/>
      <c r="AD884" s="156"/>
      <c r="AE884" s="156"/>
      <c r="AF884" s="156"/>
      <c r="AG884" s="156"/>
      <c r="AH884" s="156"/>
      <c r="AI884" s="156"/>
      <c r="AJ884" s="156"/>
      <c r="AK884" s="156"/>
      <c r="AL884" s="156"/>
      <c r="AM884" s="156"/>
      <c r="AN884" s="156"/>
      <c r="AO884" s="156"/>
      <c r="AP884" s="156"/>
      <c r="AQ884" s="156"/>
      <c r="AR884" s="156"/>
      <c r="AS884" s="156"/>
      <c r="AT884" s="156"/>
      <c r="AU884" s="156"/>
      <c r="AV884" s="156"/>
      <c r="AW884" s="156"/>
      <c r="AX884" s="156"/>
    </row>
    <row r="885" spans="4:50">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c r="AA885" s="156"/>
      <c r="AB885" s="156"/>
      <c r="AC885" s="156"/>
      <c r="AD885" s="156"/>
      <c r="AE885" s="156"/>
      <c r="AF885" s="156"/>
      <c r="AG885" s="156"/>
      <c r="AH885" s="156"/>
      <c r="AI885" s="156"/>
      <c r="AJ885" s="156"/>
      <c r="AK885" s="156"/>
      <c r="AL885" s="156"/>
      <c r="AM885" s="156"/>
      <c r="AN885" s="156"/>
      <c r="AO885" s="156"/>
      <c r="AP885" s="156"/>
      <c r="AQ885" s="156"/>
      <c r="AR885" s="156"/>
      <c r="AS885" s="156"/>
      <c r="AT885" s="156"/>
      <c r="AU885" s="156"/>
      <c r="AV885" s="156"/>
      <c r="AW885" s="156"/>
      <c r="AX885" s="156"/>
    </row>
    <row r="886" spans="4:50">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c r="AA886" s="156"/>
      <c r="AB886" s="156"/>
      <c r="AC886" s="156"/>
      <c r="AD886" s="156"/>
      <c r="AE886" s="156"/>
      <c r="AF886" s="156"/>
      <c r="AG886" s="156"/>
      <c r="AH886" s="156"/>
      <c r="AI886" s="156"/>
      <c r="AJ886" s="156"/>
      <c r="AK886" s="156"/>
      <c r="AL886" s="156"/>
      <c r="AM886" s="156"/>
      <c r="AN886" s="156"/>
      <c r="AO886" s="156"/>
      <c r="AP886" s="156"/>
      <c r="AQ886" s="156"/>
      <c r="AR886" s="156"/>
      <c r="AS886" s="156"/>
      <c r="AT886" s="156"/>
      <c r="AU886" s="156"/>
      <c r="AV886" s="156"/>
      <c r="AW886" s="156"/>
      <c r="AX886" s="156"/>
    </row>
    <row r="887" spans="4:50">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c r="AA887" s="156"/>
      <c r="AB887" s="156"/>
      <c r="AC887" s="156"/>
      <c r="AD887" s="156"/>
      <c r="AE887" s="156"/>
      <c r="AF887" s="156"/>
      <c r="AG887" s="156"/>
      <c r="AH887" s="156"/>
      <c r="AI887" s="156"/>
      <c r="AJ887" s="156"/>
      <c r="AK887" s="156"/>
      <c r="AL887" s="156"/>
      <c r="AM887" s="156"/>
      <c r="AN887" s="156"/>
      <c r="AO887" s="156"/>
      <c r="AP887" s="156"/>
      <c r="AQ887" s="156"/>
      <c r="AR887" s="156"/>
      <c r="AS887" s="156"/>
      <c r="AT887" s="156"/>
      <c r="AU887" s="156"/>
      <c r="AV887" s="156"/>
      <c r="AW887" s="156"/>
      <c r="AX887" s="156"/>
    </row>
    <row r="888" spans="4:50">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c r="AA888" s="156"/>
      <c r="AB888" s="156"/>
      <c r="AC888" s="156"/>
      <c r="AD888" s="156"/>
      <c r="AE888" s="156"/>
      <c r="AF888" s="156"/>
      <c r="AG888" s="156"/>
      <c r="AH888" s="156"/>
      <c r="AI888" s="156"/>
      <c r="AJ888" s="156"/>
      <c r="AK888" s="156"/>
      <c r="AL888" s="156"/>
      <c r="AM888" s="156"/>
      <c r="AN888" s="156"/>
      <c r="AO888" s="156"/>
      <c r="AP888" s="156"/>
      <c r="AQ888" s="156"/>
      <c r="AR888" s="156"/>
      <c r="AS888" s="156"/>
      <c r="AT888" s="156"/>
      <c r="AU888" s="156"/>
      <c r="AV888" s="156"/>
      <c r="AW888" s="156"/>
      <c r="AX888" s="156"/>
    </row>
    <row r="889" spans="4:50">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c r="AA889" s="156"/>
      <c r="AB889" s="156"/>
      <c r="AC889" s="156"/>
      <c r="AD889" s="156"/>
      <c r="AE889" s="156"/>
      <c r="AF889" s="156"/>
      <c r="AG889" s="156"/>
      <c r="AH889" s="156"/>
      <c r="AI889" s="156"/>
      <c r="AJ889" s="156"/>
      <c r="AK889" s="156"/>
      <c r="AL889" s="156"/>
      <c r="AM889" s="156"/>
      <c r="AN889" s="156"/>
      <c r="AO889" s="156"/>
      <c r="AP889" s="156"/>
      <c r="AQ889" s="156"/>
      <c r="AR889" s="156"/>
      <c r="AS889" s="156"/>
      <c r="AT889" s="156"/>
      <c r="AU889" s="156"/>
      <c r="AV889" s="156"/>
      <c r="AW889" s="156"/>
      <c r="AX889" s="156"/>
    </row>
    <row r="890" spans="4:50">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c r="AA890" s="156"/>
      <c r="AB890" s="156"/>
      <c r="AC890" s="156"/>
      <c r="AD890" s="156"/>
      <c r="AE890" s="156"/>
      <c r="AF890" s="156"/>
      <c r="AG890" s="156"/>
      <c r="AH890" s="156"/>
      <c r="AI890" s="156"/>
      <c r="AJ890" s="156"/>
      <c r="AK890" s="156"/>
      <c r="AL890" s="156"/>
      <c r="AM890" s="156"/>
      <c r="AN890" s="156"/>
      <c r="AO890" s="156"/>
      <c r="AP890" s="156"/>
      <c r="AQ890" s="156"/>
      <c r="AR890" s="156"/>
      <c r="AS890" s="156"/>
      <c r="AT890" s="156"/>
      <c r="AU890" s="156"/>
      <c r="AV890" s="156"/>
      <c r="AW890" s="156"/>
      <c r="AX890" s="156"/>
    </row>
    <row r="891" spans="4:50">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c r="AA891" s="156"/>
      <c r="AB891" s="156"/>
      <c r="AC891" s="156"/>
      <c r="AD891" s="156"/>
      <c r="AE891" s="156"/>
      <c r="AF891" s="156"/>
      <c r="AG891" s="156"/>
      <c r="AH891" s="156"/>
      <c r="AI891" s="156"/>
      <c r="AJ891" s="156"/>
      <c r="AK891" s="156"/>
      <c r="AL891" s="156"/>
      <c r="AM891" s="156"/>
      <c r="AN891" s="156"/>
      <c r="AO891" s="156"/>
      <c r="AP891" s="156"/>
      <c r="AQ891" s="156"/>
      <c r="AR891" s="156"/>
      <c r="AS891" s="156"/>
      <c r="AT891" s="156"/>
      <c r="AU891" s="156"/>
      <c r="AV891" s="156"/>
      <c r="AW891" s="156"/>
      <c r="AX891" s="156"/>
    </row>
    <row r="892" spans="4:50">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c r="AA892" s="156"/>
      <c r="AB892" s="156"/>
      <c r="AC892" s="156"/>
      <c r="AD892" s="156"/>
      <c r="AE892" s="156"/>
      <c r="AF892" s="156"/>
      <c r="AG892" s="156"/>
      <c r="AH892" s="156"/>
      <c r="AI892" s="156"/>
      <c r="AJ892" s="156"/>
      <c r="AK892" s="156"/>
      <c r="AL892" s="156"/>
      <c r="AM892" s="156"/>
      <c r="AN892" s="156"/>
      <c r="AO892" s="156"/>
      <c r="AP892" s="156"/>
      <c r="AQ892" s="156"/>
      <c r="AR892" s="156"/>
      <c r="AS892" s="156"/>
      <c r="AT892" s="156"/>
      <c r="AU892" s="156"/>
      <c r="AV892" s="156"/>
      <c r="AW892" s="156"/>
      <c r="AX892" s="156"/>
    </row>
    <row r="893" spans="4:50">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c r="AA893" s="156"/>
      <c r="AB893" s="156"/>
      <c r="AC893" s="156"/>
      <c r="AD893" s="156"/>
      <c r="AE893" s="156"/>
      <c r="AF893" s="156"/>
      <c r="AG893" s="156"/>
      <c r="AH893" s="156"/>
      <c r="AI893" s="156"/>
      <c r="AJ893" s="156"/>
      <c r="AK893" s="156"/>
      <c r="AL893" s="156"/>
      <c r="AM893" s="156"/>
      <c r="AN893" s="156"/>
      <c r="AO893" s="156"/>
      <c r="AP893" s="156"/>
      <c r="AQ893" s="156"/>
      <c r="AR893" s="156"/>
      <c r="AS893" s="156"/>
      <c r="AT893" s="156"/>
      <c r="AU893" s="156"/>
      <c r="AV893" s="156"/>
      <c r="AW893" s="156"/>
      <c r="AX893" s="156"/>
    </row>
    <row r="894" spans="4:50">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c r="AA894" s="156"/>
      <c r="AB894" s="156"/>
      <c r="AC894" s="156"/>
      <c r="AD894" s="156"/>
      <c r="AE894" s="156"/>
      <c r="AF894" s="156"/>
      <c r="AG894" s="156"/>
      <c r="AH894" s="156"/>
      <c r="AI894" s="156"/>
      <c r="AJ894" s="156"/>
      <c r="AK894" s="156"/>
      <c r="AL894" s="156"/>
      <c r="AM894" s="156"/>
      <c r="AN894" s="156"/>
      <c r="AO894" s="156"/>
      <c r="AP894" s="156"/>
      <c r="AQ894" s="156"/>
      <c r="AR894" s="156"/>
      <c r="AS894" s="156"/>
      <c r="AT894" s="156"/>
      <c r="AU894" s="156"/>
      <c r="AV894" s="156"/>
      <c r="AW894" s="156"/>
      <c r="AX894" s="156"/>
    </row>
    <row r="895" spans="4:50">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c r="AA895" s="156"/>
      <c r="AB895" s="156"/>
      <c r="AC895" s="156"/>
      <c r="AD895" s="156"/>
      <c r="AE895" s="156"/>
      <c r="AF895" s="156"/>
      <c r="AG895" s="156"/>
      <c r="AH895" s="156"/>
      <c r="AI895" s="156"/>
      <c r="AJ895" s="156"/>
      <c r="AK895" s="156"/>
      <c r="AL895" s="156"/>
      <c r="AM895" s="156"/>
      <c r="AN895" s="156"/>
      <c r="AO895" s="156"/>
      <c r="AP895" s="156"/>
      <c r="AQ895" s="156"/>
      <c r="AR895" s="156"/>
      <c r="AS895" s="156"/>
      <c r="AT895" s="156"/>
      <c r="AU895" s="156"/>
      <c r="AV895" s="156"/>
      <c r="AW895" s="156"/>
      <c r="AX895" s="156"/>
    </row>
    <row r="896" spans="4:50">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c r="AA896" s="156"/>
      <c r="AB896" s="156"/>
      <c r="AC896" s="156"/>
      <c r="AD896" s="156"/>
      <c r="AE896" s="156"/>
      <c r="AF896" s="156"/>
      <c r="AG896" s="156"/>
      <c r="AH896" s="156"/>
      <c r="AI896" s="156"/>
      <c r="AJ896" s="156"/>
      <c r="AK896" s="156"/>
      <c r="AL896" s="156"/>
      <c r="AM896" s="156"/>
      <c r="AN896" s="156"/>
      <c r="AO896" s="156"/>
      <c r="AP896" s="156"/>
      <c r="AQ896" s="156"/>
      <c r="AR896" s="156"/>
      <c r="AS896" s="156"/>
      <c r="AT896" s="156"/>
      <c r="AU896" s="156"/>
      <c r="AV896" s="156"/>
      <c r="AW896" s="156"/>
      <c r="AX896" s="156"/>
    </row>
    <row r="897" spans="4:50">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c r="AA897" s="156"/>
      <c r="AB897" s="156"/>
      <c r="AC897" s="156"/>
      <c r="AD897" s="156"/>
      <c r="AE897" s="156"/>
      <c r="AF897" s="156"/>
      <c r="AG897" s="156"/>
      <c r="AH897" s="156"/>
      <c r="AI897" s="156"/>
      <c r="AJ897" s="156"/>
      <c r="AK897" s="156"/>
      <c r="AL897" s="156"/>
      <c r="AM897" s="156"/>
      <c r="AN897" s="156"/>
      <c r="AO897" s="156"/>
      <c r="AP897" s="156"/>
      <c r="AQ897" s="156"/>
      <c r="AR897" s="156"/>
      <c r="AS897" s="156"/>
      <c r="AT897" s="156"/>
      <c r="AU897" s="156"/>
      <c r="AV897" s="156"/>
      <c r="AW897" s="156"/>
      <c r="AX897" s="156"/>
    </row>
    <row r="898" spans="4:50">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c r="AA898" s="156"/>
      <c r="AB898" s="156"/>
      <c r="AC898" s="156"/>
      <c r="AD898" s="156"/>
      <c r="AE898" s="156"/>
      <c r="AF898" s="156"/>
      <c r="AG898" s="156"/>
      <c r="AH898" s="156"/>
      <c r="AI898" s="156"/>
      <c r="AJ898" s="156"/>
      <c r="AK898" s="156"/>
      <c r="AL898" s="156"/>
      <c r="AM898" s="156"/>
      <c r="AN898" s="156"/>
      <c r="AO898" s="156"/>
      <c r="AP898" s="156"/>
      <c r="AQ898" s="156"/>
      <c r="AR898" s="156"/>
      <c r="AS898" s="156"/>
      <c r="AT898" s="156"/>
      <c r="AU898" s="156"/>
      <c r="AV898" s="156"/>
      <c r="AW898" s="156"/>
      <c r="AX898" s="156"/>
    </row>
    <row r="899" spans="4:50">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c r="AA899" s="156"/>
      <c r="AB899" s="156"/>
      <c r="AC899" s="156"/>
      <c r="AD899" s="156"/>
      <c r="AE899" s="156"/>
      <c r="AF899" s="156"/>
      <c r="AG899" s="156"/>
      <c r="AH899" s="156"/>
      <c r="AI899" s="156"/>
      <c r="AJ899" s="156"/>
      <c r="AK899" s="156"/>
      <c r="AL899" s="156"/>
      <c r="AM899" s="156"/>
      <c r="AN899" s="156"/>
      <c r="AO899" s="156"/>
      <c r="AP899" s="156"/>
      <c r="AQ899" s="156"/>
      <c r="AR899" s="156"/>
      <c r="AS899" s="156"/>
      <c r="AT899" s="156"/>
      <c r="AU899" s="156"/>
      <c r="AV899" s="156"/>
      <c r="AW899" s="156"/>
      <c r="AX899" s="156"/>
    </row>
    <row r="900" spans="4:50">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c r="AA900" s="156"/>
      <c r="AB900" s="156"/>
      <c r="AC900" s="156"/>
      <c r="AD900" s="156"/>
      <c r="AE900" s="156"/>
      <c r="AF900" s="156"/>
      <c r="AG900" s="156"/>
      <c r="AH900" s="156"/>
      <c r="AI900" s="156"/>
      <c r="AJ900" s="156"/>
      <c r="AK900" s="156"/>
      <c r="AL900" s="156"/>
      <c r="AM900" s="156"/>
      <c r="AN900" s="156"/>
      <c r="AO900" s="156"/>
      <c r="AP900" s="156"/>
      <c r="AQ900" s="156"/>
      <c r="AR900" s="156"/>
      <c r="AS900" s="156"/>
      <c r="AT900" s="156"/>
      <c r="AU900" s="156"/>
      <c r="AV900" s="156"/>
      <c r="AW900" s="156"/>
      <c r="AX900" s="156"/>
    </row>
    <row r="901" spans="4:50">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c r="AA901" s="156"/>
      <c r="AB901" s="156"/>
      <c r="AC901" s="156"/>
      <c r="AD901" s="156"/>
      <c r="AE901" s="156"/>
      <c r="AF901" s="156"/>
      <c r="AG901" s="156"/>
      <c r="AH901" s="156"/>
      <c r="AI901" s="156"/>
      <c r="AJ901" s="156"/>
      <c r="AK901" s="156"/>
      <c r="AL901" s="156"/>
      <c r="AM901" s="156"/>
      <c r="AN901" s="156"/>
      <c r="AO901" s="156"/>
      <c r="AP901" s="156"/>
      <c r="AQ901" s="156"/>
      <c r="AR901" s="156"/>
      <c r="AS901" s="156"/>
      <c r="AT901" s="156"/>
      <c r="AU901" s="156"/>
      <c r="AV901" s="156"/>
      <c r="AW901" s="156"/>
      <c r="AX901" s="156"/>
    </row>
    <row r="902" spans="4:50">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c r="AA902" s="156"/>
      <c r="AB902" s="156"/>
      <c r="AC902" s="156"/>
      <c r="AD902" s="156"/>
      <c r="AE902" s="156"/>
      <c r="AF902" s="156"/>
      <c r="AG902" s="156"/>
      <c r="AH902" s="156"/>
      <c r="AI902" s="156"/>
      <c r="AJ902" s="156"/>
      <c r="AK902" s="156"/>
      <c r="AL902" s="156"/>
      <c r="AM902" s="156"/>
      <c r="AN902" s="156"/>
      <c r="AO902" s="156"/>
      <c r="AP902" s="156"/>
      <c r="AQ902" s="156"/>
      <c r="AR902" s="156"/>
      <c r="AS902" s="156"/>
      <c r="AT902" s="156"/>
      <c r="AU902" s="156"/>
      <c r="AV902" s="156"/>
      <c r="AW902" s="156"/>
      <c r="AX902" s="156"/>
    </row>
    <row r="903" spans="4:50">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c r="AA903" s="156"/>
      <c r="AB903" s="156"/>
      <c r="AC903" s="156"/>
      <c r="AD903" s="156"/>
      <c r="AE903" s="156"/>
      <c r="AF903" s="156"/>
      <c r="AG903" s="156"/>
      <c r="AH903" s="156"/>
      <c r="AI903" s="156"/>
      <c r="AJ903" s="156"/>
      <c r="AK903" s="156"/>
      <c r="AL903" s="156"/>
      <c r="AM903" s="156"/>
      <c r="AN903" s="156"/>
      <c r="AO903" s="156"/>
      <c r="AP903" s="156"/>
      <c r="AQ903" s="156"/>
      <c r="AR903" s="156"/>
      <c r="AS903" s="156"/>
      <c r="AT903" s="156"/>
      <c r="AU903" s="156"/>
      <c r="AV903" s="156"/>
      <c r="AW903" s="156"/>
      <c r="AX903" s="156"/>
    </row>
    <row r="904" spans="4:50">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c r="AA904" s="156"/>
      <c r="AB904" s="156"/>
      <c r="AC904" s="156"/>
      <c r="AD904" s="156"/>
      <c r="AE904" s="156"/>
      <c r="AF904" s="156"/>
      <c r="AG904" s="156"/>
      <c r="AH904" s="156"/>
      <c r="AI904" s="156"/>
      <c r="AJ904" s="156"/>
      <c r="AK904" s="156"/>
      <c r="AL904" s="156"/>
      <c r="AM904" s="156"/>
      <c r="AN904" s="156"/>
      <c r="AO904" s="156"/>
      <c r="AP904" s="156"/>
      <c r="AQ904" s="156"/>
      <c r="AR904" s="156"/>
      <c r="AS904" s="156"/>
      <c r="AT904" s="156"/>
      <c r="AU904" s="156"/>
      <c r="AV904" s="156"/>
      <c r="AW904" s="156"/>
      <c r="AX904" s="156"/>
    </row>
    <row r="905" spans="4:50">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c r="AA905" s="156"/>
      <c r="AB905" s="156"/>
      <c r="AC905" s="156"/>
      <c r="AD905" s="156"/>
      <c r="AE905" s="156"/>
      <c r="AF905" s="156"/>
      <c r="AG905" s="156"/>
      <c r="AH905" s="156"/>
      <c r="AI905" s="156"/>
      <c r="AJ905" s="156"/>
      <c r="AK905" s="156"/>
      <c r="AL905" s="156"/>
      <c r="AM905" s="156"/>
      <c r="AN905" s="156"/>
      <c r="AO905" s="156"/>
      <c r="AP905" s="156"/>
      <c r="AQ905" s="156"/>
      <c r="AR905" s="156"/>
      <c r="AS905" s="156"/>
      <c r="AT905" s="156"/>
      <c r="AU905" s="156"/>
      <c r="AV905" s="156"/>
      <c r="AW905" s="156"/>
      <c r="AX905" s="156"/>
    </row>
    <row r="906" spans="4:50">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c r="AA906" s="156"/>
      <c r="AB906" s="156"/>
      <c r="AC906" s="156"/>
      <c r="AD906" s="156"/>
      <c r="AE906" s="156"/>
      <c r="AF906" s="156"/>
      <c r="AG906" s="156"/>
      <c r="AH906" s="156"/>
      <c r="AI906" s="156"/>
      <c r="AJ906" s="156"/>
      <c r="AK906" s="156"/>
      <c r="AL906" s="156"/>
      <c r="AM906" s="156"/>
      <c r="AN906" s="156"/>
      <c r="AO906" s="156"/>
      <c r="AP906" s="156"/>
      <c r="AQ906" s="156"/>
      <c r="AR906" s="156"/>
      <c r="AS906" s="156"/>
      <c r="AT906" s="156"/>
      <c r="AU906" s="156"/>
      <c r="AV906" s="156"/>
      <c r="AW906" s="156"/>
      <c r="AX906" s="156"/>
    </row>
    <row r="907" spans="4:50">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c r="AA907" s="156"/>
      <c r="AB907" s="156"/>
      <c r="AC907" s="156"/>
      <c r="AD907" s="156"/>
      <c r="AE907" s="156"/>
      <c r="AF907" s="156"/>
      <c r="AG907" s="156"/>
      <c r="AH907" s="156"/>
      <c r="AI907" s="156"/>
      <c r="AJ907" s="156"/>
      <c r="AK907" s="156"/>
      <c r="AL907" s="156"/>
      <c r="AM907" s="156"/>
      <c r="AN907" s="156"/>
      <c r="AO907" s="156"/>
      <c r="AP907" s="156"/>
      <c r="AQ907" s="156"/>
      <c r="AR907" s="156"/>
      <c r="AS907" s="156"/>
      <c r="AT907" s="156"/>
      <c r="AU907" s="156"/>
      <c r="AV907" s="156"/>
      <c r="AW907" s="156"/>
      <c r="AX907" s="156"/>
    </row>
    <row r="908" spans="4:50">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c r="AA908" s="156"/>
      <c r="AB908" s="156"/>
      <c r="AC908" s="156"/>
      <c r="AD908" s="156"/>
      <c r="AE908" s="156"/>
      <c r="AF908" s="156"/>
      <c r="AG908" s="156"/>
      <c r="AH908" s="156"/>
      <c r="AI908" s="156"/>
      <c r="AJ908" s="156"/>
      <c r="AK908" s="156"/>
      <c r="AL908" s="156"/>
      <c r="AM908" s="156"/>
      <c r="AN908" s="156"/>
      <c r="AO908" s="156"/>
      <c r="AP908" s="156"/>
      <c r="AQ908" s="156"/>
      <c r="AR908" s="156"/>
      <c r="AS908" s="156"/>
      <c r="AT908" s="156"/>
      <c r="AU908" s="156"/>
      <c r="AV908" s="156"/>
      <c r="AW908" s="156"/>
      <c r="AX908" s="156"/>
    </row>
    <row r="909" spans="4:50">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c r="AA909" s="156"/>
      <c r="AB909" s="156"/>
      <c r="AC909" s="156"/>
      <c r="AD909" s="156"/>
      <c r="AE909" s="156"/>
      <c r="AF909" s="156"/>
      <c r="AG909" s="156"/>
      <c r="AH909" s="156"/>
      <c r="AI909" s="156"/>
      <c r="AJ909" s="156"/>
      <c r="AK909" s="156"/>
      <c r="AL909" s="156"/>
      <c r="AM909" s="156"/>
      <c r="AN909" s="156"/>
      <c r="AO909" s="156"/>
      <c r="AP909" s="156"/>
      <c r="AQ909" s="156"/>
      <c r="AR909" s="156"/>
      <c r="AS909" s="156"/>
      <c r="AT909" s="156"/>
      <c r="AU909" s="156"/>
      <c r="AV909" s="156"/>
      <c r="AW909" s="156"/>
      <c r="AX909" s="156"/>
    </row>
    <row r="910" spans="4:50">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c r="AA910" s="156"/>
      <c r="AB910" s="156"/>
      <c r="AC910" s="156"/>
      <c r="AD910" s="156"/>
      <c r="AE910" s="156"/>
      <c r="AF910" s="156"/>
      <c r="AG910" s="156"/>
      <c r="AH910" s="156"/>
      <c r="AI910" s="156"/>
      <c r="AJ910" s="156"/>
      <c r="AK910" s="156"/>
      <c r="AL910" s="156"/>
      <c r="AM910" s="156"/>
      <c r="AN910" s="156"/>
      <c r="AO910" s="156"/>
      <c r="AP910" s="156"/>
      <c r="AQ910" s="156"/>
      <c r="AR910" s="156"/>
      <c r="AS910" s="156"/>
      <c r="AT910" s="156"/>
      <c r="AU910" s="156"/>
      <c r="AV910" s="156"/>
      <c r="AW910" s="156"/>
      <c r="AX910" s="156"/>
    </row>
    <row r="911" spans="4:50">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c r="AA911" s="156"/>
      <c r="AB911" s="156"/>
      <c r="AC911" s="156"/>
      <c r="AD911" s="156"/>
      <c r="AE911" s="156"/>
      <c r="AF911" s="156"/>
      <c r="AG911" s="156"/>
      <c r="AH911" s="156"/>
      <c r="AI911" s="156"/>
      <c r="AJ911" s="156"/>
      <c r="AK911" s="156"/>
      <c r="AL911" s="156"/>
      <c r="AM911" s="156"/>
      <c r="AN911" s="156"/>
      <c r="AO911" s="156"/>
      <c r="AP911" s="156"/>
      <c r="AQ911" s="156"/>
      <c r="AR911" s="156"/>
      <c r="AS911" s="156"/>
      <c r="AT911" s="156"/>
      <c r="AU911" s="156"/>
      <c r="AV911" s="156"/>
      <c r="AW911" s="156"/>
      <c r="AX911" s="156"/>
    </row>
    <row r="912" spans="4:50">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c r="AA912" s="156"/>
      <c r="AB912" s="156"/>
      <c r="AC912" s="156"/>
      <c r="AD912" s="156"/>
      <c r="AE912" s="156"/>
      <c r="AF912" s="156"/>
      <c r="AG912" s="156"/>
      <c r="AH912" s="156"/>
      <c r="AI912" s="156"/>
      <c r="AJ912" s="156"/>
      <c r="AK912" s="156"/>
      <c r="AL912" s="156"/>
      <c r="AM912" s="156"/>
      <c r="AN912" s="156"/>
      <c r="AO912" s="156"/>
      <c r="AP912" s="156"/>
      <c r="AQ912" s="156"/>
      <c r="AR912" s="156"/>
      <c r="AS912" s="156"/>
      <c r="AT912" s="156"/>
      <c r="AU912" s="156"/>
      <c r="AV912" s="156"/>
      <c r="AW912" s="156"/>
      <c r="AX912" s="156"/>
    </row>
    <row r="913" spans="4:50">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c r="AA913" s="156"/>
      <c r="AB913" s="156"/>
      <c r="AC913" s="156"/>
      <c r="AD913" s="156"/>
      <c r="AE913" s="156"/>
      <c r="AF913" s="156"/>
      <c r="AG913" s="156"/>
      <c r="AH913" s="156"/>
      <c r="AI913" s="156"/>
      <c r="AJ913" s="156"/>
      <c r="AK913" s="156"/>
      <c r="AL913" s="156"/>
      <c r="AM913" s="156"/>
      <c r="AN913" s="156"/>
      <c r="AO913" s="156"/>
      <c r="AP913" s="156"/>
      <c r="AQ913" s="156"/>
      <c r="AR913" s="156"/>
      <c r="AS913" s="156"/>
      <c r="AT913" s="156"/>
      <c r="AU913" s="156"/>
      <c r="AV913" s="156"/>
      <c r="AW913" s="156"/>
      <c r="AX913" s="156"/>
    </row>
    <row r="914" spans="4:50">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c r="AA914" s="156"/>
      <c r="AB914" s="156"/>
      <c r="AC914" s="156"/>
      <c r="AD914" s="156"/>
      <c r="AE914" s="156"/>
      <c r="AF914" s="156"/>
      <c r="AG914" s="156"/>
      <c r="AH914" s="156"/>
      <c r="AI914" s="156"/>
      <c r="AJ914" s="156"/>
      <c r="AK914" s="156"/>
      <c r="AL914" s="156"/>
      <c r="AM914" s="156"/>
      <c r="AN914" s="156"/>
      <c r="AO914" s="156"/>
      <c r="AP914" s="156"/>
      <c r="AQ914" s="156"/>
      <c r="AR914" s="156"/>
      <c r="AS914" s="156"/>
      <c r="AT914" s="156"/>
      <c r="AU914" s="156"/>
      <c r="AV914" s="156"/>
      <c r="AW914" s="156"/>
      <c r="AX914" s="156"/>
    </row>
    <row r="915" spans="4:50">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c r="AA915" s="156"/>
      <c r="AB915" s="156"/>
      <c r="AC915" s="156"/>
      <c r="AD915" s="156"/>
      <c r="AE915" s="156"/>
      <c r="AF915" s="156"/>
      <c r="AG915" s="156"/>
      <c r="AH915" s="156"/>
      <c r="AI915" s="156"/>
      <c r="AJ915" s="156"/>
      <c r="AK915" s="156"/>
      <c r="AL915" s="156"/>
      <c r="AM915" s="156"/>
      <c r="AN915" s="156"/>
      <c r="AO915" s="156"/>
      <c r="AP915" s="156"/>
      <c r="AQ915" s="156"/>
      <c r="AR915" s="156"/>
      <c r="AS915" s="156"/>
      <c r="AT915" s="156"/>
      <c r="AU915" s="156"/>
      <c r="AV915" s="156"/>
      <c r="AW915" s="156"/>
      <c r="AX915" s="156"/>
    </row>
    <row r="916" spans="4:50">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c r="AA916" s="156"/>
      <c r="AB916" s="156"/>
      <c r="AC916" s="156"/>
      <c r="AD916" s="156"/>
      <c r="AE916" s="156"/>
      <c r="AF916" s="156"/>
      <c r="AG916" s="156"/>
      <c r="AH916" s="156"/>
      <c r="AI916" s="156"/>
      <c r="AJ916" s="156"/>
      <c r="AK916" s="156"/>
      <c r="AL916" s="156"/>
      <c r="AM916" s="156"/>
      <c r="AN916" s="156"/>
      <c r="AO916" s="156"/>
      <c r="AP916" s="156"/>
      <c r="AQ916" s="156"/>
      <c r="AR916" s="156"/>
      <c r="AS916" s="156"/>
      <c r="AT916" s="156"/>
      <c r="AU916" s="156"/>
      <c r="AV916" s="156"/>
      <c r="AW916" s="156"/>
      <c r="AX916" s="156"/>
    </row>
    <row r="917" spans="4:50">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c r="AA917" s="156"/>
      <c r="AB917" s="156"/>
      <c r="AC917" s="156"/>
      <c r="AD917" s="156"/>
      <c r="AE917" s="156"/>
      <c r="AF917" s="156"/>
      <c r="AG917" s="156"/>
      <c r="AH917" s="156"/>
      <c r="AI917" s="156"/>
      <c r="AJ917" s="156"/>
      <c r="AK917" s="156"/>
      <c r="AL917" s="156"/>
      <c r="AM917" s="156"/>
      <c r="AN917" s="156"/>
      <c r="AO917" s="156"/>
      <c r="AP917" s="156"/>
      <c r="AQ917" s="156"/>
      <c r="AR917" s="156"/>
      <c r="AS917" s="156"/>
      <c r="AT917" s="156"/>
      <c r="AU917" s="156"/>
      <c r="AV917" s="156"/>
      <c r="AW917" s="156"/>
      <c r="AX917" s="156"/>
    </row>
    <row r="918" spans="4:50">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c r="AA918" s="156"/>
      <c r="AB918" s="156"/>
      <c r="AC918" s="156"/>
      <c r="AD918" s="156"/>
      <c r="AE918" s="156"/>
      <c r="AF918" s="156"/>
      <c r="AG918" s="156"/>
      <c r="AH918" s="156"/>
      <c r="AI918" s="156"/>
      <c r="AJ918" s="156"/>
      <c r="AK918" s="156"/>
      <c r="AL918" s="156"/>
      <c r="AM918" s="156"/>
      <c r="AN918" s="156"/>
      <c r="AO918" s="156"/>
      <c r="AP918" s="156"/>
      <c r="AQ918" s="156"/>
      <c r="AR918" s="156"/>
      <c r="AS918" s="156"/>
      <c r="AT918" s="156"/>
      <c r="AU918" s="156"/>
      <c r="AV918" s="156"/>
      <c r="AW918" s="156"/>
      <c r="AX918" s="156"/>
    </row>
    <row r="919" spans="4:50">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c r="AA919" s="156"/>
      <c r="AB919" s="156"/>
      <c r="AC919" s="156"/>
      <c r="AD919" s="156"/>
      <c r="AE919" s="156"/>
      <c r="AF919" s="156"/>
      <c r="AG919" s="156"/>
      <c r="AH919" s="156"/>
      <c r="AI919" s="156"/>
      <c r="AJ919" s="156"/>
      <c r="AK919" s="156"/>
      <c r="AL919" s="156"/>
      <c r="AM919" s="156"/>
      <c r="AN919" s="156"/>
      <c r="AO919" s="156"/>
      <c r="AP919" s="156"/>
      <c r="AQ919" s="156"/>
      <c r="AR919" s="156"/>
      <c r="AS919" s="156"/>
      <c r="AT919" s="156"/>
      <c r="AU919" s="156"/>
      <c r="AV919" s="156"/>
      <c r="AW919" s="156"/>
      <c r="AX919" s="156"/>
    </row>
    <row r="920" spans="4:50">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c r="AA920" s="156"/>
      <c r="AB920" s="156"/>
      <c r="AC920" s="156"/>
      <c r="AD920" s="156"/>
      <c r="AE920" s="156"/>
      <c r="AF920" s="156"/>
      <c r="AG920" s="156"/>
      <c r="AH920" s="156"/>
      <c r="AI920" s="156"/>
      <c r="AJ920" s="156"/>
      <c r="AK920" s="156"/>
      <c r="AL920" s="156"/>
      <c r="AM920" s="156"/>
      <c r="AN920" s="156"/>
      <c r="AO920" s="156"/>
      <c r="AP920" s="156"/>
      <c r="AQ920" s="156"/>
      <c r="AR920" s="156"/>
      <c r="AS920" s="156"/>
      <c r="AT920" s="156"/>
      <c r="AU920" s="156"/>
      <c r="AV920" s="156"/>
      <c r="AW920" s="156"/>
      <c r="AX920" s="156"/>
    </row>
    <row r="921" spans="4:50">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c r="AA921" s="156"/>
      <c r="AB921" s="156"/>
      <c r="AC921" s="156"/>
      <c r="AD921" s="156"/>
      <c r="AE921" s="156"/>
      <c r="AF921" s="156"/>
      <c r="AG921" s="156"/>
      <c r="AH921" s="156"/>
      <c r="AI921" s="156"/>
      <c r="AJ921" s="156"/>
      <c r="AK921" s="156"/>
      <c r="AL921" s="156"/>
      <c r="AM921" s="156"/>
      <c r="AN921" s="156"/>
      <c r="AO921" s="156"/>
      <c r="AP921" s="156"/>
      <c r="AQ921" s="156"/>
      <c r="AR921" s="156"/>
      <c r="AS921" s="156"/>
      <c r="AT921" s="156"/>
      <c r="AU921" s="156"/>
      <c r="AV921" s="156"/>
      <c r="AW921" s="156"/>
      <c r="AX921" s="156"/>
    </row>
    <row r="922" spans="4:50">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c r="AA922" s="156"/>
      <c r="AB922" s="156"/>
      <c r="AC922" s="156"/>
      <c r="AD922" s="156"/>
      <c r="AE922" s="156"/>
      <c r="AF922" s="156"/>
      <c r="AG922" s="156"/>
      <c r="AH922" s="156"/>
      <c r="AI922" s="156"/>
      <c r="AJ922" s="156"/>
      <c r="AK922" s="156"/>
      <c r="AL922" s="156"/>
      <c r="AM922" s="156"/>
      <c r="AN922" s="156"/>
      <c r="AO922" s="156"/>
      <c r="AP922" s="156"/>
      <c r="AQ922" s="156"/>
      <c r="AR922" s="156"/>
      <c r="AS922" s="156"/>
      <c r="AT922" s="156"/>
      <c r="AU922" s="156"/>
      <c r="AV922" s="156"/>
      <c r="AW922" s="156"/>
      <c r="AX922" s="156"/>
    </row>
    <row r="923" spans="4:50">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c r="AA923" s="156"/>
      <c r="AB923" s="156"/>
      <c r="AC923" s="156"/>
      <c r="AD923" s="156"/>
      <c r="AE923" s="156"/>
      <c r="AF923" s="156"/>
      <c r="AG923" s="156"/>
      <c r="AH923" s="156"/>
      <c r="AI923" s="156"/>
      <c r="AJ923" s="156"/>
      <c r="AK923" s="156"/>
      <c r="AL923" s="156"/>
      <c r="AM923" s="156"/>
      <c r="AN923" s="156"/>
      <c r="AO923" s="156"/>
      <c r="AP923" s="156"/>
      <c r="AQ923" s="156"/>
      <c r="AR923" s="156"/>
      <c r="AS923" s="156"/>
      <c r="AT923" s="156"/>
      <c r="AU923" s="156"/>
      <c r="AV923" s="156"/>
      <c r="AW923" s="156"/>
      <c r="AX923" s="156"/>
    </row>
    <row r="924" spans="4:50">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c r="AA924" s="156"/>
      <c r="AB924" s="156"/>
      <c r="AC924" s="156"/>
      <c r="AD924" s="156"/>
      <c r="AE924" s="156"/>
      <c r="AF924" s="156"/>
      <c r="AG924" s="156"/>
      <c r="AH924" s="156"/>
      <c r="AI924" s="156"/>
      <c r="AJ924" s="156"/>
      <c r="AK924" s="156"/>
      <c r="AL924" s="156"/>
      <c r="AM924" s="156"/>
      <c r="AN924" s="156"/>
      <c r="AO924" s="156"/>
      <c r="AP924" s="156"/>
      <c r="AQ924" s="156"/>
      <c r="AR924" s="156"/>
      <c r="AS924" s="156"/>
      <c r="AT924" s="156"/>
      <c r="AU924" s="156"/>
      <c r="AV924" s="156"/>
      <c r="AW924" s="156"/>
      <c r="AX924" s="156"/>
    </row>
    <row r="925" spans="4:50">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c r="AA925" s="156"/>
      <c r="AB925" s="156"/>
      <c r="AC925" s="156"/>
      <c r="AD925" s="156"/>
      <c r="AE925" s="156"/>
      <c r="AF925" s="156"/>
      <c r="AG925" s="156"/>
      <c r="AH925" s="156"/>
      <c r="AI925" s="156"/>
      <c r="AJ925" s="156"/>
      <c r="AK925" s="156"/>
      <c r="AL925" s="156"/>
      <c r="AM925" s="156"/>
      <c r="AN925" s="156"/>
      <c r="AO925" s="156"/>
      <c r="AP925" s="156"/>
      <c r="AQ925" s="156"/>
      <c r="AR925" s="156"/>
      <c r="AS925" s="156"/>
      <c r="AT925" s="156"/>
      <c r="AU925" s="156"/>
      <c r="AV925" s="156"/>
      <c r="AW925" s="156"/>
      <c r="AX925" s="156"/>
    </row>
    <row r="926" spans="4:50">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c r="AA926" s="156"/>
      <c r="AB926" s="156"/>
      <c r="AC926" s="156"/>
      <c r="AD926" s="156"/>
      <c r="AE926" s="156"/>
      <c r="AF926" s="156"/>
      <c r="AG926" s="156"/>
      <c r="AH926" s="156"/>
      <c r="AI926" s="156"/>
      <c r="AJ926" s="156"/>
      <c r="AK926" s="156"/>
      <c r="AL926" s="156"/>
      <c r="AM926" s="156"/>
      <c r="AN926" s="156"/>
      <c r="AO926" s="156"/>
      <c r="AP926" s="156"/>
      <c r="AQ926" s="156"/>
      <c r="AR926" s="156"/>
      <c r="AS926" s="156"/>
      <c r="AT926" s="156"/>
      <c r="AU926" s="156"/>
      <c r="AV926" s="156"/>
      <c r="AW926" s="156"/>
      <c r="AX926" s="156"/>
    </row>
    <row r="927" spans="4:50">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c r="AA927" s="156"/>
      <c r="AB927" s="156"/>
      <c r="AC927" s="156"/>
      <c r="AD927" s="156"/>
      <c r="AE927" s="156"/>
      <c r="AF927" s="156"/>
      <c r="AG927" s="156"/>
      <c r="AH927" s="156"/>
      <c r="AI927" s="156"/>
      <c r="AJ927" s="156"/>
      <c r="AK927" s="156"/>
      <c r="AL927" s="156"/>
      <c r="AM927" s="156"/>
      <c r="AN927" s="156"/>
      <c r="AO927" s="156"/>
      <c r="AP927" s="156"/>
      <c r="AQ927" s="156"/>
      <c r="AR927" s="156"/>
      <c r="AS927" s="156"/>
      <c r="AT927" s="156"/>
      <c r="AU927" s="156"/>
      <c r="AV927" s="156"/>
      <c r="AW927" s="156"/>
      <c r="AX927" s="156"/>
    </row>
    <row r="928" spans="4:50">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c r="AA928" s="156"/>
      <c r="AB928" s="156"/>
      <c r="AC928" s="156"/>
      <c r="AD928" s="156"/>
      <c r="AE928" s="156"/>
      <c r="AF928" s="156"/>
      <c r="AG928" s="156"/>
      <c r="AH928" s="156"/>
      <c r="AI928" s="156"/>
      <c r="AJ928" s="156"/>
      <c r="AK928" s="156"/>
      <c r="AL928" s="156"/>
      <c r="AM928" s="156"/>
      <c r="AN928" s="156"/>
      <c r="AO928" s="156"/>
      <c r="AP928" s="156"/>
      <c r="AQ928" s="156"/>
      <c r="AR928" s="156"/>
      <c r="AS928" s="156"/>
      <c r="AT928" s="156"/>
      <c r="AU928" s="156"/>
      <c r="AV928" s="156"/>
      <c r="AW928" s="156"/>
      <c r="AX928" s="156"/>
    </row>
    <row r="929" spans="4:50">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c r="AA929" s="156"/>
      <c r="AB929" s="156"/>
      <c r="AC929" s="156"/>
      <c r="AD929" s="156"/>
      <c r="AE929" s="156"/>
      <c r="AF929" s="156"/>
      <c r="AG929" s="156"/>
      <c r="AH929" s="156"/>
      <c r="AI929" s="156"/>
      <c r="AJ929" s="156"/>
      <c r="AK929" s="156"/>
      <c r="AL929" s="156"/>
      <c r="AM929" s="156"/>
      <c r="AN929" s="156"/>
      <c r="AO929" s="156"/>
      <c r="AP929" s="156"/>
      <c r="AQ929" s="156"/>
      <c r="AR929" s="156"/>
      <c r="AS929" s="156"/>
      <c r="AT929" s="156"/>
      <c r="AU929" s="156"/>
      <c r="AV929" s="156"/>
      <c r="AW929" s="156"/>
      <c r="AX929" s="156"/>
    </row>
    <row r="930" spans="4:50">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c r="AA930" s="156"/>
      <c r="AB930" s="156"/>
      <c r="AC930" s="156"/>
      <c r="AD930" s="156"/>
      <c r="AE930" s="156"/>
      <c r="AF930" s="156"/>
      <c r="AG930" s="156"/>
      <c r="AH930" s="156"/>
      <c r="AI930" s="156"/>
      <c r="AJ930" s="156"/>
      <c r="AK930" s="156"/>
      <c r="AL930" s="156"/>
      <c r="AM930" s="156"/>
      <c r="AN930" s="156"/>
      <c r="AO930" s="156"/>
      <c r="AP930" s="156"/>
      <c r="AQ930" s="156"/>
      <c r="AR930" s="156"/>
      <c r="AS930" s="156"/>
      <c r="AT930" s="156"/>
      <c r="AU930" s="156"/>
      <c r="AV930" s="156"/>
      <c r="AW930" s="156"/>
      <c r="AX930" s="156"/>
    </row>
    <row r="931" spans="4:50">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c r="AA931" s="156"/>
      <c r="AB931" s="156"/>
      <c r="AC931" s="156"/>
      <c r="AD931" s="156"/>
      <c r="AE931" s="156"/>
      <c r="AF931" s="156"/>
      <c r="AG931" s="156"/>
      <c r="AH931" s="156"/>
      <c r="AI931" s="156"/>
      <c r="AJ931" s="156"/>
      <c r="AK931" s="156"/>
      <c r="AL931" s="156"/>
      <c r="AM931" s="156"/>
      <c r="AN931" s="156"/>
      <c r="AO931" s="156"/>
      <c r="AP931" s="156"/>
      <c r="AQ931" s="156"/>
      <c r="AR931" s="156"/>
      <c r="AS931" s="156"/>
      <c r="AT931" s="156"/>
      <c r="AU931" s="156"/>
      <c r="AV931" s="156"/>
      <c r="AW931" s="156"/>
      <c r="AX931" s="156"/>
    </row>
    <row r="932" spans="4:50">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c r="AA932" s="156"/>
      <c r="AB932" s="156"/>
      <c r="AC932" s="156"/>
      <c r="AD932" s="156"/>
      <c r="AE932" s="156"/>
      <c r="AF932" s="156"/>
      <c r="AG932" s="156"/>
      <c r="AH932" s="156"/>
      <c r="AI932" s="156"/>
      <c r="AJ932" s="156"/>
      <c r="AK932" s="156"/>
      <c r="AL932" s="156"/>
      <c r="AM932" s="156"/>
      <c r="AN932" s="156"/>
      <c r="AO932" s="156"/>
      <c r="AP932" s="156"/>
      <c r="AQ932" s="156"/>
      <c r="AR932" s="156"/>
      <c r="AS932" s="156"/>
      <c r="AT932" s="156"/>
      <c r="AU932" s="156"/>
      <c r="AV932" s="156"/>
      <c r="AW932" s="156"/>
      <c r="AX932" s="156"/>
    </row>
    <row r="933" spans="4:50">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c r="AA933" s="156"/>
      <c r="AB933" s="156"/>
      <c r="AC933" s="156"/>
      <c r="AD933" s="156"/>
      <c r="AE933" s="156"/>
      <c r="AF933" s="156"/>
      <c r="AG933" s="156"/>
      <c r="AH933" s="156"/>
      <c r="AI933" s="156"/>
      <c r="AJ933" s="156"/>
      <c r="AK933" s="156"/>
      <c r="AL933" s="156"/>
      <c r="AM933" s="156"/>
      <c r="AN933" s="156"/>
      <c r="AO933" s="156"/>
      <c r="AP933" s="156"/>
      <c r="AQ933" s="156"/>
      <c r="AR933" s="156"/>
      <c r="AS933" s="156"/>
      <c r="AT933" s="156"/>
      <c r="AU933" s="156"/>
      <c r="AV933" s="156"/>
      <c r="AW933" s="156"/>
      <c r="AX933" s="156"/>
    </row>
    <row r="934" spans="4:50">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c r="AA934" s="156"/>
      <c r="AB934" s="156"/>
      <c r="AC934" s="156"/>
      <c r="AD934" s="156"/>
      <c r="AE934" s="156"/>
      <c r="AF934" s="156"/>
      <c r="AG934" s="156"/>
      <c r="AH934" s="156"/>
      <c r="AI934" s="156"/>
      <c r="AJ934" s="156"/>
      <c r="AK934" s="156"/>
      <c r="AL934" s="156"/>
      <c r="AM934" s="156"/>
      <c r="AN934" s="156"/>
      <c r="AO934" s="156"/>
      <c r="AP934" s="156"/>
      <c r="AQ934" s="156"/>
      <c r="AR934" s="156"/>
      <c r="AS934" s="156"/>
      <c r="AT934" s="156"/>
      <c r="AU934" s="156"/>
      <c r="AV934" s="156"/>
      <c r="AW934" s="156"/>
      <c r="AX934" s="156"/>
    </row>
    <row r="935" spans="4:50">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c r="AA935" s="156"/>
      <c r="AB935" s="156"/>
      <c r="AC935" s="156"/>
      <c r="AD935" s="156"/>
      <c r="AE935" s="156"/>
      <c r="AF935" s="156"/>
      <c r="AG935" s="156"/>
      <c r="AH935" s="156"/>
      <c r="AI935" s="156"/>
      <c r="AJ935" s="156"/>
      <c r="AK935" s="156"/>
      <c r="AL935" s="156"/>
      <c r="AM935" s="156"/>
      <c r="AN935" s="156"/>
      <c r="AO935" s="156"/>
      <c r="AP935" s="156"/>
      <c r="AQ935" s="156"/>
      <c r="AR935" s="156"/>
      <c r="AS935" s="156"/>
      <c r="AT935" s="156"/>
      <c r="AU935" s="156"/>
      <c r="AV935" s="156"/>
      <c r="AW935" s="156"/>
      <c r="AX935" s="156"/>
    </row>
    <row r="936" spans="4:50">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c r="AA936" s="156"/>
      <c r="AB936" s="156"/>
      <c r="AC936" s="156"/>
      <c r="AD936" s="156"/>
      <c r="AE936" s="156"/>
      <c r="AF936" s="156"/>
      <c r="AG936" s="156"/>
      <c r="AH936" s="156"/>
      <c r="AI936" s="156"/>
      <c r="AJ936" s="156"/>
      <c r="AK936" s="156"/>
      <c r="AL936" s="156"/>
      <c r="AM936" s="156"/>
      <c r="AN936" s="156"/>
      <c r="AO936" s="156"/>
      <c r="AP936" s="156"/>
      <c r="AQ936" s="156"/>
      <c r="AR936" s="156"/>
      <c r="AS936" s="156"/>
      <c r="AT936" s="156"/>
      <c r="AU936" s="156"/>
      <c r="AV936" s="156"/>
      <c r="AW936" s="156"/>
      <c r="AX936" s="156"/>
    </row>
    <row r="937" spans="4:50">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c r="AA937" s="156"/>
      <c r="AB937" s="156"/>
      <c r="AC937" s="156"/>
      <c r="AD937" s="156"/>
      <c r="AE937" s="156"/>
      <c r="AF937" s="156"/>
      <c r="AG937" s="156"/>
      <c r="AH937" s="156"/>
      <c r="AI937" s="156"/>
      <c r="AJ937" s="156"/>
      <c r="AK937" s="156"/>
      <c r="AL937" s="156"/>
      <c r="AM937" s="156"/>
      <c r="AN937" s="156"/>
      <c r="AO937" s="156"/>
      <c r="AP937" s="156"/>
      <c r="AQ937" s="156"/>
      <c r="AR937" s="156"/>
      <c r="AS937" s="156"/>
      <c r="AT937" s="156"/>
      <c r="AU937" s="156"/>
      <c r="AV937" s="156"/>
      <c r="AW937" s="156"/>
      <c r="AX937" s="156"/>
    </row>
    <row r="938" spans="4:50">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c r="AA938" s="156"/>
      <c r="AB938" s="156"/>
      <c r="AC938" s="156"/>
      <c r="AD938" s="156"/>
      <c r="AE938" s="156"/>
      <c r="AF938" s="156"/>
      <c r="AG938" s="156"/>
      <c r="AH938" s="156"/>
      <c r="AI938" s="156"/>
      <c r="AJ938" s="156"/>
      <c r="AK938" s="156"/>
      <c r="AL938" s="156"/>
      <c r="AM938" s="156"/>
      <c r="AN938" s="156"/>
      <c r="AO938" s="156"/>
      <c r="AP938" s="156"/>
      <c r="AQ938" s="156"/>
      <c r="AR938" s="156"/>
      <c r="AS938" s="156"/>
      <c r="AT938" s="156"/>
      <c r="AU938" s="156"/>
      <c r="AV938" s="156"/>
      <c r="AW938" s="156"/>
      <c r="AX938" s="156"/>
    </row>
    <row r="939" spans="4:50">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c r="AA939" s="156"/>
      <c r="AB939" s="156"/>
      <c r="AC939" s="156"/>
      <c r="AD939" s="156"/>
      <c r="AE939" s="156"/>
      <c r="AF939" s="156"/>
      <c r="AG939" s="156"/>
      <c r="AH939" s="156"/>
      <c r="AI939" s="156"/>
      <c r="AJ939" s="156"/>
      <c r="AK939" s="156"/>
      <c r="AL939" s="156"/>
      <c r="AM939" s="156"/>
      <c r="AN939" s="156"/>
      <c r="AO939" s="156"/>
      <c r="AP939" s="156"/>
      <c r="AQ939" s="156"/>
      <c r="AR939" s="156"/>
      <c r="AS939" s="156"/>
      <c r="AT939" s="156"/>
      <c r="AU939" s="156"/>
      <c r="AV939" s="156"/>
      <c r="AW939" s="156"/>
      <c r="AX939" s="156"/>
    </row>
    <row r="940" spans="4:50">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c r="AA940" s="156"/>
      <c r="AB940" s="156"/>
      <c r="AC940" s="156"/>
      <c r="AD940" s="156"/>
      <c r="AE940" s="156"/>
      <c r="AF940" s="156"/>
      <c r="AG940" s="156"/>
      <c r="AH940" s="156"/>
      <c r="AI940" s="156"/>
      <c r="AJ940" s="156"/>
      <c r="AK940" s="156"/>
      <c r="AL940" s="156"/>
      <c r="AM940" s="156"/>
      <c r="AN940" s="156"/>
      <c r="AO940" s="156"/>
      <c r="AP940" s="156"/>
      <c r="AQ940" s="156"/>
      <c r="AR940" s="156"/>
      <c r="AS940" s="156"/>
      <c r="AT940" s="156"/>
      <c r="AU940" s="156"/>
      <c r="AV940" s="156"/>
      <c r="AW940" s="156"/>
      <c r="AX940" s="156"/>
    </row>
    <row r="941" spans="4:50">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c r="AA941" s="156"/>
      <c r="AB941" s="156"/>
      <c r="AC941" s="156"/>
      <c r="AD941" s="156"/>
      <c r="AE941" s="156"/>
      <c r="AF941" s="156"/>
      <c r="AG941" s="156"/>
      <c r="AH941" s="156"/>
      <c r="AI941" s="156"/>
      <c r="AJ941" s="156"/>
      <c r="AK941" s="156"/>
      <c r="AL941" s="156"/>
      <c r="AM941" s="156"/>
      <c r="AN941" s="156"/>
      <c r="AO941" s="156"/>
      <c r="AP941" s="156"/>
      <c r="AQ941" s="156"/>
      <c r="AR941" s="156"/>
      <c r="AS941" s="156"/>
      <c r="AT941" s="156"/>
      <c r="AU941" s="156"/>
      <c r="AV941" s="156"/>
      <c r="AW941" s="156"/>
      <c r="AX941" s="156"/>
    </row>
    <row r="942" spans="4:50">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c r="AA942" s="156"/>
      <c r="AB942" s="156"/>
      <c r="AC942" s="156"/>
      <c r="AD942" s="156"/>
      <c r="AE942" s="156"/>
      <c r="AF942" s="156"/>
      <c r="AG942" s="156"/>
      <c r="AH942" s="156"/>
      <c r="AI942" s="156"/>
      <c r="AJ942" s="156"/>
      <c r="AK942" s="156"/>
      <c r="AL942" s="156"/>
      <c r="AM942" s="156"/>
      <c r="AN942" s="156"/>
      <c r="AO942" s="156"/>
      <c r="AP942" s="156"/>
      <c r="AQ942" s="156"/>
      <c r="AR942" s="156"/>
      <c r="AS942" s="156"/>
      <c r="AT942" s="156"/>
      <c r="AU942" s="156"/>
      <c r="AV942" s="156"/>
      <c r="AW942" s="156"/>
      <c r="AX942" s="156"/>
    </row>
    <row r="943" spans="4:50">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c r="AA943" s="156"/>
      <c r="AB943" s="156"/>
      <c r="AC943" s="156"/>
      <c r="AD943" s="156"/>
      <c r="AE943" s="156"/>
      <c r="AF943" s="156"/>
      <c r="AG943" s="156"/>
      <c r="AH943" s="156"/>
      <c r="AI943" s="156"/>
      <c r="AJ943" s="156"/>
      <c r="AK943" s="156"/>
      <c r="AL943" s="156"/>
      <c r="AM943" s="156"/>
      <c r="AN943" s="156"/>
      <c r="AO943" s="156"/>
      <c r="AP943" s="156"/>
      <c r="AQ943" s="156"/>
      <c r="AR943" s="156"/>
      <c r="AS943" s="156"/>
      <c r="AT943" s="156"/>
      <c r="AU943" s="156"/>
      <c r="AV943" s="156"/>
      <c r="AW943" s="156"/>
      <c r="AX943" s="156"/>
    </row>
    <row r="944" spans="4:50">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c r="AA944" s="156"/>
      <c r="AB944" s="156"/>
      <c r="AC944" s="156"/>
      <c r="AD944" s="156"/>
      <c r="AE944" s="156"/>
      <c r="AF944" s="156"/>
      <c r="AG944" s="156"/>
      <c r="AH944" s="156"/>
      <c r="AI944" s="156"/>
      <c r="AJ944" s="156"/>
      <c r="AK944" s="156"/>
      <c r="AL944" s="156"/>
      <c r="AM944" s="156"/>
      <c r="AN944" s="156"/>
      <c r="AO944" s="156"/>
      <c r="AP944" s="156"/>
      <c r="AQ944" s="156"/>
      <c r="AR944" s="156"/>
      <c r="AS944" s="156"/>
      <c r="AT944" s="156"/>
      <c r="AU944" s="156"/>
      <c r="AV944" s="156"/>
      <c r="AW944" s="156"/>
      <c r="AX944" s="156"/>
    </row>
    <row r="945" spans="4:50">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c r="AA945" s="156"/>
      <c r="AB945" s="156"/>
      <c r="AC945" s="156"/>
      <c r="AD945" s="156"/>
      <c r="AE945" s="156"/>
      <c r="AF945" s="156"/>
      <c r="AG945" s="156"/>
      <c r="AH945" s="156"/>
      <c r="AI945" s="156"/>
      <c r="AJ945" s="156"/>
      <c r="AK945" s="156"/>
      <c r="AL945" s="156"/>
      <c r="AM945" s="156"/>
      <c r="AN945" s="156"/>
      <c r="AO945" s="156"/>
      <c r="AP945" s="156"/>
      <c r="AQ945" s="156"/>
      <c r="AR945" s="156"/>
      <c r="AS945" s="156"/>
      <c r="AT945" s="156"/>
      <c r="AU945" s="156"/>
      <c r="AV945" s="156"/>
      <c r="AW945" s="156"/>
      <c r="AX945" s="156"/>
    </row>
    <row r="946" spans="4:50">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c r="AA946" s="156"/>
      <c r="AB946" s="156"/>
      <c r="AC946" s="156"/>
      <c r="AD946" s="156"/>
      <c r="AE946" s="156"/>
      <c r="AF946" s="156"/>
      <c r="AG946" s="156"/>
      <c r="AH946" s="156"/>
      <c r="AI946" s="156"/>
      <c r="AJ946" s="156"/>
      <c r="AK946" s="156"/>
      <c r="AL946" s="156"/>
      <c r="AM946" s="156"/>
      <c r="AN946" s="156"/>
      <c r="AO946" s="156"/>
      <c r="AP946" s="156"/>
      <c r="AQ946" s="156"/>
      <c r="AR946" s="156"/>
      <c r="AS946" s="156"/>
      <c r="AT946" s="156"/>
      <c r="AU946" s="156"/>
      <c r="AV946" s="156"/>
      <c r="AW946" s="156"/>
      <c r="AX946" s="156"/>
    </row>
    <row r="947" spans="4:50">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c r="AA947" s="156"/>
      <c r="AB947" s="156"/>
      <c r="AC947" s="156"/>
      <c r="AD947" s="156"/>
      <c r="AE947" s="156"/>
      <c r="AF947" s="156"/>
      <c r="AG947" s="156"/>
      <c r="AH947" s="156"/>
      <c r="AI947" s="156"/>
      <c r="AJ947" s="156"/>
      <c r="AK947" s="156"/>
      <c r="AL947" s="156"/>
      <c r="AM947" s="156"/>
      <c r="AN947" s="156"/>
      <c r="AO947" s="156"/>
      <c r="AP947" s="156"/>
      <c r="AQ947" s="156"/>
      <c r="AR947" s="156"/>
      <c r="AS947" s="156"/>
      <c r="AT947" s="156"/>
      <c r="AU947" s="156"/>
      <c r="AV947" s="156"/>
      <c r="AW947" s="156"/>
      <c r="AX947" s="156"/>
    </row>
  </sheetData>
  <sortState ref="A353:BA379">
    <sortCondition ref="E353:E379"/>
    <sortCondition ref="B353:B379"/>
  </sortState>
  <mergeCells count="1">
    <mergeCell ref="AZ3:BA3"/>
  </mergeCells>
  <phoneticPr fontId="0" type="noConversion"/>
  <conditionalFormatting sqref="AQ1 AO1 AE1 I1 AA1 Y1 AC1 K1 O1 M1 AU1 AS1">
    <cfRule type="expression" dxfId="463" priority="1033" stopIfTrue="1">
      <formula>I1&lt;(H1-(H1*0.1))</formula>
    </cfRule>
    <cfRule type="expression" dxfId="462" priority="1034" stopIfTrue="1">
      <formula>I1&gt;(H1+(H1*0.1))</formula>
    </cfRule>
  </conditionalFormatting>
  <conditionalFormatting sqref="AQ1 AO1 O1 AE1 M1 K1 I1 U1 AA1 AC1 AK1 Y1 AS1 AU1">
    <cfRule type="cellIs" dxfId="461" priority="985" stopIfTrue="1" operator="greaterThan">
      <formula>H1+(H1*0.1)</formula>
    </cfRule>
    <cfRule type="cellIs" dxfId="460" priority="986" stopIfTrue="1" operator="lessThan">
      <formula>H1-(H1*0.1)</formula>
    </cfRule>
  </conditionalFormatting>
  <conditionalFormatting sqref="AS1">
    <cfRule type="cellIs" dxfId="459" priority="933" stopIfTrue="1" operator="greaterThan">
      <formula>AR1+(AR1*0.1)</formula>
    </cfRule>
    <cfRule type="cellIs" dxfId="458" priority="934" stopIfTrue="1" operator="lessThan">
      <formula>AR1-(AR1*0.1)</formula>
    </cfRule>
  </conditionalFormatting>
  <conditionalFormatting sqref="AU1">
    <cfRule type="cellIs" dxfId="457" priority="931" stopIfTrue="1" operator="greaterThan">
      <formula>AT1+(AT1*0.1)</formula>
    </cfRule>
    <cfRule type="cellIs" dxfId="456" priority="932" stopIfTrue="1" operator="lessThan">
      <formula>AT1-(AT1*0.1)</formula>
    </cfRule>
  </conditionalFormatting>
  <conditionalFormatting sqref="AJ1">
    <cfRule type="expression" dxfId="455" priority="1049" stopIfTrue="1">
      <formula>AJ1&lt;(AF1-(AF1*0.1))</formula>
    </cfRule>
    <cfRule type="expression" dxfId="454" priority="1050" stopIfTrue="1">
      <formula>AJ1&gt;(AF1+(AF1*0.1))</formula>
    </cfRule>
  </conditionalFormatting>
  <conditionalFormatting sqref="AK1">
    <cfRule type="expression" dxfId="453" priority="1051" stopIfTrue="1">
      <formula>AK1&lt;(AH1-(AH1*0.1))</formula>
    </cfRule>
    <cfRule type="expression" dxfId="452" priority="1052" stopIfTrue="1">
      <formula>AK1&gt;(AH1+(AH1*0.1))</formula>
    </cfRule>
  </conditionalFormatting>
  <conditionalFormatting sqref="AQ1 AO1 M1 Y1 AA1 AC1 AE1 AK1 I1 K1 U1 O1 AS1 AU1">
    <cfRule type="expression" dxfId="451" priority="881">
      <formula>I1&gt;(H1+(H1*0.1))</formula>
    </cfRule>
    <cfRule type="expression" dxfId="450" priority="882">
      <formula>I1&lt;(H1-(H1*0.1))</formula>
    </cfRule>
  </conditionalFormatting>
  <conditionalFormatting sqref="U1">
    <cfRule type="expression" dxfId="449" priority="867">
      <formula>U1&gt;(T1+(T1*0.1))</formula>
    </cfRule>
    <cfRule type="expression" dxfId="448" priority="868">
      <formula>U1&lt;(T1-(T1*0.1))</formula>
    </cfRule>
  </conditionalFormatting>
  <conditionalFormatting sqref="O1">
    <cfRule type="expression" dxfId="447" priority="765">
      <formula>O1&gt;(N1+(N1*0.1))</formula>
    </cfRule>
    <cfRule type="expression" dxfId="446" priority="766">
      <formula>O1&lt;(N1-(N1*0.1))</formula>
    </cfRule>
  </conditionalFormatting>
  <conditionalFormatting sqref="AQ1 AS1 AU1">
    <cfRule type="expression" dxfId="445" priority="761">
      <formula>AQ1&gt;(AP1+(AP1*0.1))</formula>
    </cfRule>
    <cfRule type="expression" dxfId="444" priority="762">
      <formula>AQ1&lt;(AP1-(AP1*0.1))</formula>
    </cfRule>
  </conditionalFormatting>
  <conditionalFormatting sqref="AN1:AU1">
    <cfRule type="expression" dxfId="443" priority="755" stopIfTrue="1">
      <formula>AN1&lt;(AJ1-(AJ1*0.1))</formula>
    </cfRule>
    <cfRule type="expression" dxfId="442" priority="756" stopIfTrue="1">
      <formula>AN1&gt;(AJ1+(AJ1*0.1))</formula>
    </cfRule>
  </conditionalFormatting>
  <conditionalFormatting sqref="AO1">
    <cfRule type="expression" dxfId="441" priority="753" stopIfTrue="1">
      <formula>AO1&lt;(AL1-(AL1*0.1))</formula>
    </cfRule>
    <cfRule type="expression" dxfId="440" priority="754" stopIfTrue="1">
      <formula>AO1&gt;(AL1+(AL1*0.1))</formula>
    </cfRule>
  </conditionalFormatting>
  <conditionalFormatting sqref="AP1">
    <cfRule type="expression" dxfId="439" priority="751" stopIfTrue="1">
      <formula>AP1&lt;(AO1-(AO1*0.1))</formula>
    </cfRule>
    <cfRule type="expression" dxfId="438" priority="752" stopIfTrue="1">
      <formula>AP1&gt;(AO1+(AO1*0.1))</formula>
    </cfRule>
  </conditionalFormatting>
  <conditionalFormatting sqref="AP1">
    <cfRule type="cellIs" dxfId="437" priority="749" stopIfTrue="1" operator="greaterThan">
      <formula>AO1+(AO1*0.1)</formula>
    </cfRule>
    <cfRule type="cellIs" dxfId="436" priority="750" stopIfTrue="1" operator="lessThan">
      <formula>AO1-(AO1*0.1)</formula>
    </cfRule>
  </conditionalFormatting>
  <conditionalFormatting sqref="AP1">
    <cfRule type="expression" dxfId="435" priority="747">
      <formula>AP1&gt;(AO1+(AO1*0.1))</formula>
    </cfRule>
    <cfRule type="expression" dxfId="434" priority="748">
      <formula>AP1&lt;(AO1-(AO1*0.1))</formula>
    </cfRule>
  </conditionalFormatting>
  <conditionalFormatting sqref="AP1">
    <cfRule type="expression" dxfId="433" priority="745" stopIfTrue="1">
      <formula>AP1&lt;(AM1-(AM1*0.1))</formula>
    </cfRule>
    <cfRule type="expression" dxfId="432" priority="746" stopIfTrue="1">
      <formula>AP1&gt;(AM1+(AM1*0.1))</formula>
    </cfRule>
  </conditionalFormatting>
  <conditionalFormatting sqref="AO7:AO31 AK7:AK31">
    <cfRule type="expression" dxfId="431" priority="571" stopIfTrue="1">
      <formula>AK7&lt;(AH7-(AH7*0.1))</formula>
    </cfRule>
    <cfRule type="expression" dxfId="430" priority="572" stopIfTrue="1">
      <formula>AK7&gt;(AH7+(AH7*0.1))</formula>
    </cfRule>
  </conditionalFormatting>
  <conditionalFormatting sqref="I32:I45 U32:U45 Y32:Y45 AA32:AA45 AC32:AC45 AE32:AE45 AK32:AK45 AO32:AO45 AQ32:AQ45 AS32:AS45 AU32:AU45 K32:K45 M32:M45 O32:O45 AU647:AU665 AS647:AS665 AQ647:AQ665 AO647:AO665 AK647:AK665 AE647:AE665 AC647:AC665 AA647:AA665 Y647:Y665 U647:U665 O647:O665 M647:M665 K647:K665 I647:I665 I123:I147 K123:K147 M123:M147 O123:O147 Y123:Y147 AA123:AA147 AC123:AC147 AE123:AE147 AK123:AK147 AO123:AO147 AQ123:AQ147 AS123:AS147 AU123:AU147 U123:U147 I152:I156 K152:K156 M152:M156 O152:O156 U152:U156 Y152:Y156 AA152:AA156 AC152:AC156 AE152:AE156 AK152:AK156 AO152:AO156 AQ152:AQ156 AS152:AS156 AU152:AU156 AU158:AU165 AS158:AS165 AQ158:AQ165 AO158:AO165 AK158:AK165 AE158:AE165 AC158:AC165 AA158:AA165 Y158:Y165 U158:U165 O158:O165 M158:M165 K158:K165 I158:I165 U353:U365 U367 AE353:AE365 AE367 AC353:AC365 AC367 AA353:AA365 AA367 Y353:Y365 Y367 O353:O365 O367 M353:M365 M367 I353:I365 I367 K353:K365 K367 AK353:AK365 AK367 AO353:AO365 AO367 AQ353:AQ365 AQ367 AS353:AS365 AS367 AU353:AU365 AU367">
    <cfRule type="expression" dxfId="429" priority="569">
      <formula>AND(H32=0,(I32&gt;0))</formula>
    </cfRule>
    <cfRule type="expression" dxfId="428" priority="570">
      <formula>((I32-H32)/H32)&gt;0.05</formula>
    </cfRule>
  </conditionalFormatting>
  <conditionalFormatting sqref="I86 K86 M86 O86 U86 Y86 AA86 AC86 AE86 AK86 AO86 AQ86 AS86 AU86">
    <cfRule type="expression" dxfId="427" priority="551">
      <formula>AND(H86=0,(I86&gt;0))</formula>
    </cfRule>
    <cfRule type="expression" dxfId="426" priority="552">
      <formula>((I86-H86)/H86)&gt;0.05</formula>
    </cfRule>
  </conditionalFormatting>
  <conditionalFormatting sqref="AU83:AU85 AS83:AS85 AQ83:AQ85 AO83:AO85 AK83:AK85 AE83:AE85 AC83:AC85 AA83:AA85 Y83:Y85 U83:U85 O83:O85 M83:M85 I83:I85 I87:I93 K87:K93 M87:M93 O87:O93 U87:U93 Y87:Y93 AA87:AA93 AC87:AC93 AE87:AE93 AK87:AK93 AO87:AO93 AQ87:AQ93 AS87:AS93 AU87:AU93 K83:K85">
    <cfRule type="expression" dxfId="425" priority="553">
      <formula>AND(H83=0,(I83&gt;0))</formula>
    </cfRule>
    <cfRule type="expression" dxfId="424" priority="554">
      <formula>((I83-H83)/H83)&gt;0.05</formula>
    </cfRule>
  </conditionalFormatting>
  <conditionalFormatting sqref="I166:I175 K166:K175 M166:M175 O166:O175 U166:U175 Y166:Y175 AA166:AA175 AC166:AC175 AE166:AE175 AK166:AK175 AO166:AO175 AQ166:AQ175 AS166:AS175 AU166:AU175">
    <cfRule type="expression" dxfId="423" priority="543">
      <formula>AND(H166=0,(I166&gt;0))</formula>
    </cfRule>
    <cfRule type="expression" dxfId="422" priority="544">
      <formula>((I166-H166)/H166)&gt;0.05</formula>
    </cfRule>
  </conditionalFormatting>
  <conditionalFormatting sqref="I257:I264 K257:K264 U257:U264 Y257:Y264 AA257:AA264 AC257:AC264 AE257:AE264 AK257:AK264 AO257:AO264 AQ257:AQ264 AS257:AS264 AU257:AU264 M257:M264 O257:O264">
    <cfRule type="expression" dxfId="421" priority="541">
      <formula>AND(H257=0,(I257&gt;0))</formula>
    </cfRule>
    <cfRule type="expression" dxfId="420" priority="542">
      <formula>((I257-H257)/H257)&gt;0.05</formula>
    </cfRule>
  </conditionalFormatting>
  <conditionalFormatting sqref="AU280:AU287 AS280:AS287 AQ280:AQ287 AO280:AO287 AK280:AK287 AE280:AE287 AC280:AC287 AA280:AA287 Y280:Y287 U280:U287 O280:O287 M280:M287 K280:K287 I280:I287">
    <cfRule type="expression" dxfId="419" priority="539">
      <formula>AND(H280=0,(I280&gt;0))</formula>
    </cfRule>
    <cfRule type="expression" dxfId="418" priority="540">
      <formula>((I280-H280)/H280)&gt;0.05</formula>
    </cfRule>
  </conditionalFormatting>
  <conditionalFormatting sqref="I288:I294 K288:K294 M288:M294 O288:O294 U288:U294 Y288:Y294 AA288:AA294 AC288:AC294 AE288:AE294 AK288:AK294 AO288:AO294 AQ288:AQ294 AS288:AS294 AU288:AU294">
    <cfRule type="expression" dxfId="417" priority="537">
      <formula>AND(H288=0,(I288&gt;0))</formula>
    </cfRule>
    <cfRule type="expression" dxfId="416" priority="538">
      <formula>((I288-H288)/H288)&gt;0.05</formula>
    </cfRule>
  </conditionalFormatting>
  <conditionalFormatting sqref="AK380:AK426 AO380:AO426 AQ380:AQ417 AS380:AS417 AU380:AU417 AQ421:AQ426 AS421:AS426 AU421:AU426">
    <cfRule type="expression" dxfId="415" priority="535">
      <formula>AND(AJ380=0,(AK380&gt;0))</formula>
    </cfRule>
    <cfRule type="expression" dxfId="414" priority="536">
      <formula>((AK380-AJ380)/AJ380)&gt;0.05</formula>
    </cfRule>
  </conditionalFormatting>
  <conditionalFormatting sqref="K380:K426">
    <cfRule type="expression" dxfId="413" priority="533">
      <formula>AND(J380=0,(K380&gt;0))</formula>
    </cfRule>
    <cfRule type="expression" dxfId="412" priority="534">
      <formula>((K380-J380)/J380)&gt;0.05</formula>
    </cfRule>
  </conditionalFormatting>
  <conditionalFormatting sqref="I380:I426">
    <cfRule type="expression" dxfId="411" priority="531">
      <formula>AND(H380=0,(I380&gt;0))</formula>
    </cfRule>
    <cfRule type="expression" dxfId="410" priority="532">
      <formula>((I380-H380)/H380)&gt;0.05</formula>
    </cfRule>
  </conditionalFormatting>
  <conditionalFormatting sqref="M380:M426">
    <cfRule type="expression" dxfId="409" priority="529">
      <formula>AND(L380=0,(M380&gt;0))</formula>
    </cfRule>
    <cfRule type="expression" dxfId="408" priority="530">
      <formula>((M380-L380)/L380)&gt;0.05</formula>
    </cfRule>
  </conditionalFormatting>
  <conditionalFormatting sqref="O380:O426">
    <cfRule type="expression" dxfId="407" priority="527">
      <formula>AND(N380=0,(O380&gt;0))</formula>
    </cfRule>
    <cfRule type="expression" dxfId="406" priority="528">
      <formula>((O380-N380)/N380)&gt;0.05</formula>
    </cfRule>
  </conditionalFormatting>
  <conditionalFormatting sqref="Y380:Y385">
    <cfRule type="expression" dxfId="405" priority="525">
      <formula>AND(X380=0,(Y380&gt;0))</formula>
    </cfRule>
    <cfRule type="expression" dxfId="404" priority="526">
      <formula>((Y380-X380)/X380)&gt;0.05</formula>
    </cfRule>
  </conditionalFormatting>
  <conditionalFormatting sqref="Y386:Y426">
    <cfRule type="expression" dxfId="403" priority="523">
      <formula>AND(X386=0,(Y386&gt;0))</formula>
    </cfRule>
    <cfRule type="expression" dxfId="402" priority="524">
      <formula>((Y386-X386)/X386)&gt;0.05</formula>
    </cfRule>
  </conditionalFormatting>
  <conditionalFormatting sqref="AA380:AA385">
    <cfRule type="expression" dxfId="401" priority="521">
      <formula>AND(Z380=0,(AA380&gt;0))</formula>
    </cfRule>
    <cfRule type="expression" dxfId="400" priority="522">
      <formula>((AA380-Z380)/Z380)&gt;0.05</formula>
    </cfRule>
  </conditionalFormatting>
  <conditionalFormatting sqref="AA386:AA426">
    <cfRule type="expression" dxfId="399" priority="519">
      <formula>AND(Z386=0,(AA386&gt;0))</formula>
    </cfRule>
    <cfRule type="expression" dxfId="398" priority="520">
      <formula>((AA386-Z386)/Z386)&gt;0.05</formula>
    </cfRule>
  </conditionalFormatting>
  <conditionalFormatting sqref="AC380:AC385">
    <cfRule type="expression" dxfId="397" priority="517">
      <formula>AND(AB380=0,(AC380&gt;0))</formula>
    </cfRule>
    <cfRule type="expression" dxfId="396" priority="518">
      <formula>((AC380-AB380)/AB380)&gt;0.05</formula>
    </cfRule>
  </conditionalFormatting>
  <conditionalFormatting sqref="AC386:AC426">
    <cfRule type="expression" dxfId="395" priority="515">
      <formula>AND(AB386=0,(AC386&gt;0))</formula>
    </cfRule>
    <cfRule type="expression" dxfId="394" priority="516">
      <formula>((AC386-AB386)/AB386)&gt;0.05</formula>
    </cfRule>
  </conditionalFormatting>
  <conditionalFormatting sqref="AE380:AE385">
    <cfRule type="expression" dxfId="393" priority="513">
      <formula>AND(AD380=0,(AE380&gt;0))</formula>
    </cfRule>
    <cfRule type="expression" dxfId="392" priority="514">
      <formula>((AE380-AD380)/AD380)&gt;0.05</formula>
    </cfRule>
  </conditionalFormatting>
  <conditionalFormatting sqref="AE386:AE426">
    <cfRule type="expression" dxfId="391" priority="511">
      <formula>AND(AD386=0,(AE386&gt;0))</formula>
    </cfRule>
    <cfRule type="expression" dxfId="390" priority="512">
      <formula>((AE386-AD386)/AD386)&gt;0.05</formula>
    </cfRule>
  </conditionalFormatting>
  <conditionalFormatting sqref="AQ418:AQ420">
    <cfRule type="expression" dxfId="389" priority="509">
      <formula>AND(AP418=0,(AQ418&gt;0))</formula>
    </cfRule>
    <cfRule type="expression" dxfId="388" priority="510">
      <formula>((AQ418-AP418)/AP418)&gt;0.05</formula>
    </cfRule>
  </conditionalFormatting>
  <conditionalFormatting sqref="AS418:AS420">
    <cfRule type="expression" dxfId="387" priority="507">
      <formula>AND(AR418=0,(AS418&gt;0))</formula>
    </cfRule>
    <cfRule type="expression" dxfId="386" priority="508">
      <formula>((AS418-AR418)/AR418)&gt;0.05</formula>
    </cfRule>
  </conditionalFormatting>
  <conditionalFormatting sqref="AU418:AU420">
    <cfRule type="expression" dxfId="385" priority="505">
      <formula>AND(AT418=0,(AU418&gt;0))</formula>
    </cfRule>
    <cfRule type="expression" dxfId="384" priority="506">
      <formula>((AU418-AT418)/AT418)&gt;0.05</formula>
    </cfRule>
  </conditionalFormatting>
  <conditionalFormatting sqref="U380:U418 U420">
    <cfRule type="expression" dxfId="383" priority="501">
      <formula>AND(T380=0,(U380&gt;0))</formula>
    </cfRule>
    <cfRule type="expression" dxfId="382" priority="502">
      <formula>((U380-T380)/T380)&gt;0.05</formula>
    </cfRule>
  </conditionalFormatting>
  <conditionalFormatting sqref="U419">
    <cfRule type="expression" dxfId="381" priority="503">
      <formula>AND(T418=0,(U419&gt;0))</formula>
    </cfRule>
    <cfRule type="expression" dxfId="380" priority="504">
      <formula>((U419-T418)/T418)&gt;0.05</formula>
    </cfRule>
  </conditionalFormatting>
  <conditionalFormatting sqref="U421:U426">
    <cfRule type="expression" dxfId="379" priority="499">
      <formula>AND(T421=0,(U421&gt;0))</formula>
    </cfRule>
    <cfRule type="expression" dxfId="378" priority="500">
      <formula>((U421-T421)/T421)&gt;0.05</formula>
    </cfRule>
  </conditionalFormatting>
  <conditionalFormatting sqref="I459:I478 K459:K478">
    <cfRule type="expression" dxfId="377" priority="497">
      <formula>AND(H459=0,(I459&gt;0))</formula>
    </cfRule>
    <cfRule type="expression" dxfId="376" priority="498">
      <formula>((I459-H459)/H459)&gt;0.05</formula>
    </cfRule>
  </conditionalFormatting>
  <conditionalFormatting sqref="I479:I507 K479:K507">
    <cfRule type="expression" dxfId="375" priority="495">
      <formula>AND(H479=0,(I479&gt;0))</formula>
    </cfRule>
    <cfRule type="expression" dxfId="374" priority="496">
      <formula>((I479-H479)/H479)&gt;0.05</formula>
    </cfRule>
  </conditionalFormatting>
  <conditionalFormatting sqref="M459:M478">
    <cfRule type="expression" dxfId="373" priority="493">
      <formula>AND(L459=0,(M459&gt;0))</formula>
    </cfRule>
    <cfRule type="expression" dxfId="372" priority="494">
      <formula>((M459-L459)/L459)&gt;0.05</formula>
    </cfRule>
  </conditionalFormatting>
  <conditionalFormatting sqref="M479:M507">
    <cfRule type="expression" dxfId="371" priority="491">
      <formula>AND(L479=0,(M479&gt;0))</formula>
    </cfRule>
    <cfRule type="expression" dxfId="370" priority="492">
      <formula>((M479-L479)/L479)&gt;0.05</formula>
    </cfRule>
  </conditionalFormatting>
  <conditionalFormatting sqref="O459:O478">
    <cfRule type="expression" dxfId="369" priority="489">
      <formula>AND(N459=0,(O459&gt;0))</formula>
    </cfRule>
    <cfRule type="expression" dxfId="368" priority="490">
      <formula>((O459-N459)/N459)&gt;0.05</formula>
    </cfRule>
  </conditionalFormatting>
  <conditionalFormatting sqref="O479:O507">
    <cfRule type="expression" dxfId="367" priority="487">
      <formula>AND(N479=0,(O479&gt;0))</formula>
    </cfRule>
    <cfRule type="expression" dxfId="366" priority="488">
      <formula>((O479-N479)/N479)&gt;0.05</formula>
    </cfRule>
  </conditionalFormatting>
  <conditionalFormatting sqref="U459:U478">
    <cfRule type="expression" dxfId="365" priority="485">
      <formula>AND(T459=0,(U459&gt;0))</formula>
    </cfRule>
    <cfRule type="expression" dxfId="364" priority="486">
      <formula>((U459-T459)/T459)&gt;0.05</formula>
    </cfRule>
  </conditionalFormatting>
  <conditionalFormatting sqref="U479:U507">
    <cfRule type="expression" dxfId="363" priority="483">
      <formula>AND(T479=0,(U479&gt;0))</formula>
    </cfRule>
    <cfRule type="expression" dxfId="362" priority="484">
      <formula>((U479-T479)/T479)&gt;0.05</formula>
    </cfRule>
  </conditionalFormatting>
  <conditionalFormatting sqref="Y459:Y478">
    <cfRule type="expression" dxfId="361" priority="481">
      <formula>AND(X459=0,(Y459&gt;0))</formula>
    </cfRule>
    <cfRule type="expression" dxfId="360" priority="482">
      <formula>((Y459-X459)/X459)&gt;0.05</formula>
    </cfRule>
  </conditionalFormatting>
  <conditionalFormatting sqref="Y479:Y507">
    <cfRule type="expression" dxfId="359" priority="479">
      <formula>AND(X479=0,(Y479&gt;0))</formula>
    </cfRule>
    <cfRule type="expression" dxfId="358" priority="480">
      <formula>((Y479-X479)/X479)&gt;0.05</formula>
    </cfRule>
  </conditionalFormatting>
  <conditionalFormatting sqref="AA459:AA478">
    <cfRule type="expression" dxfId="357" priority="477">
      <formula>AND(Z459=0,(AA459&gt;0))</formula>
    </cfRule>
    <cfRule type="expression" dxfId="356" priority="478">
      <formula>((AA459-Z459)/Z459)&gt;0.05</formula>
    </cfRule>
  </conditionalFormatting>
  <conditionalFormatting sqref="AA479:AA507">
    <cfRule type="expression" dxfId="355" priority="475">
      <formula>AND(Z479=0,(AA479&gt;0))</formula>
    </cfRule>
    <cfRule type="expression" dxfId="354" priority="476">
      <formula>((AA479-Z479)/Z479)&gt;0.05</formula>
    </cfRule>
  </conditionalFormatting>
  <conditionalFormatting sqref="AC459:AC478">
    <cfRule type="expression" dxfId="353" priority="473">
      <formula>AND(AB459=0,(AC459&gt;0))</formula>
    </cfRule>
    <cfRule type="expression" dxfId="352" priority="474">
      <formula>((AC459-AB459)/AB459)&gt;0.05</formula>
    </cfRule>
  </conditionalFormatting>
  <conditionalFormatting sqref="AC479:AC507">
    <cfRule type="expression" dxfId="351" priority="471">
      <formula>AND(AB479=0,(AC479&gt;0))</formula>
    </cfRule>
    <cfRule type="expression" dxfId="350" priority="472">
      <formula>((AC479-AB479)/AB479)&gt;0.05</formula>
    </cfRule>
  </conditionalFormatting>
  <conditionalFormatting sqref="AE459:AE478">
    <cfRule type="expression" dxfId="349" priority="469">
      <formula>AND(AD459=0,(AE459&gt;0))</formula>
    </cfRule>
    <cfRule type="expression" dxfId="348" priority="470">
      <formula>((AE459-AD459)/AD459)&gt;0.05</formula>
    </cfRule>
  </conditionalFormatting>
  <conditionalFormatting sqref="AE479:AE507">
    <cfRule type="expression" dxfId="347" priority="467">
      <formula>AND(AD479=0,(AE479&gt;0))</formula>
    </cfRule>
    <cfRule type="expression" dxfId="346" priority="468">
      <formula>((AE479-AD479)/AD479)&gt;0.05</formula>
    </cfRule>
  </conditionalFormatting>
  <conditionalFormatting sqref="AK459:AK478">
    <cfRule type="expression" dxfId="345" priority="465">
      <formula>AND(AJ459=0,(AK459&gt;0))</formula>
    </cfRule>
    <cfRule type="expression" dxfId="344" priority="466">
      <formula>((AK459-AJ459)/AJ459)&gt;0.05</formula>
    </cfRule>
  </conditionalFormatting>
  <conditionalFormatting sqref="AK479:AK507">
    <cfRule type="expression" dxfId="343" priority="463">
      <formula>AND(AJ479=0,(AK479&gt;0))</formula>
    </cfRule>
    <cfRule type="expression" dxfId="342" priority="464">
      <formula>((AK479-AJ479)/AJ479)&gt;0.05</formula>
    </cfRule>
  </conditionalFormatting>
  <conditionalFormatting sqref="AO459:AO478">
    <cfRule type="expression" dxfId="341" priority="461">
      <formula>AND(AN459=0,(AO459&gt;0))</formula>
    </cfRule>
    <cfRule type="expression" dxfId="340" priority="462">
      <formula>((AO459-AN459)/AN459)&gt;0.05</formula>
    </cfRule>
  </conditionalFormatting>
  <conditionalFormatting sqref="AO479:AO507">
    <cfRule type="expression" dxfId="339" priority="459">
      <formula>AND(AN479=0,(AO479&gt;0))</formula>
    </cfRule>
    <cfRule type="expression" dxfId="338" priority="460">
      <formula>((AO479-AN479)/AN479)&gt;0.05</formula>
    </cfRule>
  </conditionalFormatting>
  <conditionalFormatting sqref="AQ459:AQ478">
    <cfRule type="expression" dxfId="337" priority="457">
      <formula>AND(AP459=0,(AQ459&gt;0))</formula>
    </cfRule>
    <cfRule type="expression" dxfId="336" priority="458">
      <formula>((AQ459-AP459)/AP459)&gt;0.05</formula>
    </cfRule>
  </conditionalFormatting>
  <conditionalFormatting sqref="AQ479:AQ507">
    <cfRule type="expression" dxfId="335" priority="455">
      <formula>AND(AP479=0,(AQ479&gt;0))</formula>
    </cfRule>
    <cfRule type="expression" dxfId="334" priority="456">
      <formula>((AQ479-AP479)/AP479)&gt;0.05</formula>
    </cfRule>
  </conditionalFormatting>
  <conditionalFormatting sqref="AS459:AS478">
    <cfRule type="expression" dxfId="333" priority="453">
      <formula>AND(AR459=0,(AS459&gt;0))</formula>
    </cfRule>
    <cfRule type="expression" dxfId="332" priority="454">
      <formula>((AS459-AR459)/AR459)&gt;0.05</formula>
    </cfRule>
  </conditionalFormatting>
  <conditionalFormatting sqref="AS479:AS507">
    <cfRule type="expression" dxfId="331" priority="451">
      <formula>AND(AR479=0,(AS479&gt;0))</formula>
    </cfRule>
    <cfRule type="expression" dxfId="330" priority="452">
      <formula>((AS479-AR479)/AR479)&gt;0.05</formula>
    </cfRule>
  </conditionalFormatting>
  <conditionalFormatting sqref="AU459:AU478">
    <cfRule type="expression" dxfId="329" priority="449">
      <formula>AND(AT459=0,(AU459&gt;0))</formula>
    </cfRule>
    <cfRule type="expression" dxfId="328" priority="450">
      <formula>((AU459-AT459)/AT459)&gt;0.05</formula>
    </cfRule>
  </conditionalFormatting>
  <conditionalFormatting sqref="AU479:AU507">
    <cfRule type="expression" dxfId="327" priority="447">
      <formula>AND(AT479=0,(AU479&gt;0))</formula>
    </cfRule>
    <cfRule type="expression" dxfId="326" priority="448">
      <formula>((AU479-AT479)/AT479)&gt;0.05</formula>
    </cfRule>
  </conditionalFormatting>
  <conditionalFormatting sqref="AK612:AK622 AO612:AO622 AQ612:AQ622 AS612:AS622 AU612:AU622">
    <cfRule type="expression" dxfId="325" priority="445">
      <formula>AND(AJ612=0,(AK612&gt;0))</formula>
    </cfRule>
    <cfRule type="expression" dxfId="324" priority="446">
      <formula>((AK612-AJ612)/AJ612)&gt;0.05</formula>
    </cfRule>
  </conditionalFormatting>
  <conditionalFormatting sqref="I508:I510 Y508:Y510 AA508:AA510 AC508:AC510 AE508:AE510 AK508:AK510 AO508:AO510">
    <cfRule type="expression" dxfId="323" priority="443">
      <formula>AND(H508=0,(I508&gt;0))</formula>
    </cfRule>
    <cfRule type="expression" dxfId="322" priority="444">
      <formula>((I508-H508)/H508)&gt;0.05</formula>
    </cfRule>
  </conditionalFormatting>
  <conditionalFormatting sqref="I511:I526 Y511:Y526 AA511:AA526 AC511:AC526 AE511:AE526 AK511:AK526 AO511:AO526">
    <cfRule type="expression" dxfId="321" priority="441">
      <formula>AND(H511=0,(I511&gt;0))</formula>
    </cfRule>
    <cfRule type="expression" dxfId="320" priority="442">
      <formula>((I511-H511)/H511)&gt;0.05</formula>
    </cfRule>
  </conditionalFormatting>
  <conditionalFormatting sqref="I527:I544 Y527:Y544 AA527:AA544 AC527:AC544 AE527:AE544 AK527:AK558 AO527:AO558 AQ545:AQ558 AS545:AS558 AU545:AU558">
    <cfRule type="expression" dxfId="319" priority="439">
      <formula>AND(H527=0,(I527&gt;0))</formula>
    </cfRule>
    <cfRule type="expression" dxfId="318" priority="440">
      <formula>((I527-H527)/H527)&gt;0.05</formula>
    </cfRule>
  </conditionalFormatting>
  <conditionalFormatting sqref="AK559:AK568 AO559:AO568 AQ559:AQ568 AS559:AS568 AU559:AU568">
    <cfRule type="expression" dxfId="317" priority="437">
      <formula>AND(AJ559=0,(AK559&gt;0))</formula>
    </cfRule>
    <cfRule type="expression" dxfId="316" priority="438">
      <formula>((AK559-AJ559)/AJ559)&gt;0.05</formula>
    </cfRule>
  </conditionalFormatting>
  <conditionalFormatting sqref="AK569:AK579 AO569:AO579 AQ569:AQ579 AS569:AS579 AU569:AU579">
    <cfRule type="expression" dxfId="315" priority="435">
      <formula>AND(AJ569=0,(AK569&gt;0))</formula>
    </cfRule>
    <cfRule type="expression" dxfId="314" priority="436">
      <formula>((AK569-AJ569)/AJ569)&gt;0.05</formula>
    </cfRule>
  </conditionalFormatting>
  <conditionalFormatting sqref="AK580:AK584 AO580:AO584 AQ580:AQ584 AS580:AS584 AU580:AU584">
    <cfRule type="expression" dxfId="313" priority="433">
      <formula>AND(AJ580=0,(AK580&gt;0))</formula>
    </cfRule>
    <cfRule type="expression" dxfId="312" priority="434">
      <formula>((AK580-AJ580)/AJ580)&gt;0.05</formula>
    </cfRule>
  </conditionalFormatting>
  <conditionalFormatting sqref="AK585:AK611 AO585:AO611 AQ585:AQ611 AS585:AS611 AU585:AU611">
    <cfRule type="expression" dxfId="311" priority="431">
      <formula>AND(AJ585=0,(AK585&gt;0))</formula>
    </cfRule>
    <cfRule type="expression" dxfId="310" priority="432">
      <formula>((AK585-AJ585)/AJ585)&gt;0.05</formula>
    </cfRule>
  </conditionalFormatting>
  <conditionalFormatting sqref="K612">
    <cfRule type="expression" dxfId="309" priority="429">
      <formula>AND(J612=0,(K612&gt;0))</formula>
    </cfRule>
    <cfRule type="expression" dxfId="308" priority="430">
      <formula>((K612-J612)/J612)&gt;0.05</formula>
    </cfRule>
  </conditionalFormatting>
  <conditionalFormatting sqref="K508:K510">
    <cfRule type="expression" dxfId="307" priority="427">
      <formula>AND(J508=0,(K508&gt;0))</formula>
    </cfRule>
    <cfRule type="expression" dxfId="306" priority="428">
      <formula>((K508-J508)/J508)&gt;0.05</formula>
    </cfRule>
  </conditionalFormatting>
  <conditionalFormatting sqref="K511:K526">
    <cfRule type="expression" dxfId="305" priority="425">
      <formula>AND(J511=0,(K511&gt;0))</formula>
    </cfRule>
    <cfRule type="expression" dxfId="304" priority="426">
      <formula>((K511-J511)/J511)&gt;0.05</formula>
    </cfRule>
  </conditionalFormatting>
  <conditionalFormatting sqref="K527:K558">
    <cfRule type="expression" dxfId="303" priority="423">
      <formula>AND(J527=0,(K527&gt;0))</formula>
    </cfRule>
    <cfRule type="expression" dxfId="302" priority="424">
      <formula>((K527-J527)/J527)&gt;0.05</formula>
    </cfRule>
  </conditionalFormatting>
  <conditionalFormatting sqref="K559:K568">
    <cfRule type="expression" dxfId="301" priority="421">
      <formula>AND(J559=0,(K559&gt;0))</formula>
    </cfRule>
    <cfRule type="expression" dxfId="300" priority="422">
      <formula>((K559-J559)/J559)&gt;0.05</formula>
    </cfRule>
  </conditionalFormatting>
  <conditionalFormatting sqref="K569:K579">
    <cfRule type="expression" dxfId="299" priority="419">
      <formula>AND(J569=0,(K569&gt;0))</formula>
    </cfRule>
    <cfRule type="expression" dxfId="298" priority="420">
      <formula>((K569-J569)/J569)&gt;0.05</formula>
    </cfRule>
  </conditionalFormatting>
  <conditionalFormatting sqref="K580:K581">
    <cfRule type="expression" dxfId="297" priority="417">
      <formula>AND(J580=0,(K580&gt;0))</formula>
    </cfRule>
    <cfRule type="expression" dxfId="296" priority="418">
      <formula>((K580-J580)/J580)&gt;0.05</formula>
    </cfRule>
  </conditionalFormatting>
  <conditionalFormatting sqref="K582:K584">
    <cfRule type="expression" dxfId="295" priority="415">
      <formula>AND(J582=0,(K582&gt;0))</formula>
    </cfRule>
    <cfRule type="expression" dxfId="294" priority="416">
      <formula>((K582-J582)/J582)&gt;0.05</formula>
    </cfRule>
  </conditionalFormatting>
  <conditionalFormatting sqref="K585:K611">
    <cfRule type="expression" dxfId="293" priority="413">
      <formula>AND(J585=0,(K585&gt;0))</formula>
    </cfRule>
    <cfRule type="expression" dxfId="292" priority="414">
      <formula>((K585-J585)/J585)&gt;0.05</formula>
    </cfRule>
  </conditionalFormatting>
  <conditionalFormatting sqref="K613:K622">
    <cfRule type="expression" dxfId="291" priority="411">
      <formula>AND(J613=0,(K613&gt;0))</formula>
    </cfRule>
    <cfRule type="expression" dxfId="290" priority="412">
      <formula>((K613-J613)/J613)&gt;0.05</formula>
    </cfRule>
  </conditionalFormatting>
  <conditionalFormatting sqref="I612">
    <cfRule type="expression" dxfId="289" priority="409">
      <formula>AND(H612=0,(I612&gt;0))</formula>
    </cfRule>
    <cfRule type="expression" dxfId="288" priority="410">
      <formula>((I612-H612)/H612)&gt;0.05</formula>
    </cfRule>
  </conditionalFormatting>
  <conditionalFormatting sqref="I545:I558">
    <cfRule type="expression" dxfId="287" priority="407">
      <formula>AND(H545=0,(I545&gt;0))</formula>
    </cfRule>
    <cfRule type="expression" dxfId="286" priority="408">
      <formula>((I545-H545)/H545)&gt;0.05</formula>
    </cfRule>
  </conditionalFormatting>
  <conditionalFormatting sqref="I559:I568">
    <cfRule type="expression" dxfId="285" priority="405">
      <formula>AND(H559=0,(I559&gt;0))</formula>
    </cfRule>
    <cfRule type="expression" dxfId="284" priority="406">
      <formula>((I559-H559)/H559)&gt;0.05</formula>
    </cfRule>
  </conditionalFormatting>
  <conditionalFormatting sqref="I569:I579">
    <cfRule type="expression" dxfId="283" priority="403">
      <formula>AND(H569=0,(I569&gt;0))</formula>
    </cfRule>
    <cfRule type="expression" dxfId="282" priority="404">
      <formula>((I569-H569)/H569)&gt;0.05</formula>
    </cfRule>
  </conditionalFormatting>
  <conditionalFormatting sqref="I580:I584">
    <cfRule type="expression" dxfId="281" priority="401">
      <formula>AND(H580=0,(I580&gt;0))</formula>
    </cfRule>
    <cfRule type="expression" dxfId="280" priority="402">
      <formula>((I580-H580)/H580)&gt;0.05</formula>
    </cfRule>
  </conditionalFormatting>
  <conditionalFormatting sqref="I585:I611">
    <cfRule type="expression" dxfId="279" priority="399">
      <formula>AND(H585=0,(I585&gt;0))</formula>
    </cfRule>
    <cfRule type="expression" dxfId="278" priority="400">
      <formula>((I585-H585)/H585)&gt;0.05</formula>
    </cfRule>
  </conditionalFormatting>
  <conditionalFormatting sqref="I613:I622">
    <cfRule type="expression" dxfId="277" priority="397">
      <formula>AND(H613=0,(I613&gt;0))</formula>
    </cfRule>
    <cfRule type="expression" dxfId="276" priority="398">
      <formula>((I613-H613)/H613)&gt;0.05</formula>
    </cfRule>
  </conditionalFormatting>
  <conditionalFormatting sqref="M612">
    <cfRule type="expression" dxfId="275" priority="395">
      <formula>AND(L612=0,(M612&gt;0))</formula>
    </cfRule>
    <cfRule type="expression" dxfId="274" priority="396">
      <formula>((M612-L612)/L612)&gt;0.05</formula>
    </cfRule>
  </conditionalFormatting>
  <conditionalFormatting sqref="M508:M510">
    <cfRule type="expression" dxfId="273" priority="393">
      <formula>AND(L508=0,(M508&gt;0))</formula>
    </cfRule>
    <cfRule type="expression" dxfId="272" priority="394">
      <formula>((M508-L508)/L508)&gt;0.05</formula>
    </cfRule>
  </conditionalFormatting>
  <conditionalFormatting sqref="M511:M526">
    <cfRule type="expression" dxfId="271" priority="391">
      <formula>AND(L511=0,(M511&gt;0))</formula>
    </cfRule>
    <cfRule type="expression" dxfId="270" priority="392">
      <formula>((M511-L511)/L511)&gt;0.05</formula>
    </cfRule>
  </conditionalFormatting>
  <conditionalFormatting sqref="M527:M558">
    <cfRule type="expression" dxfId="269" priority="389">
      <formula>AND(L527=0,(M527&gt;0))</formula>
    </cfRule>
    <cfRule type="expression" dxfId="268" priority="390">
      <formula>((M527-L527)/L527)&gt;0.05</formula>
    </cfRule>
  </conditionalFormatting>
  <conditionalFormatting sqref="M559:M568">
    <cfRule type="expression" dxfId="267" priority="387">
      <formula>AND(L559=0,(M559&gt;0))</formula>
    </cfRule>
    <cfRule type="expression" dxfId="266" priority="388">
      <formula>((M559-L559)/L559)&gt;0.05</formula>
    </cfRule>
  </conditionalFormatting>
  <conditionalFormatting sqref="M569:M579">
    <cfRule type="expression" dxfId="265" priority="385">
      <formula>AND(L569=0,(M569&gt;0))</formula>
    </cfRule>
    <cfRule type="expression" dxfId="264" priority="386">
      <formula>((M569-L569)/L569)&gt;0.05</formula>
    </cfRule>
  </conditionalFormatting>
  <conditionalFormatting sqref="M580:M581">
    <cfRule type="expression" dxfId="263" priority="383">
      <formula>AND(L580=0,(M580&gt;0))</formula>
    </cfRule>
    <cfRule type="expression" dxfId="262" priority="384">
      <formula>((M580-L580)/L580)&gt;0.05</formula>
    </cfRule>
  </conditionalFormatting>
  <conditionalFormatting sqref="M582:M584">
    <cfRule type="expression" dxfId="261" priority="381">
      <formula>AND(L582=0,(M582&gt;0))</formula>
    </cfRule>
    <cfRule type="expression" dxfId="260" priority="382">
      <formula>((M582-L582)/L582)&gt;0.05</formula>
    </cfRule>
  </conditionalFormatting>
  <conditionalFormatting sqref="M585:M611">
    <cfRule type="expression" dxfId="259" priority="379">
      <formula>AND(L585=0,(M585&gt;0))</formula>
    </cfRule>
    <cfRule type="expression" dxfId="258" priority="380">
      <formula>((M585-L585)/L585)&gt;0.05</formula>
    </cfRule>
  </conditionalFormatting>
  <conditionalFormatting sqref="M613:M622">
    <cfRule type="expression" dxfId="257" priority="377">
      <formula>AND(L613=0,(M613&gt;0))</formula>
    </cfRule>
    <cfRule type="expression" dxfId="256" priority="378">
      <formula>((M613-L613)/L613)&gt;0.05</formula>
    </cfRule>
  </conditionalFormatting>
  <conditionalFormatting sqref="O612">
    <cfRule type="expression" dxfId="255" priority="375">
      <formula>AND(N612=0,(O612&gt;0))</formula>
    </cfRule>
    <cfRule type="expression" dxfId="254" priority="376">
      <formula>((O612-N612)/N612)&gt;0.05</formula>
    </cfRule>
  </conditionalFormatting>
  <conditionalFormatting sqref="O508:O510">
    <cfRule type="expression" dxfId="253" priority="373">
      <formula>AND(N508=0,(O508&gt;0))</formula>
    </cfRule>
    <cfRule type="expression" dxfId="252" priority="374">
      <formula>((O508-N508)/N508)&gt;0.05</formula>
    </cfRule>
  </conditionalFormatting>
  <conditionalFormatting sqref="O511:O526">
    <cfRule type="expression" dxfId="251" priority="371">
      <formula>AND(N511=0,(O511&gt;0))</formula>
    </cfRule>
    <cfRule type="expression" dxfId="250" priority="372">
      <formula>((O511-N511)/N511)&gt;0.05</formula>
    </cfRule>
  </conditionalFormatting>
  <conditionalFormatting sqref="O527:O558">
    <cfRule type="expression" dxfId="249" priority="369">
      <formula>AND(N527=0,(O527&gt;0))</formula>
    </cfRule>
    <cfRule type="expression" dxfId="248" priority="370">
      <formula>((O527-N527)/N527)&gt;0.05</formula>
    </cfRule>
  </conditionalFormatting>
  <conditionalFormatting sqref="O559:O568">
    <cfRule type="expression" dxfId="247" priority="367">
      <formula>AND(N559=0,(O559&gt;0))</formula>
    </cfRule>
    <cfRule type="expression" dxfId="246" priority="368">
      <formula>((O559-N559)/N559)&gt;0.05</formula>
    </cfRule>
  </conditionalFormatting>
  <conditionalFormatting sqref="O569:O579">
    <cfRule type="expression" dxfId="245" priority="365">
      <formula>AND(N569=0,(O569&gt;0))</formula>
    </cfRule>
    <cfRule type="expression" dxfId="244" priority="366">
      <formula>((O569-N569)/N569)&gt;0.05</formula>
    </cfRule>
  </conditionalFormatting>
  <conditionalFormatting sqref="O580:O581">
    <cfRule type="expression" dxfId="243" priority="363">
      <formula>AND(N580=0,(O580&gt;0))</formula>
    </cfRule>
    <cfRule type="expression" dxfId="242" priority="364">
      <formula>((O580-N580)/N580)&gt;0.05</formula>
    </cfRule>
  </conditionalFormatting>
  <conditionalFormatting sqref="O582:O584">
    <cfRule type="expression" dxfId="241" priority="361">
      <formula>AND(N582=0,(O582&gt;0))</formula>
    </cfRule>
    <cfRule type="expression" dxfId="240" priority="362">
      <formula>((O582-N582)/N582)&gt;0.05</formula>
    </cfRule>
  </conditionalFormatting>
  <conditionalFormatting sqref="O585:O611">
    <cfRule type="expression" dxfId="239" priority="359">
      <formula>AND(N585=0,(O585&gt;0))</formula>
    </cfRule>
    <cfRule type="expression" dxfId="238" priority="360">
      <formula>((O585-N585)/N585)&gt;0.05</formula>
    </cfRule>
  </conditionalFormatting>
  <conditionalFormatting sqref="O613:O622">
    <cfRule type="expression" dxfId="237" priority="357">
      <formula>AND(N613=0,(O613&gt;0))</formula>
    </cfRule>
    <cfRule type="expression" dxfId="236" priority="358">
      <formula>((O613-N613)/N613)&gt;0.05</formula>
    </cfRule>
  </conditionalFormatting>
  <conditionalFormatting sqref="U612">
    <cfRule type="expression" dxfId="235" priority="355">
      <formula>AND(T612=0,(U612&gt;0))</formula>
    </cfRule>
    <cfRule type="expression" dxfId="234" priority="356">
      <formula>((U612-T612)/T612)&gt;0.05</formula>
    </cfRule>
  </conditionalFormatting>
  <conditionalFormatting sqref="U508:U510">
    <cfRule type="expression" dxfId="233" priority="353">
      <formula>AND(T508=0,(U508&gt;0))</formula>
    </cfRule>
    <cfRule type="expression" dxfId="232" priority="354">
      <formula>((U508-T508)/T508)&gt;0.05</formula>
    </cfRule>
  </conditionalFormatting>
  <conditionalFormatting sqref="U511:U526">
    <cfRule type="expression" dxfId="231" priority="351">
      <formula>AND(T511=0,(U511&gt;0))</formula>
    </cfRule>
    <cfRule type="expression" dxfId="230" priority="352">
      <formula>((U511-T511)/T511)&gt;0.05</formula>
    </cfRule>
  </conditionalFormatting>
  <conditionalFormatting sqref="U527:U558">
    <cfRule type="expression" dxfId="229" priority="349">
      <formula>AND(T527=0,(U527&gt;0))</formula>
    </cfRule>
    <cfRule type="expression" dxfId="228" priority="350">
      <formula>((U527-T527)/T527)&gt;0.05</formula>
    </cfRule>
  </conditionalFormatting>
  <conditionalFormatting sqref="U559:U568">
    <cfRule type="expression" dxfId="227" priority="347">
      <formula>AND(T559=0,(U559&gt;0))</formula>
    </cfRule>
    <cfRule type="expression" dxfId="226" priority="348">
      <formula>((U559-T559)/T559)&gt;0.05</formula>
    </cfRule>
  </conditionalFormatting>
  <conditionalFormatting sqref="U569:U579">
    <cfRule type="expression" dxfId="225" priority="345">
      <formula>AND(T569=0,(U569&gt;0))</formula>
    </cfRule>
    <cfRule type="expression" dxfId="224" priority="346">
      <formula>((U569-T569)/T569)&gt;0.05</formula>
    </cfRule>
  </conditionalFormatting>
  <conditionalFormatting sqref="U580:U584">
    <cfRule type="expression" dxfId="223" priority="343">
      <formula>AND(T580=0,(U580&gt;0))</formula>
    </cfRule>
    <cfRule type="expression" dxfId="222" priority="344">
      <formula>((U580-T580)/T580)&gt;0.05</formula>
    </cfRule>
  </conditionalFormatting>
  <conditionalFormatting sqref="U585:U611">
    <cfRule type="expression" dxfId="221" priority="341">
      <formula>AND(T585=0,(U585&gt;0))</formula>
    </cfRule>
    <cfRule type="expression" dxfId="220" priority="342">
      <formula>((U585-T585)/T585)&gt;0.05</formula>
    </cfRule>
  </conditionalFormatting>
  <conditionalFormatting sqref="U613:U622">
    <cfRule type="expression" dxfId="219" priority="339">
      <formula>AND(T613=0,(U613&gt;0))</formula>
    </cfRule>
    <cfRule type="expression" dxfId="218" priority="340">
      <formula>((U613-T613)/T613)&gt;0.05</formula>
    </cfRule>
  </conditionalFormatting>
  <conditionalFormatting sqref="Y612">
    <cfRule type="expression" dxfId="217" priority="337">
      <formula>AND(X612=0,(Y612&gt;0))</formula>
    </cfRule>
    <cfRule type="expression" dxfId="216" priority="338">
      <formula>((Y612-X612)/X612)&gt;0.05</formula>
    </cfRule>
  </conditionalFormatting>
  <conditionalFormatting sqref="Y545:Y558">
    <cfRule type="expression" dxfId="215" priority="335">
      <formula>AND(X545=0,(Y545&gt;0))</formula>
    </cfRule>
    <cfRule type="expression" dxfId="214" priority="336">
      <formula>((Y545-X545)/X545)&gt;0.05</formula>
    </cfRule>
  </conditionalFormatting>
  <conditionalFormatting sqref="Y559:Y568">
    <cfRule type="expression" dxfId="213" priority="333">
      <formula>AND(X559=0,(Y559&gt;0))</formula>
    </cfRule>
    <cfRule type="expression" dxfId="212" priority="334">
      <formula>((Y559-X559)/X559)&gt;0.05</formula>
    </cfRule>
  </conditionalFormatting>
  <conditionalFormatting sqref="Y569:Y579">
    <cfRule type="expression" dxfId="211" priority="331">
      <formula>AND(X569=0,(Y569&gt;0))</formula>
    </cfRule>
    <cfRule type="expression" dxfId="210" priority="332">
      <formula>((Y569-X569)/X569)&gt;0.05</formula>
    </cfRule>
  </conditionalFormatting>
  <conditionalFormatting sqref="Y580:Y584">
    <cfRule type="expression" dxfId="209" priority="329">
      <formula>AND(X580=0,(Y580&gt;0))</formula>
    </cfRule>
    <cfRule type="expression" dxfId="208" priority="330">
      <formula>((Y580-X580)/X580)&gt;0.05</formula>
    </cfRule>
  </conditionalFormatting>
  <conditionalFormatting sqref="Y585:Y611">
    <cfRule type="expression" dxfId="207" priority="327">
      <formula>AND(X585=0,(Y585&gt;0))</formula>
    </cfRule>
    <cfRule type="expression" dxfId="206" priority="328">
      <formula>((Y585-X585)/X585)&gt;0.05</formula>
    </cfRule>
  </conditionalFormatting>
  <conditionalFormatting sqref="Y613:Y622">
    <cfRule type="expression" dxfId="205" priority="325">
      <formula>AND(X613=0,(Y613&gt;0))</formula>
    </cfRule>
    <cfRule type="expression" dxfId="204" priority="326">
      <formula>((Y613-X613)/X613)&gt;0.05</formula>
    </cfRule>
  </conditionalFormatting>
  <conditionalFormatting sqref="AA612">
    <cfRule type="expression" dxfId="203" priority="323">
      <formula>AND(Z612=0,(AA612&gt;0))</formula>
    </cfRule>
    <cfRule type="expression" dxfId="202" priority="324">
      <formula>((AA612-Z612)/Z612)&gt;0.05</formula>
    </cfRule>
  </conditionalFormatting>
  <conditionalFormatting sqref="AA545:AA558">
    <cfRule type="expression" dxfId="201" priority="321">
      <formula>AND(Z545=0,(AA545&gt;0))</formula>
    </cfRule>
    <cfRule type="expression" dxfId="200" priority="322">
      <formula>((AA545-Z545)/Z545)&gt;0.05</formula>
    </cfRule>
  </conditionalFormatting>
  <conditionalFormatting sqref="AA559:AA568">
    <cfRule type="expression" dxfId="199" priority="319">
      <formula>AND(Z559=0,(AA559&gt;0))</formula>
    </cfRule>
    <cfRule type="expression" dxfId="198" priority="320">
      <formula>((AA559-Z559)/Z559)&gt;0.05</formula>
    </cfRule>
  </conditionalFormatting>
  <conditionalFormatting sqref="AA569:AA579">
    <cfRule type="expression" dxfId="197" priority="317">
      <formula>AND(Z569=0,(AA569&gt;0))</formula>
    </cfRule>
    <cfRule type="expression" dxfId="196" priority="318">
      <formula>((AA569-Z569)/Z569)&gt;0.05</formula>
    </cfRule>
  </conditionalFormatting>
  <conditionalFormatting sqref="AA580:AA584">
    <cfRule type="expression" dxfId="195" priority="315">
      <formula>AND(Z580=0,(AA580&gt;0))</formula>
    </cfRule>
    <cfRule type="expression" dxfId="194" priority="316">
      <formula>((AA580-Z580)/Z580)&gt;0.05</formula>
    </cfRule>
  </conditionalFormatting>
  <conditionalFormatting sqref="AA585:AA611">
    <cfRule type="expression" dxfId="193" priority="313">
      <formula>AND(Z585=0,(AA585&gt;0))</formula>
    </cfRule>
    <cfRule type="expression" dxfId="192" priority="314">
      <formula>((AA585-Z585)/Z585)&gt;0.05</formula>
    </cfRule>
  </conditionalFormatting>
  <conditionalFormatting sqref="AA613:AA622">
    <cfRule type="expression" dxfId="191" priority="311">
      <formula>AND(Z613=0,(AA613&gt;0))</formula>
    </cfRule>
    <cfRule type="expression" dxfId="190" priority="312">
      <formula>((AA613-Z613)/Z613)&gt;0.05</formula>
    </cfRule>
  </conditionalFormatting>
  <conditionalFormatting sqref="AC612">
    <cfRule type="expression" dxfId="189" priority="309">
      <formula>AND(AB612=0,(AC612&gt;0))</formula>
    </cfRule>
    <cfRule type="expression" dxfId="188" priority="310">
      <formula>((AC612-AB612)/AB612)&gt;0.05</formula>
    </cfRule>
  </conditionalFormatting>
  <conditionalFormatting sqref="AC545:AC558">
    <cfRule type="expression" dxfId="187" priority="307">
      <formula>AND(AB545=0,(AC545&gt;0))</formula>
    </cfRule>
    <cfRule type="expression" dxfId="186" priority="308">
      <formula>((AC545-AB545)/AB545)&gt;0.05</formula>
    </cfRule>
  </conditionalFormatting>
  <conditionalFormatting sqref="AC559:AC568">
    <cfRule type="expression" dxfId="185" priority="305">
      <formula>AND(AB559=0,(AC559&gt;0))</formula>
    </cfRule>
    <cfRule type="expression" dxfId="184" priority="306">
      <formula>((AC559-AB559)/AB559)&gt;0.05</formula>
    </cfRule>
  </conditionalFormatting>
  <conditionalFormatting sqref="AC569:AC579">
    <cfRule type="expression" dxfId="183" priority="303">
      <formula>AND(AB569=0,(AC569&gt;0))</formula>
    </cfRule>
    <cfRule type="expression" dxfId="182" priority="304">
      <formula>((AC569-AB569)/AB569)&gt;0.05</formula>
    </cfRule>
  </conditionalFormatting>
  <conditionalFormatting sqref="AC580:AC584">
    <cfRule type="expression" dxfId="181" priority="301">
      <formula>AND(AB580=0,(AC580&gt;0))</formula>
    </cfRule>
    <cfRule type="expression" dxfId="180" priority="302">
      <formula>((AC580-AB580)/AB580)&gt;0.05</formula>
    </cfRule>
  </conditionalFormatting>
  <conditionalFormatting sqref="AC585:AC611">
    <cfRule type="expression" dxfId="179" priority="299">
      <formula>AND(AB585=0,(AC585&gt;0))</formula>
    </cfRule>
    <cfRule type="expression" dxfId="178" priority="300">
      <formula>((AC585-AB585)/AB585)&gt;0.05</formula>
    </cfRule>
  </conditionalFormatting>
  <conditionalFormatting sqref="AC613:AC622">
    <cfRule type="expression" dxfId="177" priority="297">
      <formula>AND(AB613=0,(AC613&gt;0))</formula>
    </cfRule>
    <cfRule type="expression" dxfId="176" priority="298">
      <formula>((AC613-AB613)/AB613)&gt;0.05</formula>
    </cfRule>
  </conditionalFormatting>
  <conditionalFormatting sqref="AE612">
    <cfRule type="expression" dxfId="175" priority="295">
      <formula>AND(AD612=0,(AE612&gt;0))</formula>
    </cfRule>
    <cfRule type="expression" dxfId="174" priority="296">
      <formula>((AE612-AD612)/AD612)&gt;0.05</formula>
    </cfRule>
  </conditionalFormatting>
  <conditionalFormatting sqref="AE545:AE558">
    <cfRule type="expression" dxfId="173" priority="293">
      <formula>AND(AD545=0,(AE545&gt;0))</formula>
    </cfRule>
    <cfRule type="expression" dxfId="172" priority="294">
      <formula>((AE545-AD545)/AD545)&gt;0.05</formula>
    </cfRule>
  </conditionalFormatting>
  <conditionalFormatting sqref="AE559:AE568">
    <cfRule type="expression" dxfId="171" priority="291">
      <formula>AND(AD559=0,(AE559&gt;0))</formula>
    </cfRule>
    <cfRule type="expression" dxfId="170" priority="292">
      <formula>((AE559-AD559)/AD559)&gt;0.05</formula>
    </cfRule>
  </conditionalFormatting>
  <conditionalFormatting sqref="AE569:AE579">
    <cfRule type="expression" dxfId="169" priority="289">
      <formula>AND(AD569=0,(AE569&gt;0))</formula>
    </cfRule>
    <cfRule type="expression" dxfId="168" priority="290">
      <formula>((AE569-AD569)/AD569)&gt;0.05</formula>
    </cfRule>
  </conditionalFormatting>
  <conditionalFormatting sqref="AE580:AE584">
    <cfRule type="expression" dxfId="167" priority="287">
      <formula>AND(AD580=0,(AE580&gt;0))</formula>
    </cfRule>
    <cfRule type="expression" dxfId="166" priority="288">
      <formula>((AE580-AD580)/AD580)&gt;0.05</formula>
    </cfRule>
  </conditionalFormatting>
  <conditionalFormatting sqref="AE585:AE611">
    <cfRule type="expression" dxfId="165" priority="285">
      <formula>AND(AD585=0,(AE585&gt;0))</formula>
    </cfRule>
    <cfRule type="expression" dxfId="164" priority="286">
      <formula>((AE585-AD585)/AD585)&gt;0.05</formula>
    </cfRule>
  </conditionalFormatting>
  <conditionalFormatting sqref="AE613:AE622">
    <cfRule type="expression" dxfId="163" priority="283">
      <formula>AND(AD613=0,(AE613&gt;0))</formula>
    </cfRule>
    <cfRule type="expression" dxfId="162" priority="284">
      <formula>((AE613-AD613)/AD613)&gt;0.05</formula>
    </cfRule>
  </conditionalFormatting>
  <conditionalFormatting sqref="AQ508:AQ510">
    <cfRule type="expression" dxfId="161" priority="281">
      <formula>AND(AP508=0,(AQ508&gt;0))</formula>
    </cfRule>
    <cfRule type="expression" dxfId="160" priority="282">
      <formula>((AQ508-AP508)/AP508)&gt;0.05</formula>
    </cfRule>
  </conditionalFormatting>
  <conditionalFormatting sqref="AQ511:AQ526">
    <cfRule type="expression" dxfId="159" priority="279">
      <formula>AND(AP511=0,(AQ511&gt;0))</formula>
    </cfRule>
    <cfRule type="expression" dxfId="158" priority="280">
      <formula>((AQ511-AP511)/AP511)&gt;0.05</formula>
    </cfRule>
  </conditionalFormatting>
  <conditionalFormatting sqref="AQ527:AQ544">
    <cfRule type="expression" dxfId="157" priority="277">
      <formula>AND(AP527=0,(AQ527&gt;0))</formula>
    </cfRule>
    <cfRule type="expression" dxfId="156" priority="278">
      <formula>((AQ527-AP527)/AP527)&gt;0.05</formula>
    </cfRule>
  </conditionalFormatting>
  <conditionalFormatting sqref="AS508:AS510">
    <cfRule type="expression" dxfId="155" priority="275">
      <formula>AND(AR508=0,(AS508&gt;0))</formula>
    </cfRule>
    <cfRule type="expression" dxfId="154" priority="276">
      <formula>((AS508-AR508)/AR508)&gt;0.05</formula>
    </cfRule>
  </conditionalFormatting>
  <conditionalFormatting sqref="AS511:AS526">
    <cfRule type="expression" dxfId="153" priority="273">
      <formula>AND(AR511=0,(AS511&gt;0))</formula>
    </cfRule>
    <cfRule type="expression" dxfId="152" priority="274">
      <formula>((AS511-AR511)/AR511)&gt;0.05</formula>
    </cfRule>
  </conditionalFormatting>
  <conditionalFormatting sqref="AS527:AS544">
    <cfRule type="expression" dxfId="151" priority="271">
      <formula>AND(AR527=0,(AS527&gt;0))</formula>
    </cfRule>
    <cfRule type="expression" dxfId="150" priority="272">
      <formula>((AS527-AR527)/AR527)&gt;0.05</formula>
    </cfRule>
  </conditionalFormatting>
  <conditionalFormatting sqref="AU508:AU510">
    <cfRule type="expression" dxfId="149" priority="269">
      <formula>AND(AT508=0,(AU508&gt;0))</formula>
    </cfRule>
    <cfRule type="expression" dxfId="148" priority="270">
      <formula>((AU508-AT508)/AT508)&gt;0.05</formula>
    </cfRule>
  </conditionalFormatting>
  <conditionalFormatting sqref="AU511:AU526">
    <cfRule type="expression" dxfId="147" priority="267">
      <formula>AND(AT511=0,(AU511&gt;0))</formula>
    </cfRule>
    <cfRule type="expression" dxfId="146" priority="268">
      <formula>((AU511-AT511)/AT511)&gt;0.05</formula>
    </cfRule>
  </conditionalFormatting>
  <conditionalFormatting sqref="AU527:AU544">
    <cfRule type="expression" dxfId="145" priority="265">
      <formula>AND(AT527=0,(AU527&gt;0))</formula>
    </cfRule>
    <cfRule type="expression" dxfId="144" priority="266">
      <formula>((AU527-AT527)/AT527)&gt;0.05</formula>
    </cfRule>
  </conditionalFormatting>
  <conditionalFormatting sqref="U666:U686 AU666:AU686 AS666:AS686 AQ666:AQ686 AO666:AO686 AK666:AK686 AE666:AE686 AC666:AC686 AA666:AA686 Y666:Y686 O666:O686 M666:M686 K666:K686 I666:I686">
    <cfRule type="expression" dxfId="143" priority="263">
      <formula>AND(H666=0,(I666&gt;0))</formula>
    </cfRule>
    <cfRule type="expression" dxfId="142" priority="264">
      <formula>((I666-H666)/H666)&gt;0.05</formula>
    </cfRule>
  </conditionalFormatting>
  <conditionalFormatting sqref="I295:I314 K295:K314 M295:M302 O295:O314 U295:U314 Y295:Y314 AA295:AA314 AC295:AC314 AE295:AE314 AK295:AK314 AO295:AO314 AQ295:AQ314 AS295:AS314 AU295:AU314 M306:M314">
    <cfRule type="expression" dxfId="141" priority="217">
      <formula>AND(H295=0,(I295&gt;0))</formula>
    </cfRule>
    <cfRule type="expression" dxfId="140" priority="218">
      <formula>((I295-H295)/H295)&gt;0.05</formula>
    </cfRule>
  </conditionalFormatting>
  <conditionalFormatting sqref="M303:M304">
    <cfRule type="expression" dxfId="139" priority="219">
      <formula>AND(L304=0,(M303&gt;0))</formula>
    </cfRule>
    <cfRule type="expression" dxfId="138" priority="220">
      <formula>((M303-L304)/L304)&gt;0.05</formula>
    </cfRule>
  </conditionalFormatting>
  <conditionalFormatting sqref="I315:I349 Y315:Y349 AA315:AA349 AC315:AC349 AE315:AE349 AK315:AK352 AO315:AO352 AQ350:AQ352 AS350:AS352 AU350:AU352">
    <cfRule type="expression" dxfId="137" priority="215">
      <formula>AND(H315=0,(I315&gt;0))</formula>
    </cfRule>
    <cfRule type="expression" dxfId="136" priority="216">
      <formula>((I315-H315)/H315)&gt;0.05</formula>
    </cfRule>
  </conditionalFormatting>
  <conditionalFormatting sqref="K315:K349">
    <cfRule type="expression" dxfId="135" priority="213">
      <formula>AND(J315=0,(K315&gt;0))</formula>
    </cfRule>
    <cfRule type="expression" dxfId="134" priority="214">
      <formula>((K315-J315)/J315)&gt;0.05</formula>
    </cfRule>
  </conditionalFormatting>
  <conditionalFormatting sqref="K350:K352">
    <cfRule type="expression" dxfId="133" priority="211">
      <formula>AND(J350=0,(K350&gt;0))</formula>
    </cfRule>
    <cfRule type="expression" dxfId="132" priority="212">
      <formula>((K350-J350)/J350)&gt;0.05</formula>
    </cfRule>
  </conditionalFormatting>
  <conditionalFormatting sqref="I350:I352">
    <cfRule type="expression" dxfId="131" priority="209">
      <formula>AND(H350=0,(I350&gt;0))</formula>
    </cfRule>
    <cfRule type="expression" dxfId="130" priority="210">
      <formula>((I350-H350)/H350)&gt;0.05</formula>
    </cfRule>
  </conditionalFormatting>
  <conditionalFormatting sqref="M315:M349">
    <cfRule type="expression" dxfId="129" priority="207">
      <formula>AND(L315=0,(M315&gt;0))</formula>
    </cfRule>
    <cfRule type="expression" dxfId="128" priority="208">
      <formula>((M315-L315)/L315)&gt;0.05</formula>
    </cfRule>
  </conditionalFormatting>
  <conditionalFormatting sqref="M350:M352">
    <cfRule type="expression" dxfId="127" priority="205">
      <formula>AND(L350=0,(M350&gt;0))</formula>
    </cfRule>
    <cfRule type="expression" dxfId="126" priority="206">
      <formula>((M350-L350)/L350)&gt;0.05</formula>
    </cfRule>
  </conditionalFormatting>
  <conditionalFormatting sqref="O315:O349">
    <cfRule type="expression" dxfId="125" priority="203">
      <formula>AND(N315=0,(O315&gt;0))</formula>
    </cfRule>
    <cfRule type="expression" dxfId="124" priority="204">
      <formula>((O315-N315)/N315)&gt;0.05</formula>
    </cfRule>
  </conditionalFormatting>
  <conditionalFormatting sqref="O350:O352">
    <cfRule type="expression" dxfId="123" priority="201">
      <formula>AND(N350=0,(O350&gt;0))</formula>
    </cfRule>
    <cfRule type="expression" dxfId="122" priority="202">
      <formula>((O350-N350)/N350)&gt;0.05</formula>
    </cfRule>
  </conditionalFormatting>
  <conditionalFormatting sqref="Y350:Y352">
    <cfRule type="expression" dxfId="121" priority="199">
      <formula>AND(X350=0,(Y350&gt;0))</formula>
    </cfRule>
    <cfRule type="expression" dxfId="120" priority="200">
      <formula>((Y350-X350)/X350)&gt;0.05</formula>
    </cfRule>
  </conditionalFormatting>
  <conditionalFormatting sqref="AA350:AA352">
    <cfRule type="expression" dxfId="119" priority="197">
      <formula>AND(Z350=0,(AA350&gt;0))</formula>
    </cfRule>
    <cfRule type="expression" dxfId="118" priority="198">
      <formula>((AA350-Z350)/Z350)&gt;0.05</formula>
    </cfRule>
  </conditionalFormatting>
  <conditionalFormatting sqref="AC350:AC352">
    <cfRule type="expression" dxfId="117" priority="195">
      <formula>AND(AB350=0,(AC350&gt;0))</formula>
    </cfRule>
    <cfRule type="expression" dxfId="116" priority="196">
      <formula>((AC350-AB350)/AB350)&gt;0.05</formula>
    </cfRule>
  </conditionalFormatting>
  <conditionalFormatting sqref="AE350:AE352">
    <cfRule type="expression" dxfId="115" priority="193">
      <formula>AND(AD350=0,(AE350&gt;0))</formula>
    </cfRule>
    <cfRule type="expression" dxfId="114" priority="194">
      <formula>((AE350-AD350)/AD350)&gt;0.05</formula>
    </cfRule>
  </conditionalFormatting>
  <conditionalFormatting sqref="AQ315:AQ349">
    <cfRule type="expression" dxfId="113" priority="191">
      <formula>AND(AP315=0,(AQ315&gt;0))</formula>
    </cfRule>
    <cfRule type="expression" dxfId="112" priority="192">
      <formula>((AQ315-AP315)/AP315)&gt;0.05</formula>
    </cfRule>
  </conditionalFormatting>
  <conditionalFormatting sqref="AS315:AS349">
    <cfRule type="expression" dxfId="111" priority="189">
      <formula>AND(AR315=0,(AS315&gt;0))</formula>
    </cfRule>
    <cfRule type="expression" dxfId="110" priority="190">
      <formula>((AS315-AR315)/AR315)&gt;0.05</formula>
    </cfRule>
  </conditionalFormatting>
  <conditionalFormatting sqref="AU315:AU349">
    <cfRule type="expression" dxfId="109" priority="187">
      <formula>AND(AT315=0,(AU315&gt;0))</formula>
    </cfRule>
    <cfRule type="expression" dxfId="108" priority="188">
      <formula>((AU315-AT315)/AT315)&gt;0.05</formula>
    </cfRule>
  </conditionalFormatting>
  <conditionalFormatting sqref="U315:U349">
    <cfRule type="expression" dxfId="107" priority="185">
      <formula>AND(T315=0,(U315&gt;0))</formula>
    </cfRule>
    <cfRule type="expression" dxfId="106" priority="186">
      <formula>((U315-T315)/T315)&gt;0.05</formula>
    </cfRule>
  </conditionalFormatting>
  <conditionalFormatting sqref="U350:U352">
    <cfRule type="expression" dxfId="105" priority="183">
      <formula>AND(T350=0,(U350&gt;0))</formula>
    </cfRule>
    <cfRule type="expression" dxfId="104" priority="184">
      <formula>((U350-T350)/T350)&gt;0.05</formula>
    </cfRule>
  </conditionalFormatting>
  <conditionalFormatting sqref="O78:O82 AU78:AU82 AS78:AS82 AQ78:AQ82 AO78:AO82 AK78:AK82 AE78:AE82 AC78:AC82 AA78:AA82 Y78:Y82 U78:U82 M78:M82 I78:I82 K78:K82">
    <cfRule type="expression" dxfId="103" priority="181">
      <formula>AND(H78=0,(I78&gt;0))</formula>
    </cfRule>
    <cfRule type="expression" dxfId="102" priority="182">
      <formula>((I78-H78)/H78)&gt;0.05</formula>
    </cfRule>
  </conditionalFormatting>
  <conditionalFormatting sqref="I265:I279 K265:K279 M265:M279 O265:O279 U265:U279 Y265:Y279 AA265:AA279 AC265:AC279 AE265:AE279 AK265:AK279 AO265:AO279 AQ265:AQ279 AS265:AS279 AU265:AU279">
    <cfRule type="expression" dxfId="101" priority="127">
      <formula>AND(H265=0,(I265&gt;0))</formula>
    </cfRule>
    <cfRule type="expression" dxfId="100" priority="128">
      <formula>((I265-H265)/H265)&gt;0.05</formula>
    </cfRule>
  </conditionalFormatting>
  <conditionalFormatting sqref="U230:U256 Y230:Y256 AA230:AA256 AC230:AC256 AE230:AE256 AK230:AK256">
    <cfRule type="expression" dxfId="99" priority="125">
      <formula>AND(T230=0,(U230&gt;0))</formula>
    </cfRule>
    <cfRule type="expression" dxfId="98" priority="126">
      <formula>((U230-T230)/T230)&gt;0.05</formula>
    </cfRule>
  </conditionalFormatting>
  <conditionalFormatting sqref="I94:I121 K94:K121 M94:M121 O94:O121 Y94:Y121 AA94:AA121 AC94:AC121 AE94:AE121 AK94:AK121 AO94:AO121 AQ94:AQ121 AS94:AS121 AU94:AU121 U94:U121">
    <cfRule type="expression" dxfId="97" priority="123">
      <formula>AND(H94=0,(I94&gt;0))</formula>
    </cfRule>
    <cfRule type="expression" dxfId="96" priority="124">
      <formula>((I94-H94)/H94)&gt;0.05</formula>
    </cfRule>
  </conditionalFormatting>
  <conditionalFormatting sqref="AK427:AK429 AO427:AO429">
    <cfRule type="expression" dxfId="95" priority="121">
      <formula>AND(AJ427=0,(AK427&gt;0))</formula>
    </cfRule>
    <cfRule type="expression" dxfId="94" priority="122">
      <formula>((AK427-AJ427)/AJ427)&gt;0.05</formula>
    </cfRule>
  </conditionalFormatting>
  <conditionalFormatting sqref="K427:K429">
    <cfRule type="expression" dxfId="93" priority="119">
      <formula>AND(J427=0,(K427&gt;0))</formula>
    </cfRule>
    <cfRule type="expression" dxfId="92" priority="120">
      <formula>((K427-J427)/J427)&gt;0.05</formula>
    </cfRule>
  </conditionalFormatting>
  <conditionalFormatting sqref="I427:I429">
    <cfRule type="expression" dxfId="91" priority="117">
      <formula>AND(H427=0,(I427&gt;0))</formula>
    </cfRule>
    <cfRule type="expression" dxfId="90" priority="118">
      <formula>((I427-H427)/H427)&gt;0.05</formula>
    </cfRule>
  </conditionalFormatting>
  <conditionalFormatting sqref="M427:M429">
    <cfRule type="expression" dxfId="89" priority="115">
      <formula>AND(L427=0,(M427&gt;0))</formula>
    </cfRule>
    <cfRule type="expression" dxfId="88" priority="116">
      <formula>((M427-L427)/L427)&gt;0.05</formula>
    </cfRule>
  </conditionalFormatting>
  <conditionalFormatting sqref="O427:O429">
    <cfRule type="expression" dxfId="87" priority="113">
      <formula>AND(N427=0,(O427&gt;0))</formula>
    </cfRule>
    <cfRule type="expression" dxfId="86" priority="114">
      <formula>((O427-N427)/N427)&gt;0.05</formula>
    </cfRule>
  </conditionalFormatting>
  <conditionalFormatting sqref="Y427:Y429">
    <cfRule type="expression" dxfId="85" priority="111">
      <formula>AND(X427=0,(Y427&gt;0))</formula>
    </cfRule>
    <cfRule type="expression" dxfId="84" priority="112">
      <formula>((Y427-X427)/X427)&gt;0.05</formula>
    </cfRule>
  </conditionalFormatting>
  <conditionalFormatting sqref="AA427:AA429">
    <cfRule type="expression" dxfId="83" priority="109">
      <formula>AND(Z427=0,(AA427&gt;0))</formula>
    </cfRule>
    <cfRule type="expression" dxfId="82" priority="110">
      <formula>((AA427-Z427)/Z427)&gt;0.05</formula>
    </cfRule>
  </conditionalFormatting>
  <conditionalFormatting sqref="AC427:AC429">
    <cfRule type="expression" dxfId="81" priority="107">
      <formula>AND(AB427=0,(AC427&gt;0))</formula>
    </cfRule>
    <cfRule type="expression" dxfId="80" priority="108">
      <formula>((AC427-AB427)/AB427)&gt;0.05</formula>
    </cfRule>
  </conditionalFormatting>
  <conditionalFormatting sqref="AE427:AE429">
    <cfRule type="expression" dxfId="79" priority="105">
      <formula>AND(AD427=0,(AE427&gt;0))</formula>
    </cfRule>
    <cfRule type="expression" dxfId="78" priority="106">
      <formula>((AE427-AD427)/AD427)&gt;0.05</formula>
    </cfRule>
  </conditionalFormatting>
  <conditionalFormatting sqref="I430:I458 K430:K458 M430:M458 O430:O458 Y430:Y458 AA430:AA458 AC430:AC458 AE430:AE458 AK430:AK458 AO430:AO458 AQ445:AQ458 AS445:AS458 AU445:AU458">
    <cfRule type="expression" dxfId="77" priority="101">
      <formula>AND(H430=0,(I430&gt;0))</formula>
    </cfRule>
    <cfRule type="expression" dxfId="76" priority="102">
      <formula>((I430-H430)/H430)&gt;0.05</formula>
    </cfRule>
  </conditionalFormatting>
  <conditionalFormatting sqref="AQ427:AQ435 AS427:AS435 AU427:AU435 AQ439:AQ444 AS439:AS444 AU439:AU444">
    <cfRule type="expression" dxfId="75" priority="99">
      <formula>AND(AP427=0,(AQ427&gt;0))</formula>
    </cfRule>
    <cfRule type="expression" dxfId="74" priority="100">
      <formula>((AQ427-AP427)/AP427)&gt;0.05</formula>
    </cfRule>
  </conditionalFormatting>
  <conditionalFormatting sqref="AQ436:AQ438">
    <cfRule type="expression" dxfId="73" priority="97">
      <formula>AND(AP436=0,(AQ436&gt;0))</formula>
    </cfRule>
    <cfRule type="expression" dxfId="72" priority="98">
      <formula>((AQ436-AP436)/AP436)&gt;0.05</formula>
    </cfRule>
  </conditionalFormatting>
  <conditionalFormatting sqref="AS436:AS438">
    <cfRule type="expression" dxfId="71" priority="95">
      <formula>AND(AR436=0,(AS436&gt;0))</formula>
    </cfRule>
    <cfRule type="expression" dxfId="70" priority="96">
      <formula>((AS436-AR436)/AR436)&gt;0.05</formula>
    </cfRule>
  </conditionalFormatting>
  <conditionalFormatting sqref="AU436:AU438">
    <cfRule type="expression" dxfId="69" priority="93">
      <formula>AND(AT436=0,(AU436&gt;0))</formula>
    </cfRule>
    <cfRule type="expression" dxfId="68" priority="94">
      <formula>((AU436-AT436)/AT436)&gt;0.05</formula>
    </cfRule>
  </conditionalFormatting>
  <conditionalFormatting sqref="U427:U429">
    <cfRule type="expression" dxfId="67" priority="91">
      <formula>AND(T427=0,(U427&gt;0))</formula>
    </cfRule>
    <cfRule type="expression" dxfId="66" priority="92">
      <formula>((U427-T427)/T427)&gt;0.05</formula>
    </cfRule>
  </conditionalFormatting>
  <conditionalFormatting sqref="U430:U458">
    <cfRule type="expression" dxfId="65" priority="89">
      <formula>AND(T430=0,(U430&gt;0))</formula>
    </cfRule>
    <cfRule type="expression" dxfId="64" priority="90">
      <formula>((U430-T430)/T430)&gt;0.05</formula>
    </cfRule>
  </conditionalFormatting>
  <conditionalFormatting sqref="I623:I646 K623:K646 M623:M646 O623:O646 U623:U646 Y623:Y646 AA623:AA646 AC623:AC646 AE623:AE646 AK623:AK646 AO623:AO646 AQ623:AQ646 AS623:AS646 AU623:AU646">
    <cfRule type="expression" dxfId="63" priority="87">
      <formula>AND(H623=0,(I623&gt;0))</formula>
    </cfRule>
    <cfRule type="expression" dxfId="62" priority="88">
      <formula>((I623-H623)/H623)&gt;0.05</formula>
    </cfRule>
  </conditionalFormatting>
  <conditionalFormatting sqref="AU122 AS122 AQ122 AO122 AK122 AE122 AC122 AA122 Y122 U122 O122 M122 K122 I122">
    <cfRule type="expression" dxfId="61" priority="69">
      <formula>AND(H122=0,(I122&gt;0))</formula>
    </cfRule>
    <cfRule type="expression" dxfId="60" priority="70">
      <formula>((I122-H122)/H122)&gt;0.05</formula>
    </cfRule>
  </conditionalFormatting>
  <conditionalFormatting sqref="I148 O148 Y148 AA148 AC148 AE148 AK148 AO148 AU148 U148">
    <cfRule type="expression" dxfId="59" priority="65">
      <formula>AND(H148=0,(I148&gt;0))</formula>
    </cfRule>
    <cfRule type="expression" dxfId="58" priority="66">
      <formula>((I148-H148)/H148)&gt;0.05</formula>
    </cfRule>
  </conditionalFormatting>
  <conditionalFormatting sqref="I149 K149 M149 O149 Y149 AA149 AC149 AE149 AK149 AO149 AQ149 AS149 AU149 U149">
    <cfRule type="expression" dxfId="57" priority="63">
      <formula>AND(H149=0,(I149&gt;0))</formula>
    </cfRule>
    <cfRule type="expression" dxfId="56" priority="64">
      <formula>((I149-H149)/H149)&gt;0.05</formula>
    </cfRule>
  </conditionalFormatting>
  <conditionalFormatting sqref="I150 K150 M150 O150 Y150 AA150 AC150 AE150 AK150 AO150 AQ150 AS150 AU150 U150">
    <cfRule type="expression" dxfId="55" priority="61">
      <formula>AND(H150=0,(I150&gt;0))</formula>
    </cfRule>
    <cfRule type="expression" dxfId="54" priority="62">
      <formula>((I150-H150)/H150)&gt;0.05</formula>
    </cfRule>
  </conditionalFormatting>
  <conditionalFormatting sqref="I151 K151 M151 O151 Y151 AA151 AC151 AE151 AK151 AO151 AQ151 AS151 AU151 U151">
    <cfRule type="expression" dxfId="53" priority="59">
      <formula>AND(H151=0,(I151&gt;0))</formula>
    </cfRule>
    <cfRule type="expression" dxfId="52" priority="60">
      <formula>((I151-H151)/H151)&gt;0.05</formula>
    </cfRule>
  </conditionalFormatting>
  <conditionalFormatting sqref="K148 M148">
    <cfRule type="expression" dxfId="51" priority="53">
      <formula>AND(J148=0,(K148&gt;0))</formula>
    </cfRule>
    <cfRule type="expression" dxfId="50" priority="54">
      <formula>((K148-J148)/J148)&gt;0.05</formula>
    </cfRule>
  </conditionalFormatting>
  <conditionalFormatting sqref="AQ148 AS148">
    <cfRule type="expression" dxfId="49" priority="51">
      <formula>AND(AP148=0,(AQ148&gt;0))</formula>
    </cfRule>
    <cfRule type="expression" dxfId="48" priority="52">
      <formula>((AQ148-AP148)/AP148)&gt;0.05</formula>
    </cfRule>
  </conditionalFormatting>
  <conditionalFormatting sqref="I157 K157 M157 O157 U157 Y157 AA157 AC157 AE157 AK157 AO157 AQ157 AS157 AU157">
    <cfRule type="expression" dxfId="47" priority="49">
      <formula>AND(H157=0,(I157&gt;0))</formula>
    </cfRule>
    <cfRule type="expression" dxfId="46" priority="50">
      <formula>((I157-H157)/H157)&gt;0.05</formula>
    </cfRule>
  </conditionalFormatting>
  <conditionalFormatting sqref="AU366 AS366 AQ366 AO366 AK366 K366 I366 M366 O366 Y366 AA366 AC366 AE366 U366 U368:U379 AE368:AE379 AC368:AC379 AA368:AA379 Y368:Y379 O368:O379 M368:M379 I368:I379 K368:K379 AK368:AK379 AO368:AO379 AQ368:AQ379 AS368:AS379 AU368:AU379">
    <cfRule type="expression" dxfId="45" priority="45">
      <formula>AND(H366=0,(I366&gt;0))</formula>
    </cfRule>
    <cfRule type="expression" dxfId="44" priority="46">
      <formula>((I366-H366)/H366)&gt;0.05</formula>
    </cfRule>
  </conditionalFormatting>
  <conditionalFormatting sqref="O61">
    <cfRule type="expression" dxfId="43" priority="31">
      <formula>AND(N61=0,(O61&gt;0))</formula>
    </cfRule>
    <cfRule type="expression" dxfId="42" priority="32">
      <formula>((O61-N61)/N61)&gt;0.05</formula>
    </cfRule>
  </conditionalFormatting>
  <conditionalFormatting sqref="I56:I60 K56:K59 M56:M60 U56:U60 Y56:Y60 AA56:AA60 AC56:AC60 AE56:AE60 AK56:AK60 AO56:AO60 AQ56:AQ60 AS56:AS60 AU56:AU60 AU62:AU77 AS62:AS77 AQ62:AQ77 AO62:AO77 AK62:AK77 AE62:AE77 AC62:AC77 AA62:AA77 Y62:Y77 K62:K74 I62:I77 K76:K77 M62:M77 U62:U77">
    <cfRule type="expression" dxfId="41" priority="43">
      <formula>AND(H56=0,(I56&gt;0))</formula>
    </cfRule>
    <cfRule type="expression" dxfId="40" priority="44">
      <formula>((I56-H56)/H56)&gt;0.05</formula>
    </cfRule>
  </conditionalFormatting>
  <conditionalFormatting sqref="I61 K61 M61 U61 Y61 AA61 AC61 AE61 AK61 AO61 AQ61 AS61 AU61">
    <cfRule type="expression" dxfId="39" priority="41">
      <formula>AND(H61=0,(I61&gt;0))</formula>
    </cfRule>
    <cfRule type="expression" dxfId="38" priority="42">
      <formula>((I61-H61)/H61)&gt;0.05</formula>
    </cfRule>
  </conditionalFormatting>
  <conditionalFormatting sqref="K46:K55 M46:M55 O46:O55 U47:U55 Y46:Y55 AA46:AA55 AC46:AC55 AE46:AE55 AK46:AK55 AO46:AO55 AQ46:AQ55 AS46:AS55 AU46:AU55 I46:I77">
    <cfRule type="expression" dxfId="37" priority="39">
      <formula>AND(H46=0,(I46&gt;0))</formula>
    </cfRule>
    <cfRule type="expression" dxfId="36" priority="40">
      <formula>((I46-H46)/H46)&gt;0.05</formula>
    </cfRule>
  </conditionalFormatting>
  <conditionalFormatting sqref="K60">
    <cfRule type="expression" dxfId="35" priority="37">
      <formula>AND(J60=0,(K60&gt;0))</formula>
    </cfRule>
    <cfRule type="expression" dxfId="34" priority="38">
      <formula>((K60-J60)/J60)&gt;0.05</formula>
    </cfRule>
  </conditionalFormatting>
  <conditionalFormatting sqref="K75">
    <cfRule type="expression" dxfId="33" priority="35">
      <formula>AND(J75=0,(K75&gt;0))</formula>
    </cfRule>
    <cfRule type="expression" dxfId="32" priority="36">
      <formula>((K75-J75)/J75)&gt;0.05</formula>
    </cfRule>
  </conditionalFormatting>
  <conditionalFormatting sqref="O56:O60 O62:O77">
    <cfRule type="expression" dxfId="31" priority="33">
      <formula>AND(N56=0,(O56&gt;0))</formula>
    </cfRule>
    <cfRule type="expression" dxfId="30" priority="34">
      <formula>((O56-N56)/N56)&gt;0.05</formula>
    </cfRule>
  </conditionalFormatting>
  <conditionalFormatting sqref="U46">
    <cfRule type="expression" dxfId="29" priority="29">
      <formula>AND(T46=0,(U46&gt;0))</formula>
    </cfRule>
    <cfRule type="expression" dxfId="28" priority="30">
      <formula>((U46-T46)/T46)&gt;0.05</formula>
    </cfRule>
  </conditionalFormatting>
  <conditionalFormatting sqref="Y207:Y225 AK207:AK225 AO207:AO225 AQ207:AQ225 AS207:AS225 AU207:AU225 I207:I225 K207:K225 M207:M225 O207:O225 U207:U225 AA207:AA225 AC207:AC225 AE207:AE225">
    <cfRule type="expression" dxfId="27" priority="27">
      <formula>AND(H207=0,(I207&gt;0))</formula>
    </cfRule>
    <cfRule type="expression" dxfId="26" priority="28">
      <formula>((I207-H207)/H207)&gt;0.05</formula>
    </cfRule>
  </conditionalFormatting>
  <conditionalFormatting sqref="Y226:Y229 AA229 AC229 AE229 AK226:AK229 AO226:AO229 AQ226:AQ229 AS226:AS229 AU226:AU229">
    <cfRule type="expression" dxfId="25" priority="25">
      <formula>AND(X226=0,(Y226&gt;0))</formula>
    </cfRule>
    <cfRule type="expression" dxfId="24" priority="26">
      <formula>((Y226-X226)/X226)&gt;0.05</formula>
    </cfRule>
  </conditionalFormatting>
  <conditionalFormatting sqref="Y200 AA200 AC200 AE200 AK200 AO200 AQ200 AS200 AU200 AU202:AU206 AS202:AS206 AQ202:AQ206 AO202:AO206 AK202:AK206 AE202:AE206 AC202:AC206 AA202:AA206 Y202:Y206">
    <cfRule type="expression" dxfId="23" priority="23">
      <formula>AND(X200=0,(Y200&gt;0))</formula>
    </cfRule>
    <cfRule type="expression" dxfId="22" priority="24">
      <formula>((Y200-X200)/X200)&gt;0.05</formula>
    </cfRule>
  </conditionalFormatting>
  <conditionalFormatting sqref="Y201 AA201 AC201 AE201 AK201 AO201 AQ201 AS201 AU201">
    <cfRule type="expression" dxfId="21" priority="21">
      <formula>AND(X201=0,(Y201&gt;0))</formula>
    </cfRule>
    <cfRule type="expression" dxfId="20" priority="22">
      <formula>((Y201-X201)/X201)&gt;0.05</formula>
    </cfRule>
  </conditionalFormatting>
  <conditionalFormatting sqref="I226:I229 K226:K229 M226:M229 O226:O229">
    <cfRule type="expression" dxfId="19" priority="19">
      <formula>AND(H226=0,(I226&gt;0))</formula>
    </cfRule>
    <cfRule type="expression" dxfId="18" priority="20">
      <formula>((I226-H226)/H226)&gt;0.05</formula>
    </cfRule>
  </conditionalFormatting>
  <conditionalFormatting sqref="I200:I206 K200:K206 M200:M206 O200:O203 O205">
    <cfRule type="expression" dxfId="17" priority="17">
      <formula>AND(H200=0,(I200&gt;0))</formula>
    </cfRule>
    <cfRule type="expression" dxfId="16" priority="18">
      <formula>((I200-H200)/H200)&gt;0.05</formula>
    </cfRule>
  </conditionalFormatting>
  <conditionalFormatting sqref="O204">
    <cfRule type="expression" dxfId="15" priority="15">
      <formula>AND(N204=0,(O204&gt;0))</formula>
    </cfRule>
    <cfRule type="expression" dxfId="14" priority="16">
      <formula>((O204-N204)/N204)&gt;0.05</formula>
    </cfRule>
  </conditionalFormatting>
  <conditionalFormatting sqref="O206">
    <cfRule type="expression" dxfId="13" priority="13">
      <formula>AND(N206=0,(O206&gt;0))</formula>
    </cfRule>
    <cfRule type="expression" dxfId="12" priority="14">
      <formula>((O206-N206)/N206)&gt;0.05</formula>
    </cfRule>
  </conditionalFormatting>
  <conditionalFormatting sqref="U226:U229">
    <cfRule type="expression" dxfId="11" priority="11">
      <formula>AND(T226=0,(U226&gt;0))</formula>
    </cfRule>
    <cfRule type="expression" dxfId="10" priority="12">
      <formula>((U226-T226)/T226)&gt;0.05</formula>
    </cfRule>
  </conditionalFormatting>
  <conditionalFormatting sqref="U200:U206">
    <cfRule type="expression" dxfId="9" priority="9">
      <formula>AND(T200=0,(U200&gt;0))</formula>
    </cfRule>
    <cfRule type="expression" dxfId="8" priority="10">
      <formula>((U200-T200)/T200)&gt;0.05</formula>
    </cfRule>
  </conditionalFormatting>
  <conditionalFormatting sqref="AA226:AA228 AC226:AC228">
    <cfRule type="expression" dxfId="7" priority="7">
      <formula>AND(Z226=0,(AA226&gt;0))</formula>
    </cfRule>
    <cfRule type="expression" dxfId="6" priority="8">
      <formula>((AA226-Z226)/Z226)&gt;0.05</formula>
    </cfRule>
  </conditionalFormatting>
  <conditionalFormatting sqref="AE226:AE228">
    <cfRule type="expression" dxfId="5" priority="5">
      <formula>AND(AD226=0,(AE226&gt;0))</formula>
    </cfRule>
    <cfRule type="expression" dxfId="4" priority="6">
      <formula>((AE226-AD226)/AD226)&gt;0.05</formula>
    </cfRule>
  </conditionalFormatting>
  <conditionalFormatting sqref="I176:I198 K176:K198 M176:M198 O176:O198 U176:U198 Y176:Y198 AA176:AA198 AC176:AC198 AE176:AE198 AK176:AK198 AO176:AO198 AQ176:AQ198 AS176:AS198 AU176:AU198">
    <cfRule type="expression" dxfId="3" priority="3">
      <formula>AND(H176=0,(I176&gt;0))</formula>
    </cfRule>
    <cfRule type="expression" dxfId="2" priority="4">
      <formula>((I176-H176)/H176)&gt;0.05</formula>
    </cfRule>
  </conditionalFormatting>
  <conditionalFormatting sqref="I199 K199 M199 O199 U199 Y199 AA199 AC199 AE199 AK199 AO199 AQ199 AS199 AU199">
    <cfRule type="expression" dxfId="1" priority="1">
      <formula>AND(H199=0,(I199&gt;0))</formula>
    </cfRule>
    <cfRule type="expression" dxfId="0" priority="2">
      <formula>((I199-H199)/H199)&gt;0.05</formula>
    </cfRule>
  </conditionalFormatting>
  <pageMargins left="0.75" right="0.75" top="1" bottom="1" header="0.5" footer="0.5"/>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220"/>
  <sheetViews>
    <sheetView workbookViewId="0">
      <selection sqref="A1:XFD1048576"/>
    </sheetView>
  </sheetViews>
  <sheetFormatPr defaultRowHeight="12.75"/>
  <cols>
    <col min="1" max="1" width="7.5" style="361" customWidth="1"/>
    <col min="2" max="2" width="44.1640625" style="214" customWidth="1"/>
    <col min="3" max="8" width="15" style="214" customWidth="1"/>
    <col min="9" max="9" width="16.83203125" style="214" customWidth="1"/>
    <col min="10" max="13" width="13.6640625" style="214" customWidth="1"/>
    <col min="14" max="14" width="16.33203125" style="214" customWidth="1"/>
    <col min="15" max="16" width="13.83203125" style="214" hidden="1" customWidth="1"/>
    <col min="17" max="17" width="11" style="214" customWidth="1"/>
    <col min="18" max="18" width="10.6640625" style="214" customWidth="1"/>
    <col min="19" max="19" width="11.33203125" style="214" customWidth="1"/>
    <col min="20" max="20" width="10" style="214" customWidth="1"/>
    <col min="21" max="21" width="11.33203125" style="214" customWidth="1"/>
    <col min="22" max="22" width="11.1640625" style="214" customWidth="1"/>
    <col min="23" max="23" width="11.33203125" style="214" customWidth="1"/>
    <col min="24" max="24" width="10.1640625" style="214" customWidth="1"/>
    <col min="25" max="25" width="11.33203125" style="214" customWidth="1"/>
    <col min="26" max="26" width="9.6640625" style="214" customWidth="1"/>
    <col min="27" max="27" width="10.1640625" style="214" customWidth="1"/>
    <col min="28" max="30" width="2.1640625" style="214" customWidth="1"/>
    <col min="31" max="31" width="14.5" style="214" customWidth="1"/>
    <col min="32" max="32" width="13.6640625" style="214" customWidth="1"/>
    <col min="33" max="33" width="12.6640625" style="214" customWidth="1"/>
    <col min="34" max="34" width="16" style="214" customWidth="1"/>
    <col min="35" max="35" width="16.5" style="214" customWidth="1"/>
    <col min="36" max="36" width="14.6640625" style="214" customWidth="1"/>
    <col min="37" max="37" width="14" style="214" customWidth="1"/>
    <col min="38" max="16384" width="9.33203125" style="214"/>
  </cols>
  <sheetData>
    <row r="1" spans="1:31" s="73" customFormat="1">
      <c r="A1" s="84"/>
      <c r="B1" s="83"/>
      <c r="C1" s="4"/>
      <c r="D1" s="4"/>
      <c r="E1" s="4"/>
      <c r="F1" s="4"/>
      <c r="G1" s="4"/>
      <c r="H1" s="4"/>
      <c r="I1" s="4"/>
      <c r="J1" s="4"/>
      <c r="K1" s="4"/>
      <c r="L1" s="4"/>
      <c r="M1" s="82"/>
      <c r="N1" s="4"/>
      <c r="T1" s="248"/>
      <c r="U1" s="248"/>
      <c r="V1" s="248"/>
      <c r="W1" s="248"/>
      <c r="X1" s="248"/>
      <c r="Y1" s="248"/>
      <c r="Z1" s="248"/>
      <c r="AA1" s="248"/>
    </row>
    <row r="2" spans="1:31">
      <c r="A2" s="335"/>
      <c r="B2" s="336"/>
      <c r="C2" s="337"/>
      <c r="D2" s="338"/>
      <c r="E2" s="338"/>
      <c r="F2" s="338"/>
      <c r="G2" s="338"/>
      <c r="H2" s="338"/>
      <c r="I2" s="338"/>
      <c r="J2" s="343"/>
      <c r="K2" s="338"/>
      <c r="L2" s="338"/>
      <c r="M2" s="339"/>
      <c r="N2" s="341"/>
      <c r="O2" s="343"/>
      <c r="P2" s="338"/>
      <c r="Q2" s="338"/>
      <c r="R2" s="338"/>
      <c r="S2" s="338"/>
      <c r="T2" s="350"/>
      <c r="U2" s="350"/>
      <c r="V2" s="350"/>
      <c r="W2" s="350"/>
      <c r="X2" s="350"/>
      <c r="Y2" s="350"/>
      <c r="Z2" s="350"/>
      <c r="AA2" s="352"/>
      <c r="AB2" s="444"/>
      <c r="AC2" s="444"/>
      <c r="AD2" s="444"/>
      <c r="AE2" s="334"/>
    </row>
    <row r="3" spans="1:31" s="73" customFormat="1">
      <c r="A3" s="335"/>
      <c r="B3" s="336"/>
      <c r="C3" s="337"/>
      <c r="D3" s="338"/>
      <c r="E3" s="338"/>
      <c r="F3" s="338"/>
      <c r="G3" s="338"/>
      <c r="H3" s="338"/>
      <c r="I3" s="348"/>
      <c r="J3" s="337"/>
      <c r="K3" s="338"/>
      <c r="L3" s="338"/>
      <c r="M3" s="338"/>
      <c r="N3" s="348"/>
      <c r="O3" s="337"/>
      <c r="P3" s="338"/>
      <c r="Q3" s="348"/>
      <c r="R3" s="337"/>
      <c r="S3" s="337"/>
      <c r="T3" s="349"/>
      <c r="U3" s="349"/>
      <c r="V3" s="349"/>
      <c r="W3" s="349"/>
      <c r="X3" s="349"/>
      <c r="Y3" s="349"/>
      <c r="Z3" s="349"/>
      <c r="AA3" s="353"/>
      <c r="AB3" s="444"/>
      <c r="AC3" s="444"/>
      <c r="AD3" s="444"/>
      <c r="AE3" s="334"/>
    </row>
    <row r="4" spans="1:31">
      <c r="A4" s="335"/>
      <c r="B4" s="340"/>
      <c r="C4" s="344"/>
      <c r="D4" s="345"/>
      <c r="E4" s="345"/>
      <c r="F4" s="345"/>
      <c r="G4" s="345"/>
      <c r="H4" s="345"/>
      <c r="I4" s="249"/>
      <c r="J4" s="346"/>
      <c r="K4" s="347"/>
      <c r="L4" s="347"/>
      <c r="M4" s="347"/>
      <c r="N4" s="249"/>
      <c r="O4" s="346"/>
      <c r="P4" s="347"/>
      <c r="Q4" s="249"/>
      <c r="R4" s="337"/>
      <c r="S4" s="443"/>
      <c r="T4" s="349"/>
      <c r="U4" s="251"/>
      <c r="V4" s="351"/>
      <c r="W4" s="250"/>
      <c r="X4" s="351"/>
      <c r="Y4" s="250"/>
      <c r="Z4" s="349"/>
      <c r="AA4" s="252"/>
      <c r="AB4" s="444"/>
      <c r="AC4" s="444"/>
      <c r="AD4" s="444"/>
      <c r="AE4" s="334"/>
    </row>
    <row r="5" spans="1:31">
      <c r="A5" s="342"/>
      <c r="B5" s="340"/>
      <c r="C5" s="337"/>
      <c r="D5" s="341"/>
      <c r="E5" s="341"/>
      <c r="F5" s="341"/>
      <c r="G5" s="341"/>
      <c r="H5" s="341"/>
      <c r="I5" s="337"/>
      <c r="J5" s="337"/>
      <c r="K5" s="341"/>
      <c r="L5" s="341"/>
      <c r="M5" s="341"/>
      <c r="N5" s="337"/>
      <c r="O5" s="337"/>
      <c r="P5" s="341"/>
      <c r="Q5" s="337"/>
      <c r="R5" s="337"/>
      <c r="S5" s="337"/>
      <c r="T5" s="349"/>
      <c r="U5" s="349"/>
      <c r="V5" s="349"/>
      <c r="W5" s="349"/>
      <c r="X5" s="349"/>
      <c r="Y5" s="349"/>
      <c r="Z5" s="349"/>
      <c r="AA5" s="357"/>
      <c r="AB5" s="444"/>
      <c r="AC5" s="444"/>
      <c r="AD5" s="444"/>
      <c r="AE5" s="334"/>
    </row>
    <row r="6" spans="1:31">
      <c r="A6" s="241"/>
      <c r="B6" s="242"/>
      <c r="C6" s="243"/>
      <c r="D6" s="244"/>
      <c r="E6" s="244"/>
      <c r="F6" s="244"/>
      <c r="G6" s="244"/>
      <c r="H6" s="244"/>
      <c r="I6" s="243"/>
      <c r="J6" s="243"/>
      <c r="K6" s="244"/>
      <c r="L6" s="244"/>
      <c r="M6" s="244"/>
      <c r="N6" s="243"/>
      <c r="O6" s="243"/>
      <c r="P6" s="244"/>
      <c r="Q6" s="243"/>
      <c r="R6" s="243"/>
      <c r="S6" s="243"/>
      <c r="T6" s="312"/>
      <c r="U6" s="312"/>
      <c r="V6" s="312"/>
      <c r="W6" s="312"/>
      <c r="X6" s="312"/>
      <c r="Y6" s="312"/>
      <c r="Z6" s="312"/>
      <c r="AA6" s="358"/>
      <c r="AB6" s="444"/>
      <c r="AC6" s="444"/>
      <c r="AD6" s="444"/>
      <c r="AE6" s="334"/>
    </row>
    <row r="7" spans="1:31" s="73" customFormat="1">
      <c r="A7" s="241"/>
      <c r="B7" s="245"/>
      <c r="C7" s="253"/>
      <c r="D7" s="254"/>
      <c r="E7" s="254"/>
      <c r="F7" s="254"/>
      <c r="G7" s="254"/>
      <c r="H7" s="254"/>
      <c r="I7" s="253"/>
      <c r="J7" s="253"/>
      <c r="K7" s="254"/>
      <c r="L7" s="254"/>
      <c r="M7" s="254"/>
      <c r="N7" s="253"/>
      <c r="O7" s="356"/>
      <c r="P7" s="254"/>
      <c r="Q7" s="253"/>
      <c r="R7" s="253"/>
      <c r="S7" s="253"/>
      <c r="T7" s="313"/>
      <c r="U7" s="313"/>
      <c r="V7" s="313"/>
      <c r="W7" s="313"/>
      <c r="X7" s="313"/>
      <c r="Y7" s="313"/>
      <c r="Z7" s="313"/>
      <c r="AA7" s="359"/>
      <c r="AB7" s="445"/>
      <c r="AC7" s="445"/>
      <c r="AD7" s="445"/>
      <c r="AE7" s="334"/>
    </row>
    <row r="8" spans="1:31" s="73" customFormat="1">
      <c r="A8" s="241"/>
      <c r="B8" s="242"/>
      <c r="C8" s="243"/>
      <c r="D8" s="244"/>
      <c r="E8" s="244"/>
      <c r="F8" s="244"/>
      <c r="G8" s="244"/>
      <c r="H8" s="244"/>
      <c r="I8" s="243"/>
      <c r="J8" s="243"/>
      <c r="K8" s="244"/>
      <c r="L8" s="244"/>
      <c r="M8" s="244"/>
      <c r="N8" s="243"/>
      <c r="O8" s="314"/>
      <c r="P8" s="244"/>
      <c r="Q8" s="243"/>
      <c r="R8" s="243"/>
      <c r="S8" s="243"/>
      <c r="T8" s="312"/>
      <c r="U8" s="312"/>
      <c r="V8" s="312"/>
      <c r="W8" s="312"/>
      <c r="X8" s="312"/>
      <c r="Y8" s="312"/>
      <c r="Z8" s="312"/>
      <c r="AA8" s="360"/>
      <c r="AB8" s="444"/>
      <c r="AC8" s="444"/>
      <c r="AD8" s="444"/>
      <c r="AE8" s="334"/>
    </row>
    <row r="9" spans="1:31" s="73" customFormat="1">
      <c r="A9" s="241"/>
      <c r="B9" s="242"/>
      <c r="C9" s="243"/>
      <c r="D9" s="244"/>
      <c r="E9" s="244"/>
      <c r="F9" s="244"/>
      <c r="G9" s="244"/>
      <c r="H9" s="244"/>
      <c r="I9" s="243"/>
      <c r="J9" s="243"/>
      <c r="K9" s="244"/>
      <c r="L9" s="244"/>
      <c r="M9" s="244"/>
      <c r="N9" s="243"/>
      <c r="O9" s="314"/>
      <c r="P9" s="244"/>
      <c r="Q9" s="243"/>
      <c r="R9" s="243"/>
      <c r="S9" s="243"/>
      <c r="T9" s="312"/>
      <c r="U9" s="312"/>
      <c r="V9" s="312"/>
      <c r="W9" s="312"/>
      <c r="X9" s="312"/>
      <c r="Y9" s="312"/>
      <c r="Z9" s="312"/>
      <c r="AA9" s="360"/>
      <c r="AB9" s="444"/>
      <c r="AC9" s="444"/>
      <c r="AD9" s="444"/>
      <c r="AE9" s="334"/>
    </row>
    <row r="10" spans="1:31" s="73" customFormat="1">
      <c r="A10" s="241"/>
      <c r="B10" s="245"/>
      <c r="C10" s="253"/>
      <c r="D10" s="254"/>
      <c r="E10" s="254"/>
      <c r="F10" s="254"/>
      <c r="G10" s="254"/>
      <c r="H10" s="254"/>
      <c r="I10" s="253"/>
      <c r="J10" s="253"/>
      <c r="K10" s="254"/>
      <c r="L10" s="254"/>
      <c r="M10" s="254"/>
      <c r="N10" s="253"/>
      <c r="O10" s="356"/>
      <c r="P10" s="254"/>
      <c r="Q10" s="253"/>
      <c r="R10" s="253"/>
      <c r="S10" s="253"/>
      <c r="T10" s="313"/>
      <c r="U10" s="313"/>
      <c r="V10" s="313"/>
      <c r="W10" s="313"/>
      <c r="X10" s="313"/>
      <c r="Y10" s="313"/>
      <c r="Z10" s="313"/>
      <c r="AA10" s="359"/>
      <c r="AB10" s="445"/>
      <c r="AC10" s="445"/>
      <c r="AD10" s="445"/>
      <c r="AE10" s="334"/>
    </row>
    <row r="11" spans="1:31" s="73" customFormat="1">
      <c r="A11" s="241"/>
      <c r="B11" s="242"/>
      <c r="C11" s="243"/>
      <c r="D11" s="244"/>
      <c r="E11" s="244"/>
      <c r="F11" s="244"/>
      <c r="G11" s="244"/>
      <c r="H11" s="244"/>
      <c r="I11" s="243"/>
      <c r="J11" s="243"/>
      <c r="K11" s="244"/>
      <c r="L11" s="244"/>
      <c r="M11" s="244"/>
      <c r="N11" s="243"/>
      <c r="O11" s="314"/>
      <c r="P11" s="244"/>
      <c r="Q11" s="243"/>
      <c r="R11" s="243"/>
      <c r="S11" s="243"/>
      <c r="T11" s="312"/>
      <c r="U11" s="312"/>
      <c r="V11" s="312"/>
      <c r="W11" s="312"/>
      <c r="X11" s="312"/>
      <c r="Y11" s="312"/>
      <c r="Z11" s="312"/>
      <c r="AA11" s="360"/>
      <c r="AB11" s="444"/>
      <c r="AC11" s="444"/>
      <c r="AD11" s="444"/>
      <c r="AE11" s="334"/>
    </row>
    <row r="12" spans="1:31" s="73" customFormat="1">
      <c r="A12" s="241"/>
      <c r="B12" s="242"/>
      <c r="C12" s="243"/>
      <c r="D12" s="244"/>
      <c r="E12" s="244"/>
      <c r="F12" s="244"/>
      <c r="G12" s="244"/>
      <c r="H12" s="244"/>
      <c r="I12" s="243"/>
      <c r="J12" s="243"/>
      <c r="K12" s="244"/>
      <c r="L12" s="244"/>
      <c r="M12" s="244"/>
      <c r="N12" s="243"/>
      <c r="O12" s="314"/>
      <c r="P12" s="244"/>
      <c r="Q12" s="243"/>
      <c r="R12" s="243"/>
      <c r="S12" s="243"/>
      <c r="T12" s="312"/>
      <c r="U12" s="312"/>
      <c r="V12" s="312"/>
      <c r="W12" s="312"/>
      <c r="X12" s="312"/>
      <c r="Y12" s="312"/>
      <c r="Z12" s="312"/>
      <c r="AA12" s="360"/>
      <c r="AB12" s="444"/>
      <c r="AC12" s="444"/>
      <c r="AD12" s="444"/>
      <c r="AE12" s="334"/>
    </row>
    <row r="13" spans="1:31" s="73" customFormat="1">
      <c r="A13" s="241"/>
      <c r="B13" s="245"/>
      <c r="C13" s="253"/>
      <c r="D13" s="254"/>
      <c r="E13" s="254"/>
      <c r="F13" s="254"/>
      <c r="G13" s="510"/>
      <c r="H13" s="254"/>
      <c r="I13" s="253"/>
      <c r="J13" s="253"/>
      <c r="K13" s="254"/>
      <c r="L13" s="254"/>
      <c r="M13" s="254"/>
      <c r="N13" s="253"/>
      <c r="O13" s="356"/>
      <c r="P13" s="254"/>
      <c r="Q13" s="253"/>
      <c r="R13" s="253"/>
      <c r="S13" s="253"/>
      <c r="T13" s="313"/>
      <c r="U13" s="313"/>
      <c r="V13" s="313"/>
      <c r="W13" s="313"/>
      <c r="X13" s="313"/>
      <c r="Y13" s="313"/>
      <c r="Z13" s="313"/>
      <c r="AA13" s="359"/>
      <c r="AB13" s="445"/>
      <c r="AC13" s="445"/>
      <c r="AD13" s="445"/>
      <c r="AE13" s="334"/>
    </row>
    <row r="14" spans="1:31" s="73" customFormat="1">
      <c r="A14" s="241"/>
      <c r="B14" s="242"/>
      <c r="C14" s="243"/>
      <c r="D14" s="244"/>
      <c r="E14" s="244"/>
      <c r="F14" s="244"/>
      <c r="G14" s="244"/>
      <c r="H14" s="244"/>
      <c r="I14" s="243"/>
      <c r="J14" s="243"/>
      <c r="K14" s="244"/>
      <c r="L14" s="244"/>
      <c r="M14" s="244"/>
      <c r="N14" s="243"/>
      <c r="O14" s="314"/>
      <c r="P14" s="244"/>
      <c r="Q14" s="243"/>
      <c r="R14" s="243"/>
      <c r="S14" s="243"/>
      <c r="T14" s="312"/>
      <c r="U14" s="312"/>
      <c r="V14" s="312"/>
      <c r="W14" s="312"/>
      <c r="X14" s="312"/>
      <c r="Y14" s="312"/>
      <c r="Z14" s="312"/>
      <c r="AA14" s="360"/>
      <c r="AB14" s="444"/>
      <c r="AC14" s="444"/>
      <c r="AD14" s="444"/>
      <c r="AE14" s="334"/>
    </row>
    <row r="15" spans="1:31" s="73" customFormat="1">
      <c r="A15" s="241"/>
      <c r="B15" s="242"/>
      <c r="C15" s="243"/>
      <c r="D15" s="244"/>
      <c r="E15" s="244"/>
      <c r="F15" s="244"/>
      <c r="G15" s="244"/>
      <c r="H15" s="244"/>
      <c r="I15" s="243"/>
      <c r="J15" s="243"/>
      <c r="K15" s="244"/>
      <c r="L15" s="244"/>
      <c r="M15" s="244"/>
      <c r="N15" s="243"/>
      <c r="O15" s="314"/>
      <c r="P15" s="244"/>
      <c r="Q15" s="243"/>
      <c r="R15" s="243"/>
      <c r="S15" s="243"/>
      <c r="T15" s="312"/>
      <c r="U15" s="312"/>
      <c r="V15" s="312"/>
      <c r="W15" s="312"/>
      <c r="X15" s="312"/>
      <c r="Y15" s="312"/>
      <c r="Z15" s="312"/>
      <c r="AA15" s="360"/>
      <c r="AB15" s="444"/>
      <c r="AC15" s="444"/>
      <c r="AD15" s="444"/>
      <c r="AE15" s="334"/>
    </row>
    <row r="16" spans="1:31" s="73" customFormat="1">
      <c r="A16" s="246"/>
      <c r="B16" s="311"/>
      <c r="C16" s="253"/>
      <c r="D16" s="254"/>
      <c r="E16" s="254"/>
      <c r="F16" s="254"/>
      <c r="G16" s="254"/>
      <c r="H16" s="254"/>
      <c r="I16" s="253"/>
      <c r="J16" s="253"/>
      <c r="K16" s="254"/>
      <c r="L16" s="254"/>
      <c r="M16" s="254"/>
      <c r="N16" s="253"/>
      <c r="O16" s="356"/>
      <c r="P16" s="254"/>
      <c r="Q16" s="253"/>
      <c r="R16" s="253"/>
      <c r="S16" s="253"/>
      <c r="T16" s="313"/>
      <c r="U16" s="313"/>
      <c r="V16" s="313"/>
      <c r="W16" s="313"/>
      <c r="X16" s="313"/>
      <c r="Y16" s="313"/>
      <c r="Z16" s="313"/>
      <c r="AA16" s="359"/>
      <c r="AB16" s="445"/>
      <c r="AC16" s="445"/>
      <c r="AD16" s="445"/>
      <c r="AE16" s="334"/>
    </row>
    <row r="17" spans="1:31" s="73" customFormat="1">
      <c r="A17" s="342"/>
      <c r="B17" s="340"/>
      <c r="C17" s="337"/>
      <c r="D17" s="341"/>
      <c r="E17" s="341"/>
      <c r="F17" s="341"/>
      <c r="G17" s="341"/>
      <c r="H17" s="341"/>
      <c r="I17" s="337"/>
      <c r="J17" s="337"/>
      <c r="K17" s="341"/>
      <c r="L17" s="341"/>
      <c r="M17" s="341"/>
      <c r="N17" s="337"/>
      <c r="O17" s="337"/>
      <c r="P17" s="341"/>
      <c r="Q17" s="337"/>
      <c r="R17" s="337"/>
      <c r="S17" s="337"/>
      <c r="T17" s="349"/>
      <c r="U17" s="349"/>
      <c r="V17" s="349"/>
      <c r="W17" s="349"/>
      <c r="X17" s="349"/>
      <c r="Y17" s="349"/>
      <c r="Z17" s="349"/>
      <c r="AA17" s="357"/>
      <c r="AB17" s="444"/>
      <c r="AC17" s="444"/>
      <c r="AD17" s="444"/>
      <c r="AE17" s="334"/>
    </row>
    <row r="18" spans="1:31" s="73" customFormat="1">
      <c r="A18" s="241"/>
      <c r="B18" s="242"/>
      <c r="C18" s="243"/>
      <c r="D18" s="244"/>
      <c r="E18" s="244"/>
      <c r="F18" s="244"/>
      <c r="G18" s="244"/>
      <c r="H18" s="244"/>
      <c r="I18" s="243"/>
      <c r="J18" s="243"/>
      <c r="K18" s="244"/>
      <c r="L18" s="244"/>
      <c r="M18" s="244"/>
      <c r="N18" s="243"/>
      <c r="O18" s="243"/>
      <c r="P18" s="244"/>
      <c r="Q18" s="243"/>
      <c r="R18" s="243"/>
      <c r="S18" s="243"/>
      <c r="T18" s="312"/>
      <c r="U18" s="312"/>
      <c r="V18" s="312"/>
      <c r="W18" s="312"/>
      <c r="X18" s="312"/>
      <c r="Y18" s="312"/>
      <c r="Z18" s="312"/>
      <c r="AA18" s="358"/>
      <c r="AB18" s="444"/>
      <c r="AC18" s="444"/>
      <c r="AD18" s="444"/>
      <c r="AE18" s="334"/>
    </row>
    <row r="19" spans="1:31" s="73" customFormat="1">
      <c r="A19" s="241"/>
      <c r="B19" s="245"/>
      <c r="C19" s="253"/>
      <c r="D19" s="254"/>
      <c r="E19" s="254"/>
      <c r="F19" s="254"/>
      <c r="G19" s="254"/>
      <c r="H19" s="254"/>
      <c r="I19" s="253"/>
      <c r="J19" s="253"/>
      <c r="K19" s="254"/>
      <c r="L19" s="254"/>
      <c r="M19" s="254"/>
      <c r="N19" s="253"/>
      <c r="O19" s="356"/>
      <c r="P19" s="254"/>
      <c r="Q19" s="253"/>
      <c r="R19" s="253"/>
      <c r="S19" s="253"/>
      <c r="T19" s="313"/>
      <c r="U19" s="313"/>
      <c r="V19" s="313"/>
      <c r="W19" s="313"/>
      <c r="X19" s="313"/>
      <c r="Y19" s="313"/>
      <c r="Z19" s="313"/>
      <c r="AA19" s="359"/>
      <c r="AB19" s="445"/>
      <c r="AC19" s="445"/>
      <c r="AD19" s="445"/>
      <c r="AE19" s="334"/>
    </row>
    <row r="20" spans="1:31" s="73" customFormat="1">
      <c r="A20" s="241"/>
      <c r="B20" s="242"/>
      <c r="C20" s="243"/>
      <c r="D20" s="244"/>
      <c r="E20" s="244"/>
      <c r="F20" s="244"/>
      <c r="G20" s="244"/>
      <c r="H20" s="244"/>
      <c r="I20" s="243"/>
      <c r="J20" s="243"/>
      <c r="K20" s="244"/>
      <c r="L20" s="244"/>
      <c r="M20" s="244"/>
      <c r="N20" s="243"/>
      <c r="O20" s="314"/>
      <c r="P20" s="244"/>
      <c r="Q20" s="243"/>
      <c r="R20" s="243"/>
      <c r="S20" s="243"/>
      <c r="T20" s="312"/>
      <c r="U20" s="312"/>
      <c r="V20" s="312"/>
      <c r="W20" s="312"/>
      <c r="X20" s="312"/>
      <c r="Y20" s="312"/>
      <c r="Z20" s="312"/>
      <c r="AA20" s="360"/>
      <c r="AB20" s="444"/>
      <c r="AC20" s="444"/>
      <c r="AD20" s="444"/>
      <c r="AE20" s="334"/>
    </row>
    <row r="21" spans="1:31" s="73" customFormat="1">
      <c r="A21" s="241"/>
      <c r="B21" s="242"/>
      <c r="C21" s="243"/>
      <c r="D21" s="244"/>
      <c r="E21" s="244"/>
      <c r="F21" s="244"/>
      <c r="G21" s="244"/>
      <c r="H21" s="244"/>
      <c r="I21" s="243"/>
      <c r="J21" s="243"/>
      <c r="K21" s="244"/>
      <c r="L21" s="244"/>
      <c r="M21" s="244"/>
      <c r="N21" s="243"/>
      <c r="O21" s="314"/>
      <c r="P21" s="244"/>
      <c r="Q21" s="243"/>
      <c r="R21" s="243"/>
      <c r="S21" s="243"/>
      <c r="T21" s="312"/>
      <c r="U21" s="312"/>
      <c r="V21" s="312"/>
      <c r="W21" s="312"/>
      <c r="X21" s="312"/>
      <c r="Y21" s="312"/>
      <c r="Z21" s="312"/>
      <c r="AA21" s="360"/>
      <c r="AB21" s="444"/>
      <c r="AC21" s="444"/>
      <c r="AD21" s="444"/>
      <c r="AE21" s="334"/>
    </row>
    <row r="22" spans="1:31" s="73" customFormat="1">
      <c r="A22" s="241"/>
      <c r="B22" s="245"/>
      <c r="C22" s="253"/>
      <c r="D22" s="254"/>
      <c r="E22" s="254"/>
      <c r="F22" s="254"/>
      <c r="G22" s="254"/>
      <c r="H22" s="254"/>
      <c r="I22" s="253"/>
      <c r="J22" s="253"/>
      <c r="K22" s="254"/>
      <c r="L22" s="254"/>
      <c r="M22" s="254"/>
      <c r="N22" s="253"/>
      <c r="O22" s="356"/>
      <c r="P22" s="254"/>
      <c r="Q22" s="253"/>
      <c r="R22" s="253"/>
      <c r="S22" s="253"/>
      <c r="T22" s="313"/>
      <c r="U22" s="313"/>
      <c r="V22" s="313"/>
      <c r="W22" s="313"/>
      <c r="X22" s="313"/>
      <c r="Y22" s="313"/>
      <c r="Z22" s="313"/>
      <c r="AA22" s="359"/>
      <c r="AB22" s="445"/>
      <c r="AC22" s="445"/>
      <c r="AD22" s="445"/>
      <c r="AE22" s="334"/>
    </row>
    <row r="23" spans="1:31" s="73" customFormat="1">
      <c r="A23" s="241"/>
      <c r="B23" s="242"/>
      <c r="C23" s="243"/>
      <c r="D23" s="244"/>
      <c r="E23" s="244"/>
      <c r="F23" s="244"/>
      <c r="G23" s="244"/>
      <c r="H23" s="244"/>
      <c r="I23" s="243"/>
      <c r="J23" s="243"/>
      <c r="K23" s="244"/>
      <c r="L23" s="244"/>
      <c r="M23" s="244"/>
      <c r="N23" s="243"/>
      <c r="O23" s="314"/>
      <c r="P23" s="244"/>
      <c r="Q23" s="243"/>
      <c r="R23" s="243"/>
      <c r="S23" s="243"/>
      <c r="T23" s="312"/>
      <c r="U23" s="312"/>
      <c r="V23" s="312"/>
      <c r="W23" s="312"/>
      <c r="X23" s="312"/>
      <c r="Y23" s="312"/>
      <c r="Z23" s="312"/>
      <c r="AA23" s="360"/>
      <c r="AB23" s="444"/>
      <c r="AC23" s="444"/>
      <c r="AD23" s="444"/>
      <c r="AE23" s="334"/>
    </row>
    <row r="24" spans="1:31" s="73" customFormat="1">
      <c r="A24" s="241"/>
      <c r="B24" s="242"/>
      <c r="C24" s="243"/>
      <c r="D24" s="244"/>
      <c r="E24" s="244"/>
      <c r="F24" s="244"/>
      <c r="G24" s="244"/>
      <c r="H24" s="244"/>
      <c r="I24" s="243"/>
      <c r="J24" s="243"/>
      <c r="K24" s="244"/>
      <c r="L24" s="244"/>
      <c r="M24" s="244"/>
      <c r="N24" s="243"/>
      <c r="O24" s="314"/>
      <c r="P24" s="244"/>
      <c r="Q24" s="243"/>
      <c r="R24" s="243"/>
      <c r="S24" s="243"/>
      <c r="T24" s="312"/>
      <c r="U24" s="312"/>
      <c r="V24" s="312"/>
      <c r="W24" s="312"/>
      <c r="X24" s="312"/>
      <c r="Y24" s="312"/>
      <c r="Z24" s="312"/>
      <c r="AA24" s="360"/>
      <c r="AB24" s="444"/>
      <c r="AC24" s="444"/>
      <c r="AD24" s="444"/>
      <c r="AE24" s="334"/>
    </row>
    <row r="25" spans="1:31" s="73" customFormat="1">
      <c r="A25" s="241"/>
      <c r="B25" s="245"/>
      <c r="C25" s="253"/>
      <c r="D25" s="254"/>
      <c r="E25" s="254"/>
      <c r="F25" s="254"/>
      <c r="G25" s="510"/>
      <c r="H25" s="254"/>
      <c r="I25" s="253"/>
      <c r="J25" s="253"/>
      <c r="K25" s="254"/>
      <c r="L25" s="254"/>
      <c r="M25" s="254"/>
      <c r="N25" s="253"/>
      <c r="O25" s="356"/>
      <c r="P25" s="254"/>
      <c r="Q25" s="253"/>
      <c r="R25" s="253"/>
      <c r="S25" s="253"/>
      <c r="T25" s="313"/>
      <c r="U25" s="313"/>
      <c r="V25" s="313"/>
      <c r="W25" s="313"/>
      <c r="X25" s="313"/>
      <c r="Y25" s="313"/>
      <c r="Z25" s="313"/>
      <c r="AA25" s="359"/>
      <c r="AB25" s="445"/>
      <c r="AC25" s="445"/>
      <c r="AD25" s="445"/>
      <c r="AE25" s="334"/>
    </row>
    <row r="26" spans="1:31" s="73" customFormat="1">
      <c r="A26" s="241"/>
      <c r="B26" s="242"/>
      <c r="C26" s="243"/>
      <c r="D26" s="244"/>
      <c r="E26" s="244"/>
      <c r="F26" s="244"/>
      <c r="G26" s="244"/>
      <c r="H26" s="244"/>
      <c r="I26" s="243"/>
      <c r="J26" s="243"/>
      <c r="K26" s="244"/>
      <c r="L26" s="244"/>
      <c r="M26" s="244"/>
      <c r="N26" s="243"/>
      <c r="O26" s="314"/>
      <c r="P26" s="244"/>
      <c r="Q26" s="243"/>
      <c r="R26" s="243"/>
      <c r="S26" s="243"/>
      <c r="T26" s="312"/>
      <c r="U26" s="312"/>
      <c r="V26" s="312"/>
      <c r="W26" s="312"/>
      <c r="X26" s="312"/>
      <c r="Y26" s="312"/>
      <c r="Z26" s="312"/>
      <c r="AA26" s="360"/>
      <c r="AB26" s="444"/>
      <c r="AC26" s="444"/>
      <c r="AD26" s="444"/>
      <c r="AE26" s="334"/>
    </row>
    <row r="27" spans="1:31" s="73" customFormat="1">
      <c r="A27" s="241"/>
      <c r="B27" s="242"/>
      <c r="C27" s="243"/>
      <c r="D27" s="244"/>
      <c r="E27" s="244"/>
      <c r="F27" s="244"/>
      <c r="G27" s="244"/>
      <c r="H27" s="244"/>
      <c r="I27" s="243"/>
      <c r="J27" s="243"/>
      <c r="K27" s="244"/>
      <c r="L27" s="244"/>
      <c r="M27" s="244"/>
      <c r="N27" s="243"/>
      <c r="O27" s="314"/>
      <c r="P27" s="244"/>
      <c r="Q27" s="243"/>
      <c r="R27" s="243"/>
      <c r="S27" s="243"/>
      <c r="T27" s="312"/>
      <c r="U27" s="312"/>
      <c r="V27" s="312"/>
      <c r="W27" s="312"/>
      <c r="X27" s="312"/>
      <c r="Y27" s="312"/>
      <c r="Z27" s="312"/>
      <c r="AA27" s="360"/>
      <c r="AB27" s="444"/>
      <c r="AC27" s="444"/>
      <c r="AD27" s="444"/>
      <c r="AE27" s="334"/>
    </row>
    <row r="28" spans="1:31" s="73" customFormat="1">
      <c r="A28" s="246"/>
      <c r="B28" s="311"/>
      <c r="C28" s="253"/>
      <c r="D28" s="254"/>
      <c r="E28" s="254"/>
      <c r="F28" s="254"/>
      <c r="G28" s="254"/>
      <c r="H28" s="254"/>
      <c r="I28" s="253"/>
      <c r="J28" s="253"/>
      <c r="K28" s="254"/>
      <c r="L28" s="254"/>
      <c r="M28" s="254"/>
      <c r="N28" s="253"/>
      <c r="O28" s="356"/>
      <c r="P28" s="254"/>
      <c r="Q28" s="253"/>
      <c r="R28" s="253"/>
      <c r="S28" s="253"/>
      <c r="T28" s="313"/>
      <c r="U28" s="313"/>
      <c r="V28" s="313"/>
      <c r="W28" s="313"/>
      <c r="X28" s="313"/>
      <c r="Y28" s="313"/>
      <c r="Z28" s="313"/>
      <c r="AA28" s="359"/>
      <c r="AB28" s="445"/>
      <c r="AC28" s="445"/>
      <c r="AD28" s="445"/>
      <c r="AE28" s="334"/>
    </row>
    <row r="29" spans="1:31" s="73" customFormat="1">
      <c r="A29" s="342"/>
      <c r="B29" s="340"/>
      <c r="C29" s="337"/>
      <c r="D29" s="341"/>
      <c r="E29" s="341"/>
      <c r="F29" s="341"/>
      <c r="G29" s="341"/>
      <c r="H29" s="341"/>
      <c r="I29" s="337"/>
      <c r="J29" s="337"/>
      <c r="K29" s="341"/>
      <c r="L29" s="341"/>
      <c r="M29" s="341"/>
      <c r="N29" s="337"/>
      <c r="O29" s="337"/>
      <c r="P29" s="341"/>
      <c r="Q29" s="337"/>
      <c r="R29" s="337"/>
      <c r="S29" s="337"/>
      <c r="T29" s="349"/>
      <c r="U29" s="349"/>
      <c r="V29" s="349"/>
      <c r="W29" s="349"/>
      <c r="X29" s="349"/>
      <c r="Y29" s="349"/>
      <c r="Z29" s="349"/>
      <c r="AA29" s="357"/>
      <c r="AB29" s="444"/>
      <c r="AC29" s="444"/>
      <c r="AD29" s="444"/>
      <c r="AE29" s="334"/>
    </row>
    <row r="30" spans="1:31" s="73" customFormat="1">
      <c r="A30" s="241"/>
      <c r="B30" s="242"/>
      <c r="C30" s="243"/>
      <c r="D30" s="244"/>
      <c r="E30" s="244"/>
      <c r="F30" s="244"/>
      <c r="G30" s="244"/>
      <c r="H30" s="244"/>
      <c r="I30" s="243"/>
      <c r="J30" s="243"/>
      <c r="K30" s="244"/>
      <c r="L30" s="244"/>
      <c r="M30" s="244"/>
      <c r="N30" s="243"/>
      <c r="O30" s="243"/>
      <c r="P30" s="244"/>
      <c r="Q30" s="243"/>
      <c r="R30" s="243"/>
      <c r="S30" s="243"/>
      <c r="T30" s="312"/>
      <c r="U30" s="312"/>
      <c r="V30" s="312"/>
      <c r="W30" s="312"/>
      <c r="X30" s="312"/>
      <c r="Y30" s="312"/>
      <c r="Z30" s="312"/>
      <c r="AA30" s="358"/>
      <c r="AB30" s="444"/>
      <c r="AC30" s="444"/>
      <c r="AD30" s="444"/>
      <c r="AE30" s="334"/>
    </row>
    <row r="31" spans="1:31" s="73" customFormat="1">
      <c r="A31" s="241"/>
      <c r="B31" s="245"/>
      <c r="C31" s="253"/>
      <c r="D31" s="254"/>
      <c r="E31" s="254"/>
      <c r="F31" s="254"/>
      <c r="G31" s="254"/>
      <c r="H31" s="254"/>
      <c r="I31" s="253"/>
      <c r="J31" s="253"/>
      <c r="K31" s="254"/>
      <c r="L31" s="254"/>
      <c r="M31" s="254"/>
      <c r="N31" s="253"/>
      <c r="O31" s="356"/>
      <c r="P31" s="254"/>
      <c r="Q31" s="253"/>
      <c r="R31" s="253"/>
      <c r="S31" s="253"/>
      <c r="T31" s="313"/>
      <c r="U31" s="313"/>
      <c r="V31" s="313"/>
      <c r="W31" s="313"/>
      <c r="X31" s="313"/>
      <c r="Y31" s="313"/>
      <c r="Z31" s="313"/>
      <c r="AA31" s="359"/>
      <c r="AB31" s="445"/>
      <c r="AC31" s="445"/>
      <c r="AD31" s="445"/>
      <c r="AE31" s="334"/>
    </row>
    <row r="32" spans="1:31" s="73" customFormat="1">
      <c r="A32" s="241"/>
      <c r="B32" s="242"/>
      <c r="C32" s="243"/>
      <c r="D32" s="244"/>
      <c r="E32" s="244"/>
      <c r="F32" s="244"/>
      <c r="G32" s="244"/>
      <c r="H32" s="244"/>
      <c r="I32" s="243"/>
      <c r="J32" s="243"/>
      <c r="K32" s="244"/>
      <c r="L32" s="244"/>
      <c r="M32" s="244"/>
      <c r="N32" s="243"/>
      <c r="O32" s="314"/>
      <c r="P32" s="244"/>
      <c r="Q32" s="243"/>
      <c r="R32" s="243"/>
      <c r="S32" s="243"/>
      <c r="T32" s="312"/>
      <c r="U32" s="312"/>
      <c r="V32" s="312"/>
      <c r="W32" s="312"/>
      <c r="X32" s="312"/>
      <c r="Y32" s="312"/>
      <c r="Z32" s="312"/>
      <c r="AA32" s="360"/>
      <c r="AB32" s="444"/>
      <c r="AC32" s="444"/>
      <c r="AD32" s="444"/>
      <c r="AE32" s="334"/>
    </row>
    <row r="33" spans="1:31" s="73" customFormat="1">
      <c r="A33" s="241"/>
      <c r="B33" s="242"/>
      <c r="C33" s="243"/>
      <c r="D33" s="244"/>
      <c r="E33" s="244"/>
      <c r="F33" s="244"/>
      <c r="G33" s="244"/>
      <c r="H33" s="244"/>
      <c r="I33" s="243"/>
      <c r="J33" s="243"/>
      <c r="K33" s="244"/>
      <c r="L33" s="244"/>
      <c r="M33" s="244"/>
      <c r="N33" s="243"/>
      <c r="O33" s="314"/>
      <c r="P33" s="244"/>
      <c r="Q33" s="243"/>
      <c r="R33" s="243"/>
      <c r="S33" s="243"/>
      <c r="T33" s="312"/>
      <c r="U33" s="312"/>
      <c r="V33" s="312"/>
      <c r="W33" s="312"/>
      <c r="X33" s="312"/>
      <c r="Y33" s="312"/>
      <c r="Z33" s="312"/>
      <c r="AA33" s="360"/>
      <c r="AB33" s="444"/>
      <c r="AC33" s="444"/>
      <c r="AD33" s="444"/>
      <c r="AE33" s="334"/>
    </row>
    <row r="34" spans="1:31" s="73" customFormat="1">
      <c r="A34" s="241"/>
      <c r="B34" s="245"/>
      <c r="C34" s="253"/>
      <c r="D34" s="254"/>
      <c r="E34" s="254"/>
      <c r="F34" s="254"/>
      <c r="G34" s="254"/>
      <c r="H34" s="254"/>
      <c r="I34" s="253"/>
      <c r="J34" s="253"/>
      <c r="K34" s="254"/>
      <c r="L34" s="254"/>
      <c r="M34" s="254"/>
      <c r="N34" s="253"/>
      <c r="O34" s="356"/>
      <c r="P34" s="254"/>
      <c r="Q34" s="253"/>
      <c r="R34" s="253"/>
      <c r="S34" s="253"/>
      <c r="T34" s="313"/>
      <c r="U34" s="313"/>
      <c r="V34" s="313"/>
      <c r="W34" s="313"/>
      <c r="X34" s="313"/>
      <c r="Y34" s="313"/>
      <c r="Z34" s="313"/>
      <c r="AA34" s="359"/>
      <c r="AB34" s="445"/>
      <c r="AC34" s="445"/>
      <c r="AD34" s="445"/>
      <c r="AE34" s="334"/>
    </row>
    <row r="35" spans="1:31" s="73" customFormat="1">
      <c r="A35" s="241"/>
      <c r="B35" s="242"/>
      <c r="C35" s="243"/>
      <c r="D35" s="244"/>
      <c r="E35" s="244"/>
      <c r="F35" s="244"/>
      <c r="G35" s="244"/>
      <c r="H35" s="244"/>
      <c r="I35" s="243"/>
      <c r="J35" s="243"/>
      <c r="K35" s="244"/>
      <c r="L35" s="244"/>
      <c r="M35" s="244"/>
      <c r="N35" s="243"/>
      <c r="O35" s="314"/>
      <c r="P35" s="244"/>
      <c r="Q35" s="243"/>
      <c r="R35" s="243"/>
      <c r="S35" s="243"/>
      <c r="T35" s="312"/>
      <c r="U35" s="312"/>
      <c r="V35" s="312"/>
      <c r="W35" s="312"/>
      <c r="X35" s="312"/>
      <c r="Y35" s="312"/>
      <c r="Z35" s="312"/>
      <c r="AA35" s="360"/>
      <c r="AB35" s="444"/>
      <c r="AC35" s="444"/>
      <c r="AD35" s="444"/>
      <c r="AE35" s="334"/>
    </row>
    <row r="36" spans="1:31" s="73" customFormat="1">
      <c r="A36" s="241"/>
      <c r="B36" s="242"/>
      <c r="C36" s="243"/>
      <c r="D36" s="244"/>
      <c r="E36" s="244"/>
      <c r="F36" s="244"/>
      <c r="G36" s="244"/>
      <c r="H36" s="244"/>
      <c r="I36" s="243"/>
      <c r="J36" s="243"/>
      <c r="K36" s="244"/>
      <c r="L36" s="244"/>
      <c r="M36" s="244"/>
      <c r="N36" s="243"/>
      <c r="O36" s="314"/>
      <c r="P36" s="244"/>
      <c r="Q36" s="243"/>
      <c r="R36" s="243"/>
      <c r="S36" s="243"/>
      <c r="T36" s="312"/>
      <c r="U36" s="312"/>
      <c r="V36" s="312"/>
      <c r="W36" s="312"/>
      <c r="X36" s="312"/>
      <c r="Y36" s="312"/>
      <c r="Z36" s="312"/>
      <c r="AA36" s="360"/>
      <c r="AB36" s="444"/>
      <c r="AC36" s="444"/>
      <c r="AD36" s="444"/>
      <c r="AE36" s="334"/>
    </row>
    <row r="37" spans="1:31" s="73" customFormat="1">
      <c r="A37" s="241"/>
      <c r="B37" s="245"/>
      <c r="C37" s="253"/>
      <c r="D37" s="254"/>
      <c r="E37" s="510"/>
      <c r="F37" s="254"/>
      <c r="G37" s="254"/>
      <c r="H37" s="254"/>
      <c r="I37" s="253"/>
      <c r="J37" s="253"/>
      <c r="K37" s="254"/>
      <c r="L37" s="254"/>
      <c r="M37" s="254"/>
      <c r="N37" s="253"/>
      <c r="O37" s="356"/>
      <c r="P37" s="254"/>
      <c r="Q37" s="253"/>
      <c r="R37" s="253"/>
      <c r="S37" s="253"/>
      <c r="T37" s="313"/>
      <c r="U37" s="313"/>
      <c r="V37" s="313"/>
      <c r="W37" s="313"/>
      <c r="X37" s="313"/>
      <c r="Y37" s="313"/>
      <c r="Z37" s="313"/>
      <c r="AA37" s="359"/>
      <c r="AB37" s="445"/>
      <c r="AC37" s="445"/>
      <c r="AD37" s="445"/>
      <c r="AE37" s="334"/>
    </row>
    <row r="38" spans="1:31" s="73" customFormat="1">
      <c r="A38" s="241"/>
      <c r="B38" s="242"/>
      <c r="C38" s="243"/>
      <c r="D38" s="244"/>
      <c r="E38" s="244"/>
      <c r="F38" s="244"/>
      <c r="G38" s="244"/>
      <c r="H38" s="244"/>
      <c r="I38" s="243"/>
      <c r="J38" s="243"/>
      <c r="K38" s="244"/>
      <c r="L38" s="244"/>
      <c r="M38" s="244"/>
      <c r="N38" s="243"/>
      <c r="O38" s="314"/>
      <c r="P38" s="244"/>
      <c r="Q38" s="243"/>
      <c r="R38" s="243"/>
      <c r="S38" s="243"/>
      <c r="T38" s="312"/>
      <c r="U38" s="312"/>
      <c r="V38" s="312"/>
      <c r="W38" s="312"/>
      <c r="X38" s="312"/>
      <c r="Y38" s="312"/>
      <c r="Z38" s="312"/>
      <c r="AA38" s="360"/>
      <c r="AB38" s="444"/>
      <c r="AC38" s="444"/>
      <c r="AD38" s="444"/>
      <c r="AE38" s="334"/>
    </row>
    <row r="39" spans="1:31" s="73" customFormat="1">
      <c r="A39" s="241"/>
      <c r="B39" s="242"/>
      <c r="C39" s="243"/>
      <c r="D39" s="244"/>
      <c r="E39" s="244"/>
      <c r="F39" s="244"/>
      <c r="G39" s="244"/>
      <c r="H39" s="244"/>
      <c r="I39" s="243"/>
      <c r="J39" s="243"/>
      <c r="K39" s="244"/>
      <c r="L39" s="244"/>
      <c r="M39" s="244"/>
      <c r="N39" s="243"/>
      <c r="O39" s="314"/>
      <c r="P39" s="244"/>
      <c r="Q39" s="243"/>
      <c r="R39" s="243"/>
      <c r="S39" s="243"/>
      <c r="T39" s="312"/>
      <c r="U39" s="312"/>
      <c r="V39" s="312"/>
      <c r="W39" s="312"/>
      <c r="X39" s="312"/>
      <c r="Y39" s="312"/>
      <c r="Z39" s="312"/>
      <c r="AA39" s="360"/>
      <c r="AB39" s="444"/>
      <c r="AC39" s="444"/>
      <c r="AD39" s="444"/>
      <c r="AE39" s="334"/>
    </row>
    <row r="40" spans="1:31" s="73" customFormat="1">
      <c r="A40" s="246"/>
      <c r="B40" s="311"/>
      <c r="C40" s="253"/>
      <c r="D40" s="254"/>
      <c r="E40" s="254"/>
      <c r="F40" s="254"/>
      <c r="G40" s="254"/>
      <c r="H40" s="254"/>
      <c r="I40" s="253"/>
      <c r="J40" s="253"/>
      <c r="K40" s="254"/>
      <c r="L40" s="254"/>
      <c r="M40" s="254"/>
      <c r="N40" s="253"/>
      <c r="O40" s="356"/>
      <c r="P40" s="254"/>
      <c r="Q40" s="253"/>
      <c r="R40" s="253"/>
      <c r="S40" s="253"/>
      <c r="T40" s="313"/>
      <c r="U40" s="313"/>
      <c r="V40" s="313"/>
      <c r="W40" s="313"/>
      <c r="X40" s="313"/>
      <c r="Y40" s="313"/>
      <c r="Z40" s="313"/>
      <c r="AA40" s="359"/>
      <c r="AB40" s="445"/>
      <c r="AC40" s="445"/>
      <c r="AD40" s="445"/>
      <c r="AE40" s="334"/>
    </row>
    <row r="41" spans="1:31" s="73" customFormat="1">
      <c r="A41" s="342"/>
      <c r="B41" s="340"/>
      <c r="C41" s="337"/>
      <c r="D41" s="341"/>
      <c r="E41" s="341"/>
      <c r="F41" s="341"/>
      <c r="G41" s="341"/>
      <c r="H41" s="341"/>
      <c r="I41" s="337"/>
      <c r="J41" s="337"/>
      <c r="K41" s="341"/>
      <c r="L41" s="341"/>
      <c r="M41" s="341"/>
      <c r="N41" s="337"/>
      <c r="O41" s="337"/>
      <c r="P41" s="341"/>
      <c r="Q41" s="337"/>
      <c r="R41" s="337"/>
      <c r="S41" s="337"/>
      <c r="T41" s="349"/>
      <c r="U41" s="349"/>
      <c r="V41" s="349"/>
      <c r="W41" s="349"/>
      <c r="X41" s="349"/>
      <c r="Y41" s="349"/>
      <c r="Z41" s="349"/>
      <c r="AA41" s="357"/>
      <c r="AB41" s="444"/>
      <c r="AC41" s="444"/>
      <c r="AD41" s="444"/>
      <c r="AE41" s="334"/>
    </row>
    <row r="42" spans="1:31" s="73" customFormat="1">
      <c r="A42" s="241"/>
      <c r="B42" s="242"/>
      <c r="C42" s="243"/>
      <c r="D42" s="244"/>
      <c r="E42" s="244"/>
      <c r="F42" s="244"/>
      <c r="G42" s="244"/>
      <c r="H42" s="244"/>
      <c r="I42" s="243"/>
      <c r="J42" s="243"/>
      <c r="K42" s="244"/>
      <c r="L42" s="244"/>
      <c r="M42" s="244"/>
      <c r="N42" s="243"/>
      <c r="O42" s="243"/>
      <c r="P42" s="244"/>
      <c r="Q42" s="243"/>
      <c r="R42" s="243"/>
      <c r="S42" s="243"/>
      <c r="T42" s="312"/>
      <c r="U42" s="312"/>
      <c r="V42" s="312"/>
      <c r="W42" s="312"/>
      <c r="X42" s="312"/>
      <c r="Y42" s="312"/>
      <c r="Z42" s="312"/>
      <c r="AA42" s="358"/>
      <c r="AB42" s="444"/>
      <c r="AC42" s="444"/>
      <c r="AD42" s="444"/>
      <c r="AE42" s="334"/>
    </row>
    <row r="43" spans="1:31" s="73" customFormat="1">
      <c r="A43" s="241"/>
      <c r="B43" s="245"/>
      <c r="C43" s="253"/>
      <c r="D43" s="254"/>
      <c r="E43" s="254"/>
      <c r="F43" s="254"/>
      <c r="G43" s="254"/>
      <c r="H43" s="254"/>
      <c r="I43" s="253"/>
      <c r="J43" s="253"/>
      <c r="K43" s="254"/>
      <c r="L43" s="254"/>
      <c r="M43" s="254"/>
      <c r="N43" s="253"/>
      <c r="O43" s="356"/>
      <c r="P43" s="254"/>
      <c r="Q43" s="253"/>
      <c r="R43" s="253"/>
      <c r="S43" s="253"/>
      <c r="T43" s="313"/>
      <c r="U43" s="313"/>
      <c r="V43" s="313"/>
      <c r="W43" s="313"/>
      <c r="X43" s="313"/>
      <c r="Y43" s="313"/>
      <c r="Z43" s="313"/>
      <c r="AA43" s="359"/>
      <c r="AB43" s="445"/>
      <c r="AC43" s="445"/>
      <c r="AD43" s="445"/>
      <c r="AE43" s="334"/>
    </row>
    <row r="44" spans="1:31" s="73" customFormat="1">
      <c r="A44" s="241"/>
      <c r="B44" s="242"/>
      <c r="C44" s="243"/>
      <c r="D44" s="244"/>
      <c r="E44" s="244"/>
      <c r="F44" s="244"/>
      <c r="G44" s="244"/>
      <c r="H44" s="244"/>
      <c r="I44" s="243"/>
      <c r="J44" s="243"/>
      <c r="K44" s="244"/>
      <c r="L44" s="244"/>
      <c r="M44" s="244"/>
      <c r="N44" s="243"/>
      <c r="O44" s="314"/>
      <c r="P44" s="244"/>
      <c r="Q44" s="243"/>
      <c r="R44" s="243"/>
      <c r="S44" s="243"/>
      <c r="T44" s="312"/>
      <c r="U44" s="312"/>
      <c r="V44" s="312"/>
      <c r="W44" s="312"/>
      <c r="X44" s="312"/>
      <c r="Y44" s="312"/>
      <c r="Z44" s="312"/>
      <c r="AA44" s="360"/>
      <c r="AB44" s="444"/>
      <c r="AC44" s="444"/>
      <c r="AD44" s="444"/>
      <c r="AE44" s="334"/>
    </row>
    <row r="45" spans="1:31" s="73" customFormat="1">
      <c r="A45" s="241"/>
      <c r="B45" s="242"/>
      <c r="C45" s="243"/>
      <c r="D45" s="244"/>
      <c r="E45" s="244"/>
      <c r="F45" s="244"/>
      <c r="G45" s="244"/>
      <c r="H45" s="244"/>
      <c r="I45" s="243"/>
      <c r="J45" s="243"/>
      <c r="K45" s="244"/>
      <c r="L45" s="244"/>
      <c r="M45" s="244"/>
      <c r="N45" s="243"/>
      <c r="O45" s="314"/>
      <c r="P45" s="244"/>
      <c r="Q45" s="243"/>
      <c r="R45" s="243"/>
      <c r="S45" s="243"/>
      <c r="T45" s="312"/>
      <c r="U45" s="312"/>
      <c r="V45" s="312"/>
      <c r="W45" s="312"/>
      <c r="X45" s="312"/>
      <c r="Y45" s="312"/>
      <c r="Z45" s="312"/>
      <c r="AA45" s="360"/>
      <c r="AB45" s="444"/>
      <c r="AC45" s="444"/>
      <c r="AD45" s="444"/>
      <c r="AE45" s="334"/>
    </row>
    <row r="46" spans="1:31" s="73" customFormat="1">
      <c r="A46" s="241"/>
      <c r="B46" s="245"/>
      <c r="C46" s="253"/>
      <c r="D46" s="254"/>
      <c r="E46" s="254"/>
      <c r="F46" s="254"/>
      <c r="G46" s="254"/>
      <c r="H46" s="254"/>
      <c r="I46" s="253"/>
      <c r="J46" s="253"/>
      <c r="K46" s="254"/>
      <c r="L46" s="254"/>
      <c r="M46" s="254"/>
      <c r="N46" s="253"/>
      <c r="O46" s="356"/>
      <c r="P46" s="254"/>
      <c r="Q46" s="253"/>
      <c r="R46" s="253"/>
      <c r="S46" s="253"/>
      <c r="T46" s="313"/>
      <c r="U46" s="313"/>
      <c r="V46" s="313"/>
      <c r="W46" s="313"/>
      <c r="X46" s="313"/>
      <c r="Y46" s="313"/>
      <c r="Z46" s="313"/>
      <c r="AA46" s="359"/>
      <c r="AB46" s="445"/>
      <c r="AC46" s="445"/>
      <c r="AD46" s="445"/>
      <c r="AE46" s="334"/>
    </row>
    <row r="47" spans="1:31" s="73" customFormat="1">
      <c r="A47" s="241"/>
      <c r="B47" s="242"/>
      <c r="C47" s="243"/>
      <c r="D47" s="244"/>
      <c r="E47" s="244"/>
      <c r="F47" s="244"/>
      <c r="G47" s="244"/>
      <c r="H47" s="244"/>
      <c r="I47" s="243"/>
      <c r="J47" s="243"/>
      <c r="K47" s="244"/>
      <c r="L47" s="244"/>
      <c r="M47" s="244"/>
      <c r="N47" s="243"/>
      <c r="O47" s="314"/>
      <c r="P47" s="244"/>
      <c r="Q47" s="243"/>
      <c r="R47" s="243"/>
      <c r="S47" s="243"/>
      <c r="T47" s="312"/>
      <c r="U47" s="312"/>
      <c r="V47" s="312"/>
      <c r="W47" s="312"/>
      <c r="X47" s="312"/>
      <c r="Y47" s="312"/>
      <c r="Z47" s="312"/>
      <c r="AA47" s="360"/>
      <c r="AB47" s="444"/>
      <c r="AC47" s="444"/>
      <c r="AD47" s="444"/>
      <c r="AE47" s="334"/>
    </row>
    <row r="48" spans="1:31" s="73" customFormat="1">
      <c r="A48" s="241"/>
      <c r="B48" s="242"/>
      <c r="C48" s="243"/>
      <c r="D48" s="244"/>
      <c r="E48" s="244"/>
      <c r="F48" s="244"/>
      <c r="G48" s="244"/>
      <c r="H48" s="244"/>
      <c r="I48" s="243"/>
      <c r="J48" s="243"/>
      <c r="K48" s="244"/>
      <c r="L48" s="244"/>
      <c r="M48" s="244"/>
      <c r="N48" s="243"/>
      <c r="O48" s="314"/>
      <c r="P48" s="244"/>
      <c r="Q48" s="243"/>
      <c r="R48" s="243"/>
      <c r="S48" s="243"/>
      <c r="T48" s="312"/>
      <c r="U48" s="312"/>
      <c r="V48" s="312"/>
      <c r="W48" s="312"/>
      <c r="X48" s="312"/>
      <c r="Y48" s="312"/>
      <c r="Z48" s="312"/>
      <c r="AA48" s="360"/>
      <c r="AB48" s="444"/>
      <c r="AC48" s="444"/>
      <c r="AD48" s="444"/>
      <c r="AE48" s="334"/>
    </row>
    <row r="49" spans="1:31" s="73" customFormat="1">
      <c r="A49" s="241"/>
      <c r="B49" s="245"/>
      <c r="C49" s="253"/>
      <c r="D49" s="254"/>
      <c r="E49" s="254"/>
      <c r="F49" s="254"/>
      <c r="G49" s="254"/>
      <c r="H49" s="254"/>
      <c r="I49" s="253"/>
      <c r="J49" s="253"/>
      <c r="K49" s="254"/>
      <c r="L49" s="254"/>
      <c r="M49" s="254"/>
      <c r="N49" s="253"/>
      <c r="O49" s="356"/>
      <c r="P49" s="254"/>
      <c r="Q49" s="253"/>
      <c r="R49" s="253"/>
      <c r="S49" s="253"/>
      <c r="T49" s="313"/>
      <c r="U49" s="313"/>
      <c r="V49" s="313"/>
      <c r="W49" s="313"/>
      <c r="X49" s="313"/>
      <c r="Y49" s="313"/>
      <c r="Z49" s="313"/>
      <c r="AA49" s="359"/>
      <c r="AB49" s="445"/>
      <c r="AC49" s="445"/>
      <c r="AD49" s="445"/>
      <c r="AE49" s="334"/>
    </row>
    <row r="50" spans="1:31" s="73" customFormat="1">
      <c r="A50" s="241"/>
      <c r="B50" s="242"/>
      <c r="C50" s="243"/>
      <c r="D50" s="244"/>
      <c r="E50" s="244"/>
      <c r="F50" s="244"/>
      <c r="G50" s="244"/>
      <c r="H50" s="244"/>
      <c r="I50" s="243"/>
      <c r="J50" s="243"/>
      <c r="K50" s="244"/>
      <c r="L50" s="244"/>
      <c r="M50" s="244"/>
      <c r="N50" s="243"/>
      <c r="O50" s="314"/>
      <c r="P50" s="244"/>
      <c r="Q50" s="243"/>
      <c r="R50" s="243"/>
      <c r="S50" s="243"/>
      <c r="T50" s="312"/>
      <c r="U50" s="312"/>
      <c r="V50" s="312"/>
      <c r="W50" s="312"/>
      <c r="X50" s="312"/>
      <c r="Y50" s="312"/>
      <c r="Z50" s="312"/>
      <c r="AA50" s="360"/>
      <c r="AB50" s="444"/>
      <c r="AC50" s="444"/>
      <c r="AD50" s="444"/>
      <c r="AE50" s="334"/>
    </row>
    <row r="51" spans="1:31" s="73" customFormat="1">
      <c r="A51" s="241"/>
      <c r="B51" s="242"/>
      <c r="C51" s="243"/>
      <c r="D51" s="244"/>
      <c r="E51" s="244"/>
      <c r="F51" s="244"/>
      <c r="G51" s="244"/>
      <c r="H51" s="244"/>
      <c r="I51" s="243"/>
      <c r="J51" s="243"/>
      <c r="K51" s="244"/>
      <c r="L51" s="244"/>
      <c r="M51" s="244"/>
      <c r="N51" s="243"/>
      <c r="O51" s="314"/>
      <c r="P51" s="244"/>
      <c r="Q51" s="243"/>
      <c r="R51" s="243"/>
      <c r="S51" s="243"/>
      <c r="T51" s="312"/>
      <c r="U51" s="312"/>
      <c r="V51" s="312"/>
      <c r="W51" s="312"/>
      <c r="X51" s="312"/>
      <c r="Y51" s="312"/>
      <c r="Z51" s="312"/>
      <c r="AA51" s="360"/>
      <c r="AB51" s="444"/>
      <c r="AC51" s="444"/>
      <c r="AD51" s="444"/>
      <c r="AE51" s="334"/>
    </row>
    <row r="52" spans="1:31" s="73" customFormat="1">
      <c r="A52" s="246"/>
      <c r="B52" s="311"/>
      <c r="C52" s="253"/>
      <c r="D52" s="254"/>
      <c r="E52" s="254"/>
      <c r="F52" s="254"/>
      <c r="G52" s="254"/>
      <c r="H52" s="254"/>
      <c r="I52" s="253"/>
      <c r="J52" s="253"/>
      <c r="K52" s="254"/>
      <c r="L52" s="254"/>
      <c r="M52" s="254"/>
      <c r="N52" s="253"/>
      <c r="O52" s="356"/>
      <c r="P52" s="254"/>
      <c r="Q52" s="253"/>
      <c r="R52" s="253"/>
      <c r="S52" s="253"/>
      <c r="T52" s="313"/>
      <c r="U52" s="313"/>
      <c r="V52" s="313"/>
      <c r="W52" s="313"/>
      <c r="X52" s="313"/>
      <c r="Y52" s="313"/>
      <c r="Z52" s="313"/>
      <c r="AA52" s="359"/>
      <c r="AB52" s="445"/>
      <c r="AC52" s="445"/>
      <c r="AD52" s="445"/>
      <c r="AE52" s="334"/>
    </row>
    <row r="53" spans="1:31" s="73" customFormat="1">
      <c r="A53" s="342"/>
      <c r="B53" s="340"/>
      <c r="C53" s="337"/>
      <c r="D53" s="341"/>
      <c r="E53" s="341"/>
      <c r="F53" s="341"/>
      <c r="G53" s="341"/>
      <c r="H53" s="341"/>
      <c r="I53" s="337"/>
      <c r="J53" s="337"/>
      <c r="K53" s="341"/>
      <c r="L53" s="341"/>
      <c r="M53" s="341"/>
      <c r="N53" s="337"/>
      <c r="O53" s="337"/>
      <c r="P53" s="341"/>
      <c r="Q53" s="337"/>
      <c r="R53" s="337"/>
      <c r="S53" s="337"/>
      <c r="T53" s="349"/>
      <c r="U53" s="349"/>
      <c r="V53" s="349"/>
      <c r="W53" s="349"/>
      <c r="X53" s="349"/>
      <c r="Y53" s="349"/>
      <c r="Z53" s="349"/>
      <c r="AA53" s="357"/>
      <c r="AB53" s="444"/>
      <c r="AC53" s="444"/>
      <c r="AD53" s="444"/>
      <c r="AE53" s="334"/>
    </row>
    <row r="54" spans="1:31" s="73" customFormat="1">
      <c r="A54" s="241"/>
      <c r="B54" s="242"/>
      <c r="C54" s="243"/>
      <c r="D54" s="244"/>
      <c r="E54" s="244"/>
      <c r="F54" s="244"/>
      <c r="G54" s="244"/>
      <c r="H54" s="244"/>
      <c r="I54" s="243"/>
      <c r="J54" s="243"/>
      <c r="K54" s="244"/>
      <c r="L54" s="244"/>
      <c r="M54" s="244"/>
      <c r="N54" s="243"/>
      <c r="O54" s="243"/>
      <c r="P54" s="244"/>
      <c r="Q54" s="243"/>
      <c r="R54" s="243"/>
      <c r="S54" s="243"/>
      <c r="T54" s="312"/>
      <c r="U54" s="312"/>
      <c r="V54" s="312"/>
      <c r="W54" s="312"/>
      <c r="X54" s="312"/>
      <c r="Y54" s="312"/>
      <c r="Z54" s="312"/>
      <c r="AA54" s="358"/>
      <c r="AB54" s="444"/>
      <c r="AC54" s="444"/>
      <c r="AD54" s="444"/>
      <c r="AE54" s="334"/>
    </row>
    <row r="55" spans="1:31" s="73" customFormat="1">
      <c r="A55" s="241"/>
      <c r="B55" s="245"/>
      <c r="C55" s="253"/>
      <c r="D55" s="254"/>
      <c r="E55" s="254"/>
      <c r="F55" s="254"/>
      <c r="G55" s="254"/>
      <c r="H55" s="254"/>
      <c r="I55" s="253"/>
      <c r="J55" s="253"/>
      <c r="K55" s="510"/>
      <c r="L55" s="254"/>
      <c r="M55" s="254"/>
      <c r="N55" s="253"/>
      <c r="O55" s="356"/>
      <c r="P55" s="254"/>
      <c r="Q55" s="253"/>
      <c r="R55" s="253"/>
      <c r="S55" s="253"/>
      <c r="T55" s="313"/>
      <c r="U55" s="313"/>
      <c r="V55" s="313"/>
      <c r="W55" s="313"/>
      <c r="X55" s="313"/>
      <c r="Y55" s="313"/>
      <c r="Z55" s="313"/>
      <c r="AA55" s="359"/>
      <c r="AB55" s="445"/>
      <c r="AC55" s="445"/>
      <c r="AD55" s="445"/>
      <c r="AE55" s="334"/>
    </row>
    <row r="56" spans="1:31" s="73" customFormat="1">
      <c r="A56" s="241"/>
      <c r="B56" s="242"/>
      <c r="C56" s="243"/>
      <c r="D56" s="244"/>
      <c r="E56" s="244"/>
      <c r="F56" s="244"/>
      <c r="G56" s="244"/>
      <c r="H56" s="244"/>
      <c r="I56" s="243"/>
      <c r="J56" s="243"/>
      <c r="K56" s="244"/>
      <c r="L56" s="244"/>
      <c r="M56" s="244"/>
      <c r="N56" s="243"/>
      <c r="O56" s="314"/>
      <c r="P56" s="244"/>
      <c r="Q56" s="243"/>
      <c r="R56" s="243"/>
      <c r="S56" s="243"/>
      <c r="T56" s="312"/>
      <c r="U56" s="312"/>
      <c r="V56" s="312"/>
      <c r="W56" s="312"/>
      <c r="X56" s="312"/>
      <c r="Y56" s="312"/>
      <c r="Z56" s="312"/>
      <c r="AA56" s="360"/>
      <c r="AB56" s="444"/>
      <c r="AC56" s="444"/>
      <c r="AD56" s="444"/>
      <c r="AE56" s="334"/>
    </row>
    <row r="57" spans="1:31" s="73" customFormat="1">
      <c r="A57" s="241"/>
      <c r="B57" s="242"/>
      <c r="C57" s="243"/>
      <c r="D57" s="244"/>
      <c r="E57" s="244"/>
      <c r="F57" s="244"/>
      <c r="G57" s="244"/>
      <c r="H57" s="244"/>
      <c r="I57" s="243"/>
      <c r="J57" s="243"/>
      <c r="K57" s="244"/>
      <c r="L57" s="244"/>
      <c r="M57" s="244"/>
      <c r="N57" s="243"/>
      <c r="O57" s="314"/>
      <c r="P57" s="244"/>
      <c r="Q57" s="243"/>
      <c r="R57" s="243"/>
      <c r="S57" s="243"/>
      <c r="T57" s="312"/>
      <c r="U57" s="312"/>
      <c r="V57" s="312"/>
      <c r="W57" s="312"/>
      <c r="X57" s="312"/>
      <c r="Y57" s="312"/>
      <c r="Z57" s="312"/>
      <c r="AA57" s="360"/>
      <c r="AB57" s="444"/>
      <c r="AC57" s="444"/>
      <c r="AD57" s="444"/>
      <c r="AE57" s="334"/>
    </row>
    <row r="58" spans="1:31" s="73" customFormat="1">
      <c r="A58" s="241"/>
      <c r="B58" s="245"/>
      <c r="C58" s="253"/>
      <c r="D58" s="254"/>
      <c r="E58" s="254"/>
      <c r="F58" s="254"/>
      <c r="G58" s="254"/>
      <c r="H58" s="254"/>
      <c r="I58" s="253"/>
      <c r="J58" s="253"/>
      <c r="K58" s="254"/>
      <c r="L58" s="254"/>
      <c r="M58" s="254"/>
      <c r="N58" s="253"/>
      <c r="O58" s="356"/>
      <c r="P58" s="254"/>
      <c r="Q58" s="253"/>
      <c r="R58" s="253"/>
      <c r="S58" s="253"/>
      <c r="T58" s="313"/>
      <c r="U58" s="313"/>
      <c r="V58" s="313"/>
      <c r="W58" s="313"/>
      <c r="X58" s="313"/>
      <c r="Y58" s="313"/>
      <c r="Z58" s="313"/>
      <c r="AA58" s="359"/>
      <c r="AB58" s="445"/>
      <c r="AC58" s="445"/>
      <c r="AD58" s="445"/>
      <c r="AE58" s="334"/>
    </row>
    <row r="59" spans="1:31" s="73" customFormat="1">
      <c r="A59" s="241"/>
      <c r="B59" s="242"/>
      <c r="C59" s="243"/>
      <c r="D59" s="244"/>
      <c r="E59" s="244"/>
      <c r="F59" s="244"/>
      <c r="G59" s="244"/>
      <c r="H59" s="244"/>
      <c r="I59" s="243"/>
      <c r="J59" s="243"/>
      <c r="K59" s="244"/>
      <c r="L59" s="244"/>
      <c r="M59" s="244"/>
      <c r="N59" s="243"/>
      <c r="O59" s="314"/>
      <c r="P59" s="244"/>
      <c r="Q59" s="243"/>
      <c r="R59" s="243"/>
      <c r="S59" s="243"/>
      <c r="T59" s="312"/>
      <c r="U59" s="312"/>
      <c r="V59" s="312"/>
      <c r="W59" s="312"/>
      <c r="X59" s="312"/>
      <c r="Y59" s="312"/>
      <c r="Z59" s="312"/>
      <c r="AA59" s="360"/>
      <c r="AB59" s="444"/>
      <c r="AC59" s="444"/>
      <c r="AD59" s="444"/>
      <c r="AE59" s="334"/>
    </row>
    <row r="60" spans="1:31" s="73" customFormat="1">
      <c r="A60" s="241"/>
      <c r="B60" s="242"/>
      <c r="C60" s="243"/>
      <c r="D60" s="244"/>
      <c r="E60" s="244"/>
      <c r="F60" s="244"/>
      <c r="G60" s="244"/>
      <c r="H60" s="244"/>
      <c r="I60" s="243"/>
      <c r="J60" s="243"/>
      <c r="K60" s="244"/>
      <c r="L60" s="244"/>
      <c r="M60" s="244"/>
      <c r="N60" s="243"/>
      <c r="O60" s="314"/>
      <c r="P60" s="244"/>
      <c r="Q60" s="243"/>
      <c r="R60" s="243"/>
      <c r="S60" s="243"/>
      <c r="T60" s="312"/>
      <c r="U60" s="312"/>
      <c r="V60" s="312"/>
      <c r="W60" s="312"/>
      <c r="X60" s="312"/>
      <c r="Y60" s="312"/>
      <c r="Z60" s="312"/>
      <c r="AA60" s="360"/>
      <c r="AB60" s="444"/>
      <c r="AC60" s="444"/>
      <c r="AD60" s="444"/>
      <c r="AE60" s="334"/>
    </row>
    <row r="61" spans="1:31" s="73" customFormat="1">
      <c r="A61" s="241"/>
      <c r="B61" s="245"/>
      <c r="C61" s="253"/>
      <c r="D61" s="254"/>
      <c r="E61" s="254"/>
      <c r="F61" s="510"/>
      <c r="G61" s="254"/>
      <c r="H61" s="254"/>
      <c r="I61" s="253"/>
      <c r="J61" s="253"/>
      <c r="K61" s="254"/>
      <c r="L61" s="254"/>
      <c r="M61" s="254"/>
      <c r="N61" s="253"/>
      <c r="O61" s="356"/>
      <c r="P61" s="254"/>
      <c r="Q61" s="253"/>
      <c r="R61" s="253"/>
      <c r="S61" s="253"/>
      <c r="T61" s="313"/>
      <c r="U61" s="313"/>
      <c r="V61" s="313"/>
      <c r="W61" s="313"/>
      <c r="X61" s="313"/>
      <c r="Y61" s="313"/>
      <c r="Z61" s="313"/>
      <c r="AA61" s="359"/>
      <c r="AB61" s="445"/>
      <c r="AC61" s="445"/>
      <c r="AD61" s="445"/>
      <c r="AE61" s="334"/>
    </row>
    <row r="62" spans="1:31" s="73" customFormat="1">
      <c r="A62" s="241"/>
      <c r="B62" s="242"/>
      <c r="C62" s="243"/>
      <c r="D62" s="244"/>
      <c r="E62" s="244"/>
      <c r="F62" s="244"/>
      <c r="G62" s="244"/>
      <c r="H62" s="244"/>
      <c r="I62" s="243"/>
      <c r="J62" s="243"/>
      <c r="K62" s="244"/>
      <c r="L62" s="244"/>
      <c r="M62" s="244"/>
      <c r="N62" s="243"/>
      <c r="O62" s="314"/>
      <c r="P62" s="244"/>
      <c r="Q62" s="243"/>
      <c r="R62" s="243"/>
      <c r="S62" s="243"/>
      <c r="T62" s="312"/>
      <c r="U62" s="312"/>
      <c r="V62" s="312"/>
      <c r="W62" s="312"/>
      <c r="X62" s="312"/>
      <c r="Y62" s="312"/>
      <c r="Z62" s="312"/>
      <c r="AA62" s="360"/>
      <c r="AB62" s="444"/>
      <c r="AC62" s="444"/>
      <c r="AD62" s="444"/>
      <c r="AE62" s="334"/>
    </row>
    <row r="63" spans="1:31" s="73" customFormat="1">
      <c r="A63" s="241"/>
      <c r="B63" s="242"/>
      <c r="C63" s="243"/>
      <c r="D63" s="244"/>
      <c r="E63" s="244"/>
      <c r="F63" s="244"/>
      <c r="G63" s="244"/>
      <c r="H63" s="244"/>
      <c r="I63" s="243"/>
      <c r="J63" s="243"/>
      <c r="K63" s="244"/>
      <c r="L63" s="244"/>
      <c r="M63" s="244"/>
      <c r="N63" s="243"/>
      <c r="O63" s="314"/>
      <c r="P63" s="244"/>
      <c r="Q63" s="243"/>
      <c r="R63" s="243"/>
      <c r="S63" s="243"/>
      <c r="T63" s="312"/>
      <c r="U63" s="312"/>
      <c r="V63" s="312"/>
      <c r="W63" s="312"/>
      <c r="X63" s="312"/>
      <c r="Y63" s="312"/>
      <c r="Z63" s="312"/>
      <c r="AA63" s="360"/>
      <c r="AB63" s="444"/>
      <c r="AC63" s="444"/>
      <c r="AD63" s="444"/>
      <c r="AE63" s="334"/>
    </row>
    <row r="64" spans="1:31" s="73" customFormat="1">
      <c r="A64" s="246"/>
      <c r="B64" s="311"/>
      <c r="C64" s="253"/>
      <c r="D64" s="254"/>
      <c r="E64" s="254"/>
      <c r="F64" s="254"/>
      <c r="G64" s="254"/>
      <c r="H64" s="254"/>
      <c r="I64" s="253"/>
      <c r="J64" s="253"/>
      <c r="K64" s="254"/>
      <c r="L64" s="254"/>
      <c r="M64" s="254"/>
      <c r="N64" s="253"/>
      <c r="O64" s="356"/>
      <c r="P64" s="254"/>
      <c r="Q64" s="253"/>
      <c r="R64" s="253"/>
      <c r="S64" s="253"/>
      <c r="T64" s="313"/>
      <c r="U64" s="313"/>
      <c r="V64" s="313"/>
      <c r="W64" s="313"/>
      <c r="X64" s="313"/>
      <c r="Y64" s="313"/>
      <c r="Z64" s="313"/>
      <c r="AA64" s="359"/>
      <c r="AB64" s="445"/>
      <c r="AC64" s="445"/>
      <c r="AD64" s="445"/>
      <c r="AE64" s="334"/>
    </row>
    <row r="65" spans="1:31" s="73" customFormat="1">
      <c r="A65" s="342"/>
      <c r="B65" s="340"/>
      <c r="C65" s="337"/>
      <c r="D65" s="341"/>
      <c r="E65" s="341"/>
      <c r="F65" s="341"/>
      <c r="G65" s="341"/>
      <c r="H65" s="341"/>
      <c r="I65" s="337"/>
      <c r="J65" s="337"/>
      <c r="K65" s="341"/>
      <c r="L65" s="341"/>
      <c r="M65" s="341"/>
      <c r="N65" s="337"/>
      <c r="O65" s="337"/>
      <c r="P65" s="341"/>
      <c r="Q65" s="337"/>
      <c r="R65" s="337"/>
      <c r="S65" s="337"/>
      <c r="T65" s="349"/>
      <c r="U65" s="349"/>
      <c r="V65" s="349"/>
      <c r="W65" s="349"/>
      <c r="X65" s="349"/>
      <c r="Y65" s="349"/>
      <c r="Z65" s="349"/>
      <c r="AA65" s="357"/>
      <c r="AB65" s="444"/>
      <c r="AC65" s="444"/>
      <c r="AD65" s="444"/>
      <c r="AE65" s="334"/>
    </row>
    <row r="66" spans="1:31" s="73" customFormat="1">
      <c r="A66" s="241"/>
      <c r="B66" s="242"/>
      <c r="C66" s="243"/>
      <c r="D66" s="244"/>
      <c r="E66" s="244"/>
      <c r="F66" s="244"/>
      <c r="G66" s="244"/>
      <c r="H66" s="244"/>
      <c r="I66" s="243"/>
      <c r="J66" s="243"/>
      <c r="K66" s="244"/>
      <c r="L66" s="244"/>
      <c r="M66" s="244"/>
      <c r="N66" s="243"/>
      <c r="O66" s="243"/>
      <c r="P66" s="244"/>
      <c r="Q66" s="243"/>
      <c r="R66" s="243"/>
      <c r="S66" s="243"/>
      <c r="T66" s="312"/>
      <c r="U66" s="312"/>
      <c r="V66" s="312"/>
      <c r="W66" s="312"/>
      <c r="X66" s="312"/>
      <c r="Y66" s="312"/>
      <c r="Z66" s="312"/>
      <c r="AA66" s="358"/>
      <c r="AB66" s="444"/>
      <c r="AC66" s="444"/>
      <c r="AD66" s="444"/>
      <c r="AE66" s="334"/>
    </row>
    <row r="67" spans="1:31" s="73" customFormat="1">
      <c r="A67" s="241"/>
      <c r="B67" s="245"/>
      <c r="C67" s="253"/>
      <c r="D67" s="254"/>
      <c r="E67" s="254"/>
      <c r="F67" s="254"/>
      <c r="G67" s="254"/>
      <c r="H67" s="254"/>
      <c r="I67" s="253"/>
      <c r="J67" s="253"/>
      <c r="K67" s="510"/>
      <c r="L67" s="254"/>
      <c r="M67" s="254"/>
      <c r="N67" s="253"/>
      <c r="O67" s="356"/>
      <c r="P67" s="254"/>
      <c r="Q67" s="253"/>
      <c r="R67" s="253"/>
      <c r="S67" s="253"/>
      <c r="T67" s="313"/>
      <c r="U67" s="313"/>
      <c r="V67" s="313"/>
      <c r="W67" s="313"/>
      <c r="X67" s="313"/>
      <c r="Y67" s="313"/>
      <c r="Z67" s="313"/>
      <c r="AA67" s="359"/>
      <c r="AB67" s="445"/>
      <c r="AC67" s="445"/>
      <c r="AD67" s="445"/>
      <c r="AE67" s="334"/>
    </row>
    <row r="68" spans="1:31" s="73" customFormat="1">
      <c r="A68" s="241"/>
      <c r="B68" s="242"/>
      <c r="C68" s="243"/>
      <c r="D68" s="244"/>
      <c r="E68" s="244"/>
      <c r="F68" s="244"/>
      <c r="G68" s="244"/>
      <c r="H68" s="244"/>
      <c r="I68" s="243"/>
      <c r="J68" s="243"/>
      <c r="K68" s="244"/>
      <c r="L68" s="244"/>
      <c r="M68" s="244"/>
      <c r="N68" s="243"/>
      <c r="O68" s="314"/>
      <c r="P68" s="244"/>
      <c r="Q68" s="243"/>
      <c r="R68" s="243"/>
      <c r="S68" s="243"/>
      <c r="T68" s="312"/>
      <c r="U68" s="312"/>
      <c r="V68" s="312"/>
      <c r="W68" s="312"/>
      <c r="X68" s="312"/>
      <c r="Y68" s="312"/>
      <c r="Z68" s="312"/>
      <c r="AA68" s="360"/>
      <c r="AB68" s="444"/>
      <c r="AC68" s="444"/>
      <c r="AD68" s="444"/>
      <c r="AE68" s="334"/>
    </row>
    <row r="69" spans="1:31" s="73" customFormat="1">
      <c r="A69" s="241"/>
      <c r="B69" s="242"/>
      <c r="C69" s="243"/>
      <c r="D69" s="244"/>
      <c r="E69" s="244"/>
      <c r="F69" s="244"/>
      <c r="G69" s="244"/>
      <c r="H69" s="244"/>
      <c r="I69" s="243"/>
      <c r="J69" s="243"/>
      <c r="K69" s="244"/>
      <c r="L69" s="244"/>
      <c r="M69" s="244"/>
      <c r="N69" s="243"/>
      <c r="O69" s="314"/>
      <c r="P69" s="244"/>
      <c r="Q69" s="243"/>
      <c r="R69" s="243"/>
      <c r="S69" s="243"/>
      <c r="T69" s="312"/>
      <c r="U69" s="312"/>
      <c r="V69" s="312"/>
      <c r="W69" s="312"/>
      <c r="X69" s="312"/>
      <c r="Y69" s="312"/>
      <c r="Z69" s="312"/>
      <c r="AA69" s="360"/>
      <c r="AB69" s="444"/>
      <c r="AC69" s="444"/>
      <c r="AD69" s="444"/>
      <c r="AE69" s="334"/>
    </row>
    <row r="70" spans="1:31" s="73" customFormat="1">
      <c r="A70" s="241"/>
      <c r="B70" s="245"/>
      <c r="C70" s="253"/>
      <c r="D70" s="254"/>
      <c r="E70" s="254"/>
      <c r="F70" s="254"/>
      <c r="G70" s="254"/>
      <c r="H70" s="254"/>
      <c r="I70" s="253"/>
      <c r="J70" s="253"/>
      <c r="K70" s="254"/>
      <c r="L70" s="254"/>
      <c r="M70" s="254"/>
      <c r="N70" s="253"/>
      <c r="O70" s="356"/>
      <c r="P70" s="254"/>
      <c r="Q70" s="253"/>
      <c r="R70" s="253"/>
      <c r="S70" s="253"/>
      <c r="T70" s="313"/>
      <c r="U70" s="313"/>
      <c r="V70" s="313"/>
      <c r="W70" s="313"/>
      <c r="X70" s="313"/>
      <c r="Y70" s="313"/>
      <c r="Z70" s="313"/>
      <c r="AA70" s="359"/>
      <c r="AB70" s="445"/>
      <c r="AC70" s="445"/>
      <c r="AD70" s="445"/>
      <c r="AE70" s="334"/>
    </row>
    <row r="71" spans="1:31" s="73" customFormat="1">
      <c r="A71" s="241"/>
      <c r="B71" s="242"/>
      <c r="C71" s="243"/>
      <c r="D71" s="244"/>
      <c r="E71" s="244"/>
      <c r="F71" s="244"/>
      <c r="G71" s="244"/>
      <c r="H71" s="244"/>
      <c r="I71" s="243"/>
      <c r="J71" s="243"/>
      <c r="K71" s="244"/>
      <c r="L71" s="244"/>
      <c r="M71" s="244"/>
      <c r="N71" s="243"/>
      <c r="O71" s="314"/>
      <c r="P71" s="244"/>
      <c r="Q71" s="243"/>
      <c r="R71" s="243"/>
      <c r="S71" s="243"/>
      <c r="T71" s="312"/>
      <c r="U71" s="312"/>
      <c r="V71" s="312"/>
      <c r="W71" s="312"/>
      <c r="X71" s="312"/>
      <c r="Y71" s="312"/>
      <c r="Z71" s="312"/>
      <c r="AA71" s="360"/>
      <c r="AB71" s="444"/>
      <c r="AC71" s="444"/>
      <c r="AD71" s="444"/>
      <c r="AE71" s="334"/>
    </row>
    <row r="72" spans="1:31" s="73" customFormat="1">
      <c r="A72" s="241"/>
      <c r="B72" s="242"/>
      <c r="C72" s="243"/>
      <c r="D72" s="244"/>
      <c r="E72" s="244"/>
      <c r="F72" s="244"/>
      <c r="G72" s="244"/>
      <c r="H72" s="244"/>
      <c r="I72" s="243"/>
      <c r="J72" s="243"/>
      <c r="K72" s="244"/>
      <c r="L72" s="244"/>
      <c r="M72" s="244"/>
      <c r="N72" s="243"/>
      <c r="O72" s="314"/>
      <c r="P72" s="244"/>
      <c r="Q72" s="243"/>
      <c r="R72" s="243"/>
      <c r="S72" s="243"/>
      <c r="T72" s="312"/>
      <c r="U72" s="312"/>
      <c r="V72" s="312"/>
      <c r="W72" s="312"/>
      <c r="X72" s="312"/>
      <c r="Y72" s="312"/>
      <c r="Z72" s="312"/>
      <c r="AA72" s="360"/>
      <c r="AB72" s="444"/>
      <c r="AC72" s="444"/>
      <c r="AD72" s="444"/>
      <c r="AE72" s="334"/>
    </row>
    <row r="73" spans="1:31" s="73" customFormat="1">
      <c r="A73" s="241"/>
      <c r="B73" s="245"/>
      <c r="C73" s="253"/>
      <c r="D73" s="254"/>
      <c r="E73" s="254"/>
      <c r="F73" s="254"/>
      <c r="G73" s="254"/>
      <c r="H73" s="254"/>
      <c r="I73" s="253"/>
      <c r="J73" s="253"/>
      <c r="K73" s="254"/>
      <c r="L73" s="254"/>
      <c r="M73" s="254"/>
      <c r="N73" s="253"/>
      <c r="O73" s="356"/>
      <c r="P73" s="254"/>
      <c r="Q73" s="253"/>
      <c r="R73" s="253"/>
      <c r="S73" s="253"/>
      <c r="T73" s="313"/>
      <c r="U73" s="313"/>
      <c r="V73" s="313"/>
      <c r="W73" s="313"/>
      <c r="X73" s="313"/>
      <c r="Y73" s="313"/>
      <c r="Z73" s="313"/>
      <c r="AA73" s="359"/>
      <c r="AB73" s="445"/>
      <c r="AC73" s="445"/>
      <c r="AD73" s="445"/>
      <c r="AE73" s="334"/>
    </row>
    <row r="74" spans="1:31" s="73" customFormat="1">
      <c r="A74" s="241"/>
      <c r="B74" s="242"/>
      <c r="C74" s="243"/>
      <c r="D74" s="244"/>
      <c r="E74" s="244"/>
      <c r="F74" s="244"/>
      <c r="G74" s="244"/>
      <c r="H74" s="244"/>
      <c r="I74" s="243"/>
      <c r="J74" s="243"/>
      <c r="K74" s="244"/>
      <c r="L74" s="244"/>
      <c r="M74" s="244"/>
      <c r="N74" s="243"/>
      <c r="O74" s="314"/>
      <c r="P74" s="244"/>
      <c r="Q74" s="243"/>
      <c r="R74" s="243"/>
      <c r="S74" s="243"/>
      <c r="T74" s="312"/>
      <c r="U74" s="312"/>
      <c r="V74" s="312"/>
      <c r="W74" s="312"/>
      <c r="X74" s="312"/>
      <c r="Y74" s="312"/>
      <c r="Z74" s="312"/>
      <c r="AA74" s="360"/>
      <c r="AB74" s="444"/>
      <c r="AC74" s="444"/>
      <c r="AD74" s="444"/>
      <c r="AE74" s="334"/>
    </row>
    <row r="75" spans="1:31" s="73" customFormat="1">
      <c r="A75" s="241"/>
      <c r="B75" s="242"/>
      <c r="C75" s="243"/>
      <c r="D75" s="244"/>
      <c r="E75" s="244"/>
      <c r="F75" s="244"/>
      <c r="G75" s="244"/>
      <c r="H75" s="244"/>
      <c r="I75" s="243"/>
      <c r="J75" s="243"/>
      <c r="K75" s="244"/>
      <c r="L75" s="244"/>
      <c r="M75" s="244"/>
      <c r="N75" s="243"/>
      <c r="O75" s="314"/>
      <c r="P75" s="244"/>
      <c r="Q75" s="243"/>
      <c r="R75" s="243"/>
      <c r="S75" s="243"/>
      <c r="T75" s="312"/>
      <c r="U75" s="312"/>
      <c r="V75" s="312"/>
      <c r="W75" s="312"/>
      <c r="X75" s="312"/>
      <c r="Y75" s="312"/>
      <c r="Z75" s="312"/>
      <c r="AA75" s="360"/>
      <c r="AB75" s="444"/>
      <c r="AC75" s="444"/>
      <c r="AD75" s="444"/>
      <c r="AE75" s="334"/>
    </row>
    <row r="76" spans="1:31" s="73" customFormat="1">
      <c r="A76" s="246"/>
      <c r="B76" s="311"/>
      <c r="C76" s="253"/>
      <c r="D76" s="254"/>
      <c r="E76" s="254"/>
      <c r="F76" s="254"/>
      <c r="G76" s="254"/>
      <c r="H76" s="254"/>
      <c r="I76" s="253"/>
      <c r="J76" s="253"/>
      <c r="K76" s="254"/>
      <c r="L76" s="254"/>
      <c r="M76" s="254"/>
      <c r="N76" s="253"/>
      <c r="O76" s="356"/>
      <c r="P76" s="254"/>
      <c r="Q76" s="253"/>
      <c r="R76" s="253"/>
      <c r="S76" s="253"/>
      <c r="T76" s="313"/>
      <c r="U76" s="313"/>
      <c r="V76" s="313"/>
      <c r="W76" s="313"/>
      <c r="X76" s="313"/>
      <c r="Y76" s="313"/>
      <c r="Z76" s="313"/>
      <c r="AA76" s="359"/>
      <c r="AB76" s="445"/>
      <c r="AC76" s="445"/>
      <c r="AD76" s="445"/>
      <c r="AE76" s="334"/>
    </row>
    <row r="77" spans="1:31" s="73" customFormat="1">
      <c r="A77" s="342"/>
      <c r="B77" s="340"/>
      <c r="C77" s="337"/>
      <c r="D77" s="341"/>
      <c r="E77" s="341"/>
      <c r="F77" s="341"/>
      <c r="G77" s="341"/>
      <c r="H77" s="341"/>
      <c r="I77" s="337"/>
      <c r="J77" s="337"/>
      <c r="K77" s="341"/>
      <c r="L77" s="341"/>
      <c r="M77" s="341"/>
      <c r="N77" s="337"/>
      <c r="O77" s="337"/>
      <c r="P77" s="341"/>
      <c r="Q77" s="337"/>
      <c r="R77" s="337"/>
      <c r="S77" s="337"/>
      <c r="T77" s="349"/>
      <c r="U77" s="349"/>
      <c r="V77" s="349"/>
      <c r="W77" s="349"/>
      <c r="X77" s="349"/>
      <c r="Y77" s="349"/>
      <c r="Z77" s="349"/>
      <c r="AA77" s="357"/>
      <c r="AB77" s="444"/>
      <c r="AC77" s="444"/>
      <c r="AD77" s="444"/>
      <c r="AE77" s="334"/>
    </row>
    <row r="78" spans="1:31" s="73" customFormat="1">
      <c r="A78" s="241"/>
      <c r="B78" s="242"/>
      <c r="C78" s="243"/>
      <c r="D78" s="244"/>
      <c r="E78" s="244"/>
      <c r="F78" s="244"/>
      <c r="G78" s="244"/>
      <c r="H78" s="244"/>
      <c r="I78" s="243"/>
      <c r="J78" s="243"/>
      <c r="K78" s="244"/>
      <c r="L78" s="244"/>
      <c r="M78" s="244"/>
      <c r="N78" s="243"/>
      <c r="O78" s="243"/>
      <c r="P78" s="244"/>
      <c r="Q78" s="243"/>
      <c r="R78" s="243"/>
      <c r="S78" s="243"/>
      <c r="T78" s="312"/>
      <c r="U78" s="312"/>
      <c r="V78" s="312"/>
      <c r="W78" s="312"/>
      <c r="X78" s="312"/>
      <c r="Y78" s="312"/>
      <c r="Z78" s="312"/>
      <c r="AA78" s="358"/>
      <c r="AB78" s="444"/>
      <c r="AC78" s="444"/>
      <c r="AD78" s="444"/>
      <c r="AE78" s="334"/>
    </row>
    <row r="79" spans="1:31" s="73" customFormat="1">
      <c r="A79" s="241"/>
      <c r="B79" s="245"/>
      <c r="C79" s="253"/>
      <c r="D79" s="254"/>
      <c r="E79" s="254"/>
      <c r="F79" s="254"/>
      <c r="G79" s="254"/>
      <c r="H79" s="254"/>
      <c r="I79" s="253"/>
      <c r="J79" s="253"/>
      <c r="K79" s="254"/>
      <c r="L79" s="510"/>
      <c r="M79" s="254"/>
      <c r="N79" s="253"/>
      <c r="O79" s="356"/>
      <c r="P79" s="254"/>
      <c r="Q79" s="509"/>
      <c r="R79" s="253"/>
      <c r="S79" s="253"/>
      <c r="T79" s="313"/>
      <c r="U79" s="313"/>
      <c r="V79" s="313"/>
      <c r="W79" s="313"/>
      <c r="X79" s="313"/>
      <c r="Y79" s="313"/>
      <c r="Z79" s="313"/>
      <c r="AA79" s="359"/>
      <c r="AB79" s="445"/>
      <c r="AC79" s="445"/>
      <c r="AD79" s="445"/>
      <c r="AE79" s="334"/>
    </row>
    <row r="80" spans="1:31" s="73" customFormat="1">
      <c r="A80" s="241"/>
      <c r="B80" s="242"/>
      <c r="C80" s="243"/>
      <c r="D80" s="244"/>
      <c r="E80" s="244"/>
      <c r="F80" s="244"/>
      <c r="G80" s="244"/>
      <c r="H80" s="244"/>
      <c r="I80" s="243"/>
      <c r="J80" s="243"/>
      <c r="K80" s="244"/>
      <c r="L80" s="822"/>
      <c r="M80" s="244"/>
      <c r="N80" s="823"/>
      <c r="O80" s="314"/>
      <c r="P80" s="244"/>
      <c r="Q80" s="243"/>
      <c r="R80" s="243"/>
      <c r="S80" s="243"/>
      <c r="T80" s="312"/>
      <c r="U80" s="312"/>
      <c r="V80" s="312"/>
      <c r="W80" s="312"/>
      <c r="X80" s="312"/>
      <c r="Y80" s="312"/>
      <c r="Z80" s="312"/>
      <c r="AA80" s="360"/>
      <c r="AB80" s="444"/>
      <c r="AC80" s="444"/>
      <c r="AD80" s="444"/>
      <c r="AE80" s="334"/>
    </row>
    <row r="81" spans="1:31" s="73" customFormat="1">
      <c r="A81" s="241"/>
      <c r="B81" s="242"/>
      <c r="C81" s="243"/>
      <c r="D81" s="244"/>
      <c r="E81" s="244"/>
      <c r="F81" s="244"/>
      <c r="G81" s="244"/>
      <c r="H81" s="244"/>
      <c r="I81" s="243"/>
      <c r="J81" s="243"/>
      <c r="K81" s="244"/>
      <c r="L81" s="244"/>
      <c r="M81" s="244"/>
      <c r="N81" s="243"/>
      <c r="O81" s="314"/>
      <c r="P81" s="244"/>
      <c r="Q81" s="243"/>
      <c r="R81" s="243"/>
      <c r="S81" s="243"/>
      <c r="T81" s="312"/>
      <c r="U81" s="312"/>
      <c r="V81" s="312"/>
      <c r="W81" s="312"/>
      <c r="X81" s="312"/>
      <c r="Y81" s="312"/>
      <c r="Z81" s="312"/>
      <c r="AA81" s="360"/>
      <c r="AB81" s="444"/>
      <c r="AC81" s="444"/>
      <c r="AD81" s="444"/>
      <c r="AE81" s="334"/>
    </row>
    <row r="82" spans="1:31" s="73" customFormat="1">
      <c r="A82" s="241"/>
      <c r="B82" s="245"/>
      <c r="C82" s="253"/>
      <c r="D82" s="254"/>
      <c r="E82" s="254"/>
      <c r="F82" s="254"/>
      <c r="G82" s="254"/>
      <c r="H82" s="254"/>
      <c r="I82" s="253"/>
      <c r="J82" s="253"/>
      <c r="K82" s="254"/>
      <c r="L82" s="254"/>
      <c r="M82" s="254"/>
      <c r="N82" s="253"/>
      <c r="O82" s="356"/>
      <c r="P82" s="254"/>
      <c r="Q82" s="509"/>
      <c r="R82" s="253"/>
      <c r="S82" s="253"/>
      <c r="T82" s="313"/>
      <c r="U82" s="313"/>
      <c r="V82" s="313"/>
      <c r="W82" s="313"/>
      <c r="X82" s="313"/>
      <c r="Y82" s="313"/>
      <c r="Z82" s="313"/>
      <c r="AA82" s="359"/>
      <c r="AB82" s="445"/>
      <c r="AC82" s="445"/>
      <c r="AD82" s="445"/>
      <c r="AE82" s="334"/>
    </row>
    <row r="83" spans="1:31" s="73" customFormat="1">
      <c r="A83" s="241"/>
      <c r="B83" s="242"/>
      <c r="C83" s="243"/>
      <c r="D83" s="244"/>
      <c r="E83" s="244"/>
      <c r="F83" s="244"/>
      <c r="G83" s="244"/>
      <c r="H83" s="244"/>
      <c r="I83" s="243"/>
      <c r="J83" s="243"/>
      <c r="K83" s="244"/>
      <c r="L83" s="244"/>
      <c r="M83" s="244"/>
      <c r="N83" s="243"/>
      <c r="O83" s="314"/>
      <c r="P83" s="244"/>
      <c r="Q83" s="243"/>
      <c r="R83" s="243"/>
      <c r="S83" s="243"/>
      <c r="T83" s="312"/>
      <c r="U83" s="312"/>
      <c r="V83" s="312"/>
      <c r="W83" s="312"/>
      <c r="X83" s="312"/>
      <c r="Y83" s="312"/>
      <c r="Z83" s="312"/>
      <c r="AA83" s="360"/>
      <c r="AB83" s="444"/>
      <c r="AC83" s="444"/>
      <c r="AD83" s="444"/>
      <c r="AE83" s="334"/>
    </row>
    <row r="84" spans="1:31" s="73" customFormat="1">
      <c r="A84" s="241"/>
      <c r="B84" s="242"/>
      <c r="C84" s="243"/>
      <c r="D84" s="244"/>
      <c r="E84" s="244"/>
      <c r="F84" s="244"/>
      <c r="G84" s="244"/>
      <c r="H84" s="244"/>
      <c r="I84" s="243"/>
      <c r="J84" s="243"/>
      <c r="K84" s="244"/>
      <c r="L84" s="244"/>
      <c r="M84" s="244"/>
      <c r="N84" s="243"/>
      <c r="O84" s="314"/>
      <c r="P84" s="244"/>
      <c r="Q84" s="243"/>
      <c r="R84" s="243"/>
      <c r="S84" s="243"/>
      <c r="T84" s="312"/>
      <c r="U84" s="312"/>
      <c r="V84" s="312"/>
      <c r="W84" s="312"/>
      <c r="X84" s="312"/>
      <c r="Y84" s="312"/>
      <c r="Z84" s="312"/>
      <c r="AA84" s="360"/>
      <c r="AB84" s="444"/>
      <c r="AC84" s="444"/>
      <c r="AD84" s="444"/>
      <c r="AE84" s="334"/>
    </row>
    <row r="85" spans="1:31" s="73" customFormat="1">
      <c r="A85" s="241"/>
      <c r="B85" s="245"/>
      <c r="C85" s="253"/>
      <c r="D85" s="254"/>
      <c r="E85" s="254"/>
      <c r="F85" s="254"/>
      <c r="G85" s="254"/>
      <c r="H85" s="254"/>
      <c r="I85" s="253"/>
      <c r="J85" s="253"/>
      <c r="K85" s="254"/>
      <c r="L85" s="254"/>
      <c r="M85" s="254"/>
      <c r="N85" s="253"/>
      <c r="O85" s="356"/>
      <c r="P85" s="254"/>
      <c r="Q85" s="253"/>
      <c r="R85" s="253"/>
      <c r="S85" s="253"/>
      <c r="T85" s="313"/>
      <c r="U85" s="313"/>
      <c r="V85" s="313"/>
      <c r="W85" s="313"/>
      <c r="X85" s="313"/>
      <c r="Y85" s="313"/>
      <c r="Z85" s="313"/>
      <c r="AA85" s="359"/>
      <c r="AB85" s="445"/>
      <c r="AC85" s="445"/>
      <c r="AD85" s="445"/>
      <c r="AE85" s="334"/>
    </row>
    <row r="86" spans="1:31" s="73" customFormat="1">
      <c r="A86" s="241"/>
      <c r="B86" s="242"/>
      <c r="C86" s="243"/>
      <c r="D86" s="244"/>
      <c r="E86" s="244"/>
      <c r="F86" s="244"/>
      <c r="G86" s="244"/>
      <c r="H86" s="244"/>
      <c r="I86" s="243"/>
      <c r="J86" s="243"/>
      <c r="K86" s="244"/>
      <c r="L86" s="244"/>
      <c r="M86" s="244"/>
      <c r="N86" s="243"/>
      <c r="O86" s="314"/>
      <c r="P86" s="244"/>
      <c r="Q86" s="243"/>
      <c r="R86" s="243"/>
      <c r="S86" s="243"/>
      <c r="T86" s="312"/>
      <c r="U86" s="312"/>
      <c r="V86" s="312"/>
      <c r="W86" s="312"/>
      <c r="X86" s="312"/>
      <c r="Y86" s="312"/>
      <c r="Z86" s="312"/>
      <c r="AA86" s="360"/>
      <c r="AB86" s="444"/>
      <c r="AC86" s="444"/>
      <c r="AD86" s="444"/>
      <c r="AE86" s="334"/>
    </row>
    <row r="87" spans="1:31" s="73" customFormat="1">
      <c r="A87" s="241"/>
      <c r="B87" s="242"/>
      <c r="C87" s="243"/>
      <c r="D87" s="244"/>
      <c r="E87" s="244"/>
      <c r="F87" s="244"/>
      <c r="G87" s="244"/>
      <c r="H87" s="244"/>
      <c r="I87" s="243"/>
      <c r="J87" s="243"/>
      <c r="K87" s="244"/>
      <c r="L87" s="244"/>
      <c r="M87" s="244"/>
      <c r="N87" s="243"/>
      <c r="O87" s="314"/>
      <c r="P87" s="244"/>
      <c r="Q87" s="243"/>
      <c r="R87" s="243"/>
      <c r="S87" s="243"/>
      <c r="T87" s="312"/>
      <c r="U87" s="312"/>
      <c r="V87" s="312"/>
      <c r="W87" s="312"/>
      <c r="X87" s="312"/>
      <c r="Y87" s="312"/>
      <c r="Z87" s="312"/>
      <c r="AA87" s="360"/>
      <c r="AB87" s="444"/>
      <c r="AC87" s="444"/>
      <c r="AD87" s="444"/>
      <c r="AE87" s="334"/>
    </row>
    <row r="88" spans="1:31" s="73" customFormat="1">
      <c r="A88" s="246"/>
      <c r="B88" s="311"/>
      <c r="C88" s="253"/>
      <c r="D88" s="254"/>
      <c r="E88" s="254"/>
      <c r="F88" s="254"/>
      <c r="G88" s="254"/>
      <c r="H88" s="254"/>
      <c r="I88" s="253"/>
      <c r="J88" s="253"/>
      <c r="K88" s="254"/>
      <c r="L88" s="254"/>
      <c r="M88" s="254"/>
      <c r="N88" s="253"/>
      <c r="O88" s="356"/>
      <c r="P88" s="254"/>
      <c r="Q88" s="253"/>
      <c r="R88" s="253"/>
      <c r="S88" s="253"/>
      <c r="T88" s="313"/>
      <c r="U88" s="313"/>
      <c r="V88" s="313"/>
      <c r="W88" s="313"/>
      <c r="X88" s="313"/>
      <c r="Y88" s="313"/>
      <c r="Z88" s="313"/>
      <c r="AA88" s="359"/>
      <c r="AB88" s="445"/>
      <c r="AC88" s="445"/>
      <c r="AD88" s="445"/>
      <c r="AE88" s="334"/>
    </row>
    <row r="89" spans="1:31" s="73" customFormat="1">
      <c r="A89" s="342"/>
      <c r="B89" s="340"/>
      <c r="C89" s="337"/>
      <c r="D89" s="341"/>
      <c r="E89" s="341"/>
      <c r="F89" s="341"/>
      <c r="G89" s="341"/>
      <c r="H89" s="341"/>
      <c r="I89" s="337"/>
      <c r="J89" s="337"/>
      <c r="K89" s="341"/>
      <c r="L89" s="341"/>
      <c r="M89" s="341"/>
      <c r="N89" s="337"/>
      <c r="O89" s="337"/>
      <c r="P89" s="341"/>
      <c r="Q89" s="337"/>
      <c r="R89" s="337"/>
      <c r="S89" s="337"/>
      <c r="T89" s="349"/>
      <c r="U89" s="349"/>
      <c r="V89" s="349"/>
      <c r="W89" s="349"/>
      <c r="X89" s="349"/>
      <c r="Y89" s="349"/>
      <c r="Z89" s="349"/>
      <c r="AA89" s="357"/>
      <c r="AB89" s="444"/>
      <c r="AC89" s="444"/>
      <c r="AD89" s="444"/>
      <c r="AE89" s="334"/>
    </row>
    <row r="90" spans="1:31" s="73" customFormat="1">
      <c r="A90" s="241"/>
      <c r="B90" s="242"/>
      <c r="C90" s="243"/>
      <c r="D90" s="244"/>
      <c r="E90" s="244"/>
      <c r="F90" s="244"/>
      <c r="G90" s="244"/>
      <c r="H90" s="244"/>
      <c r="I90" s="243"/>
      <c r="J90" s="243"/>
      <c r="K90" s="244"/>
      <c r="L90" s="244"/>
      <c r="M90" s="244"/>
      <c r="N90" s="243"/>
      <c r="O90" s="243"/>
      <c r="P90" s="244"/>
      <c r="Q90" s="243"/>
      <c r="R90" s="243"/>
      <c r="S90" s="243"/>
      <c r="T90" s="312"/>
      <c r="U90" s="312"/>
      <c r="V90" s="312"/>
      <c r="W90" s="312"/>
      <c r="X90" s="312"/>
      <c r="Y90" s="312"/>
      <c r="Z90" s="312"/>
      <c r="AA90" s="358"/>
      <c r="AB90" s="444"/>
      <c r="AC90" s="444"/>
      <c r="AD90" s="444"/>
      <c r="AE90" s="334"/>
    </row>
    <row r="91" spans="1:31" s="73" customFormat="1">
      <c r="A91" s="241"/>
      <c r="B91" s="245"/>
      <c r="C91" s="253"/>
      <c r="D91" s="254"/>
      <c r="E91" s="254"/>
      <c r="F91" s="254"/>
      <c r="G91" s="254"/>
      <c r="H91" s="510"/>
      <c r="I91" s="253"/>
      <c r="J91" s="253"/>
      <c r="K91" s="510"/>
      <c r="L91" s="254"/>
      <c r="M91" s="254"/>
      <c r="N91" s="253"/>
      <c r="O91" s="356"/>
      <c r="P91" s="254"/>
      <c r="Q91" s="253"/>
      <c r="R91" s="253"/>
      <c r="S91" s="253"/>
      <c r="T91" s="313"/>
      <c r="U91" s="313"/>
      <c r="V91" s="313"/>
      <c r="W91" s="313"/>
      <c r="X91" s="313"/>
      <c r="Y91" s="313"/>
      <c r="Z91" s="313"/>
      <c r="AA91" s="359"/>
      <c r="AB91" s="445"/>
      <c r="AC91" s="445"/>
      <c r="AD91" s="445"/>
      <c r="AE91" s="334"/>
    </row>
    <row r="92" spans="1:31" s="73" customFormat="1">
      <c r="A92" s="241"/>
      <c r="B92" s="242"/>
      <c r="C92" s="243"/>
      <c r="D92" s="244"/>
      <c r="E92" s="244"/>
      <c r="F92" s="244"/>
      <c r="G92" s="244"/>
      <c r="H92" s="244"/>
      <c r="I92" s="243"/>
      <c r="J92" s="243"/>
      <c r="K92" s="244"/>
      <c r="L92" s="244"/>
      <c r="M92" s="244"/>
      <c r="N92" s="243"/>
      <c r="O92" s="314"/>
      <c r="P92" s="244"/>
      <c r="Q92" s="243"/>
      <c r="R92" s="243"/>
      <c r="S92" s="243"/>
      <c r="T92" s="312"/>
      <c r="U92" s="312"/>
      <c r="V92" s="312"/>
      <c r="W92" s="312"/>
      <c r="X92" s="312"/>
      <c r="Y92" s="312"/>
      <c r="Z92" s="312"/>
      <c r="AA92" s="360"/>
      <c r="AB92" s="444"/>
      <c r="AC92" s="444"/>
      <c r="AD92" s="444"/>
      <c r="AE92" s="334"/>
    </row>
    <row r="93" spans="1:31" s="73" customFormat="1">
      <c r="A93" s="241"/>
      <c r="B93" s="242"/>
      <c r="C93" s="243"/>
      <c r="D93" s="244"/>
      <c r="E93" s="244"/>
      <c r="F93" s="244"/>
      <c r="G93" s="244"/>
      <c r="H93" s="244"/>
      <c r="I93" s="243"/>
      <c r="J93" s="243"/>
      <c r="K93" s="244"/>
      <c r="L93" s="244"/>
      <c r="M93" s="244"/>
      <c r="N93" s="243"/>
      <c r="O93" s="314"/>
      <c r="P93" s="244"/>
      <c r="Q93" s="243"/>
      <c r="R93" s="243"/>
      <c r="S93" s="243"/>
      <c r="T93" s="312"/>
      <c r="U93" s="312"/>
      <c r="V93" s="312"/>
      <c r="W93" s="312"/>
      <c r="X93" s="312"/>
      <c r="Y93" s="312"/>
      <c r="Z93" s="312"/>
      <c r="AA93" s="360"/>
      <c r="AB93" s="444"/>
      <c r="AC93" s="444"/>
      <c r="AD93" s="444"/>
      <c r="AE93" s="334"/>
    </row>
    <row r="94" spans="1:31" s="73" customFormat="1">
      <c r="A94" s="241"/>
      <c r="B94" s="245"/>
      <c r="C94" s="253"/>
      <c r="D94" s="254"/>
      <c r="E94" s="254"/>
      <c r="F94" s="254"/>
      <c r="G94" s="254"/>
      <c r="H94" s="254"/>
      <c r="I94" s="253"/>
      <c r="J94" s="253"/>
      <c r="K94" s="254"/>
      <c r="L94" s="254"/>
      <c r="M94" s="254"/>
      <c r="N94" s="253"/>
      <c r="O94" s="356"/>
      <c r="P94" s="254"/>
      <c r="Q94" s="253"/>
      <c r="R94" s="253"/>
      <c r="S94" s="253"/>
      <c r="T94" s="313"/>
      <c r="U94" s="313"/>
      <c r="V94" s="313"/>
      <c r="W94" s="313"/>
      <c r="X94" s="313"/>
      <c r="Y94" s="313"/>
      <c r="Z94" s="313"/>
      <c r="AA94" s="359"/>
      <c r="AB94" s="445"/>
      <c r="AC94" s="445"/>
      <c r="AD94" s="445"/>
      <c r="AE94" s="334"/>
    </row>
    <row r="95" spans="1:31" s="73" customFormat="1">
      <c r="A95" s="241"/>
      <c r="B95" s="242"/>
      <c r="C95" s="243"/>
      <c r="D95" s="244"/>
      <c r="E95" s="244"/>
      <c r="F95" s="244"/>
      <c r="G95" s="244"/>
      <c r="H95" s="244"/>
      <c r="I95" s="243"/>
      <c r="J95" s="243"/>
      <c r="K95" s="244"/>
      <c r="L95" s="244"/>
      <c r="M95" s="244"/>
      <c r="N95" s="243"/>
      <c r="O95" s="314"/>
      <c r="P95" s="244"/>
      <c r="Q95" s="243"/>
      <c r="R95" s="243"/>
      <c r="S95" s="243"/>
      <c r="T95" s="312"/>
      <c r="U95" s="312"/>
      <c r="V95" s="312"/>
      <c r="W95" s="312"/>
      <c r="X95" s="312"/>
      <c r="Y95" s="312"/>
      <c r="Z95" s="312"/>
      <c r="AA95" s="360"/>
      <c r="AB95" s="444"/>
      <c r="AC95" s="444"/>
      <c r="AD95" s="444"/>
      <c r="AE95" s="334"/>
    </row>
    <row r="96" spans="1:31" s="73" customFormat="1">
      <c r="A96" s="241"/>
      <c r="B96" s="242"/>
      <c r="C96" s="243"/>
      <c r="D96" s="244"/>
      <c r="E96" s="244"/>
      <c r="F96" s="244"/>
      <c r="G96" s="244"/>
      <c r="H96" s="244"/>
      <c r="I96" s="243"/>
      <c r="J96" s="243"/>
      <c r="K96" s="244"/>
      <c r="L96" s="244"/>
      <c r="M96" s="244"/>
      <c r="N96" s="243"/>
      <c r="O96" s="314"/>
      <c r="P96" s="244"/>
      <c r="Q96" s="243"/>
      <c r="R96" s="243"/>
      <c r="S96" s="243"/>
      <c r="T96" s="312"/>
      <c r="U96" s="312"/>
      <c r="V96" s="312"/>
      <c r="W96" s="312"/>
      <c r="X96" s="312"/>
      <c r="Y96" s="312"/>
      <c r="Z96" s="312"/>
      <c r="AA96" s="360"/>
      <c r="AB96" s="444"/>
      <c r="AC96" s="444"/>
      <c r="AD96" s="444"/>
      <c r="AE96" s="334"/>
    </row>
    <row r="97" spans="1:31" s="73" customFormat="1">
      <c r="A97" s="241"/>
      <c r="B97" s="245"/>
      <c r="C97" s="253"/>
      <c r="D97" s="254"/>
      <c r="E97" s="254"/>
      <c r="F97" s="254"/>
      <c r="G97" s="254"/>
      <c r="H97" s="510"/>
      <c r="I97" s="253"/>
      <c r="J97" s="253"/>
      <c r="K97" s="254"/>
      <c r="L97" s="254"/>
      <c r="M97" s="254"/>
      <c r="N97" s="253"/>
      <c r="O97" s="356"/>
      <c r="P97" s="254"/>
      <c r="Q97" s="253"/>
      <c r="R97" s="253"/>
      <c r="S97" s="253"/>
      <c r="T97" s="313"/>
      <c r="U97" s="313"/>
      <c r="V97" s="313"/>
      <c r="W97" s="313"/>
      <c r="X97" s="313"/>
      <c r="Y97" s="313"/>
      <c r="Z97" s="313"/>
      <c r="AA97" s="359"/>
      <c r="AB97" s="445"/>
      <c r="AC97" s="445"/>
      <c r="AD97" s="445"/>
      <c r="AE97" s="334"/>
    </row>
    <row r="98" spans="1:31" s="73" customFormat="1">
      <c r="A98" s="241"/>
      <c r="B98" s="242"/>
      <c r="C98" s="243"/>
      <c r="D98" s="244"/>
      <c r="E98" s="244"/>
      <c r="F98" s="244"/>
      <c r="G98" s="244"/>
      <c r="H98" s="244"/>
      <c r="I98" s="243"/>
      <c r="J98" s="243"/>
      <c r="K98" s="244"/>
      <c r="L98" s="244"/>
      <c r="M98" s="244"/>
      <c r="N98" s="243"/>
      <c r="O98" s="314"/>
      <c r="P98" s="244"/>
      <c r="Q98" s="243"/>
      <c r="R98" s="243"/>
      <c r="S98" s="243"/>
      <c r="T98" s="312"/>
      <c r="U98" s="312"/>
      <c r="V98" s="312"/>
      <c r="W98" s="312"/>
      <c r="X98" s="312"/>
      <c r="Y98" s="312"/>
      <c r="Z98" s="312"/>
      <c r="AA98" s="360"/>
      <c r="AB98" s="444"/>
      <c r="AC98" s="444"/>
      <c r="AD98" s="444"/>
      <c r="AE98" s="334"/>
    </row>
    <row r="99" spans="1:31" s="73" customFormat="1">
      <c r="A99" s="241"/>
      <c r="B99" s="242"/>
      <c r="C99" s="243"/>
      <c r="D99" s="244"/>
      <c r="E99" s="244"/>
      <c r="F99" s="244"/>
      <c r="G99" s="244"/>
      <c r="H99" s="244"/>
      <c r="I99" s="243"/>
      <c r="J99" s="243"/>
      <c r="K99" s="244"/>
      <c r="L99" s="244"/>
      <c r="M99" s="244"/>
      <c r="N99" s="243"/>
      <c r="O99" s="314"/>
      <c r="P99" s="244"/>
      <c r="Q99" s="243"/>
      <c r="R99" s="243"/>
      <c r="S99" s="243"/>
      <c r="T99" s="312"/>
      <c r="U99" s="312"/>
      <c r="V99" s="312"/>
      <c r="W99" s="312"/>
      <c r="X99" s="312"/>
      <c r="Y99" s="312"/>
      <c r="Z99" s="312"/>
      <c r="AA99" s="360"/>
      <c r="AB99" s="444"/>
      <c r="AC99" s="444"/>
      <c r="AD99" s="444"/>
      <c r="AE99" s="334"/>
    </row>
    <row r="100" spans="1:31" s="73" customFormat="1">
      <c r="A100" s="246"/>
      <c r="B100" s="311"/>
      <c r="C100" s="253"/>
      <c r="D100" s="254"/>
      <c r="E100" s="254"/>
      <c r="F100" s="254"/>
      <c r="G100" s="254"/>
      <c r="H100" s="254"/>
      <c r="I100" s="253"/>
      <c r="J100" s="253"/>
      <c r="K100" s="254"/>
      <c r="L100" s="254"/>
      <c r="M100" s="254"/>
      <c r="N100" s="253"/>
      <c r="O100" s="356"/>
      <c r="P100" s="254"/>
      <c r="Q100" s="253"/>
      <c r="R100" s="253"/>
      <c r="S100" s="253"/>
      <c r="T100" s="313"/>
      <c r="U100" s="313"/>
      <c r="V100" s="313"/>
      <c r="W100" s="313"/>
      <c r="X100" s="313"/>
      <c r="Y100" s="313"/>
      <c r="Z100" s="313"/>
      <c r="AA100" s="359"/>
      <c r="AB100" s="445"/>
      <c r="AC100" s="445"/>
      <c r="AD100" s="445"/>
      <c r="AE100" s="334"/>
    </row>
    <row r="101" spans="1:31" s="73" customFormat="1">
      <c r="A101" s="342"/>
      <c r="B101" s="340"/>
      <c r="C101" s="337"/>
      <c r="D101" s="341"/>
      <c r="E101" s="341"/>
      <c r="F101" s="341"/>
      <c r="G101" s="341"/>
      <c r="H101" s="341"/>
      <c r="I101" s="337"/>
      <c r="J101" s="337"/>
      <c r="K101" s="341"/>
      <c r="L101" s="341"/>
      <c r="M101" s="341"/>
      <c r="N101" s="337"/>
      <c r="O101" s="337"/>
      <c r="P101" s="341"/>
      <c r="Q101" s="337"/>
      <c r="R101" s="337"/>
      <c r="S101" s="337"/>
      <c r="T101" s="349"/>
      <c r="U101" s="349"/>
      <c r="V101" s="349"/>
      <c r="W101" s="349"/>
      <c r="X101" s="349"/>
      <c r="Y101" s="349"/>
      <c r="Z101" s="349"/>
      <c r="AA101" s="357"/>
      <c r="AB101" s="444"/>
      <c r="AC101" s="444"/>
      <c r="AD101" s="444"/>
      <c r="AE101" s="334"/>
    </row>
    <row r="102" spans="1:31" s="73" customFormat="1">
      <c r="A102" s="241"/>
      <c r="B102" s="242"/>
      <c r="C102" s="243"/>
      <c r="D102" s="244"/>
      <c r="E102" s="244"/>
      <c r="F102" s="244"/>
      <c r="G102" s="244"/>
      <c r="H102" s="244"/>
      <c r="I102" s="243"/>
      <c r="J102" s="243"/>
      <c r="K102" s="244"/>
      <c r="L102" s="244"/>
      <c r="M102" s="244"/>
      <c r="N102" s="243"/>
      <c r="O102" s="243"/>
      <c r="P102" s="244"/>
      <c r="Q102" s="243"/>
      <c r="R102" s="243"/>
      <c r="S102" s="243"/>
      <c r="T102" s="312"/>
      <c r="U102" s="312"/>
      <c r="V102" s="312"/>
      <c r="W102" s="312"/>
      <c r="X102" s="312"/>
      <c r="Y102" s="312"/>
      <c r="Z102" s="312"/>
      <c r="AA102" s="358"/>
      <c r="AB102" s="444"/>
      <c r="AC102" s="444"/>
      <c r="AD102" s="444"/>
      <c r="AE102" s="334"/>
    </row>
    <row r="103" spans="1:31" s="73" customFormat="1">
      <c r="A103" s="241"/>
      <c r="B103" s="245"/>
      <c r="C103" s="253"/>
      <c r="D103" s="254"/>
      <c r="E103" s="254"/>
      <c r="F103" s="254"/>
      <c r="G103" s="254"/>
      <c r="H103" s="254"/>
      <c r="I103" s="253"/>
      <c r="J103" s="253"/>
      <c r="K103" s="254"/>
      <c r="L103" s="254"/>
      <c r="M103" s="510"/>
      <c r="N103" s="253"/>
      <c r="O103" s="356"/>
      <c r="P103" s="254"/>
      <c r="Q103" s="253"/>
      <c r="R103" s="253"/>
      <c r="S103" s="253"/>
      <c r="T103" s="313"/>
      <c r="U103" s="313"/>
      <c r="V103" s="313"/>
      <c r="W103" s="313"/>
      <c r="X103" s="313"/>
      <c r="Y103" s="313"/>
      <c r="Z103" s="313"/>
      <c r="AA103" s="359"/>
      <c r="AB103" s="445"/>
      <c r="AC103" s="445"/>
      <c r="AD103" s="445"/>
      <c r="AE103" s="334"/>
    </row>
    <row r="104" spans="1:31" s="73" customFormat="1">
      <c r="A104" s="241"/>
      <c r="B104" s="242"/>
      <c r="C104" s="243"/>
      <c r="D104" s="244"/>
      <c r="E104" s="244"/>
      <c r="F104" s="244"/>
      <c r="G104" s="244"/>
      <c r="H104" s="244"/>
      <c r="I104" s="243"/>
      <c r="J104" s="243"/>
      <c r="K104" s="244"/>
      <c r="L104" s="244"/>
      <c r="M104" s="244"/>
      <c r="N104" s="243"/>
      <c r="O104" s="314"/>
      <c r="P104" s="244"/>
      <c r="Q104" s="243"/>
      <c r="R104" s="243"/>
      <c r="S104" s="243"/>
      <c r="T104" s="312"/>
      <c r="U104" s="312"/>
      <c r="V104" s="312"/>
      <c r="W104" s="312"/>
      <c r="X104" s="312"/>
      <c r="Y104" s="312"/>
      <c r="Z104" s="312"/>
      <c r="AA104" s="360"/>
      <c r="AB104" s="444"/>
      <c r="AC104" s="444"/>
      <c r="AD104" s="444"/>
      <c r="AE104" s="334"/>
    </row>
    <row r="105" spans="1:31" s="73" customFormat="1">
      <c r="A105" s="241"/>
      <c r="B105" s="242"/>
      <c r="C105" s="243"/>
      <c r="D105" s="244"/>
      <c r="E105" s="244"/>
      <c r="F105" s="244"/>
      <c r="G105" s="244"/>
      <c r="H105" s="244"/>
      <c r="I105" s="243"/>
      <c r="J105" s="243"/>
      <c r="K105" s="244"/>
      <c r="L105" s="244"/>
      <c r="M105" s="244"/>
      <c r="N105" s="243"/>
      <c r="O105" s="314"/>
      <c r="P105" s="244"/>
      <c r="Q105" s="243"/>
      <c r="R105" s="243"/>
      <c r="S105" s="243"/>
      <c r="T105" s="312"/>
      <c r="U105" s="312"/>
      <c r="V105" s="312"/>
      <c r="W105" s="312"/>
      <c r="X105" s="312"/>
      <c r="Y105" s="312"/>
      <c r="Z105" s="312"/>
      <c r="AA105" s="360"/>
      <c r="AB105" s="444"/>
      <c r="AC105" s="444"/>
      <c r="AD105" s="444"/>
      <c r="AE105" s="334"/>
    </row>
    <row r="106" spans="1:31" s="73" customFormat="1">
      <c r="A106" s="241"/>
      <c r="B106" s="245"/>
      <c r="C106" s="253"/>
      <c r="D106" s="254"/>
      <c r="E106" s="254"/>
      <c r="F106" s="254"/>
      <c r="G106" s="254"/>
      <c r="H106" s="254"/>
      <c r="I106" s="253"/>
      <c r="J106" s="253"/>
      <c r="K106" s="254"/>
      <c r="L106" s="254"/>
      <c r="M106" s="254"/>
      <c r="N106" s="253"/>
      <c r="O106" s="356"/>
      <c r="P106" s="254"/>
      <c r="Q106" s="253"/>
      <c r="R106" s="253"/>
      <c r="S106" s="253"/>
      <c r="T106" s="313"/>
      <c r="U106" s="313"/>
      <c r="V106" s="313"/>
      <c r="W106" s="313"/>
      <c r="X106" s="313"/>
      <c r="Y106" s="313"/>
      <c r="Z106" s="313"/>
      <c r="AA106" s="359"/>
      <c r="AB106" s="445"/>
      <c r="AC106" s="445"/>
      <c r="AD106" s="445"/>
      <c r="AE106" s="334"/>
    </row>
    <row r="107" spans="1:31" s="73" customFormat="1">
      <c r="A107" s="241"/>
      <c r="B107" s="242"/>
      <c r="C107" s="243"/>
      <c r="D107" s="244"/>
      <c r="E107" s="244"/>
      <c r="F107" s="244"/>
      <c r="G107" s="244"/>
      <c r="H107" s="244"/>
      <c r="I107" s="243"/>
      <c r="J107" s="243"/>
      <c r="K107" s="244"/>
      <c r="L107" s="244"/>
      <c r="M107" s="244"/>
      <c r="N107" s="243"/>
      <c r="O107" s="314"/>
      <c r="P107" s="244"/>
      <c r="Q107" s="243"/>
      <c r="R107" s="243"/>
      <c r="S107" s="243"/>
      <c r="T107" s="312"/>
      <c r="U107" s="312"/>
      <c r="V107" s="312"/>
      <c r="W107" s="312"/>
      <c r="X107" s="312"/>
      <c r="Y107" s="312"/>
      <c r="Z107" s="312"/>
      <c r="AA107" s="360"/>
      <c r="AB107" s="444"/>
      <c r="AC107" s="444"/>
      <c r="AD107" s="444"/>
      <c r="AE107" s="334"/>
    </row>
    <row r="108" spans="1:31" s="73" customFormat="1">
      <c r="A108" s="241"/>
      <c r="B108" s="242"/>
      <c r="C108" s="243"/>
      <c r="D108" s="244"/>
      <c r="E108" s="244"/>
      <c r="F108" s="244"/>
      <c r="G108" s="244"/>
      <c r="H108" s="244"/>
      <c r="I108" s="243"/>
      <c r="J108" s="243"/>
      <c r="K108" s="244"/>
      <c r="L108" s="244"/>
      <c r="M108" s="244"/>
      <c r="N108" s="243"/>
      <c r="O108" s="314"/>
      <c r="P108" s="244"/>
      <c r="Q108" s="243"/>
      <c r="R108" s="243"/>
      <c r="S108" s="243"/>
      <c r="T108" s="312"/>
      <c r="U108" s="312"/>
      <c r="V108" s="312"/>
      <c r="W108" s="312"/>
      <c r="X108" s="312"/>
      <c r="Y108" s="312"/>
      <c r="Z108" s="312"/>
      <c r="AA108" s="360"/>
      <c r="AB108" s="444"/>
      <c r="AC108" s="444"/>
      <c r="AD108" s="444"/>
      <c r="AE108" s="334"/>
    </row>
    <row r="109" spans="1:31" s="73" customFormat="1">
      <c r="A109" s="241"/>
      <c r="B109" s="245"/>
      <c r="C109" s="253"/>
      <c r="D109" s="254"/>
      <c r="E109" s="254"/>
      <c r="F109" s="254"/>
      <c r="G109" s="254"/>
      <c r="H109" s="254"/>
      <c r="I109" s="253"/>
      <c r="J109" s="253"/>
      <c r="K109" s="254"/>
      <c r="L109" s="254"/>
      <c r="M109" s="254"/>
      <c r="N109" s="253"/>
      <c r="O109" s="356"/>
      <c r="P109" s="254"/>
      <c r="Q109" s="253"/>
      <c r="R109" s="253"/>
      <c r="S109" s="253"/>
      <c r="T109" s="313"/>
      <c r="U109" s="313"/>
      <c r="V109" s="313"/>
      <c r="W109" s="313"/>
      <c r="X109" s="313"/>
      <c r="Y109" s="313"/>
      <c r="Z109" s="313"/>
      <c r="AA109" s="359"/>
      <c r="AB109" s="445"/>
      <c r="AC109" s="445"/>
      <c r="AD109" s="445"/>
      <c r="AE109" s="334"/>
    </row>
    <row r="110" spans="1:31" s="73" customFormat="1">
      <c r="A110" s="241"/>
      <c r="B110" s="242"/>
      <c r="C110" s="243"/>
      <c r="D110" s="244"/>
      <c r="E110" s="244"/>
      <c r="F110" s="244"/>
      <c r="G110" s="244"/>
      <c r="H110" s="244"/>
      <c r="I110" s="243"/>
      <c r="J110" s="243"/>
      <c r="K110" s="244"/>
      <c r="L110" s="244"/>
      <c r="M110" s="244"/>
      <c r="N110" s="243"/>
      <c r="O110" s="314"/>
      <c r="P110" s="244"/>
      <c r="Q110" s="243"/>
      <c r="R110" s="243"/>
      <c r="S110" s="243"/>
      <c r="T110" s="312"/>
      <c r="U110" s="312"/>
      <c r="V110" s="312"/>
      <c r="W110" s="312"/>
      <c r="X110" s="312"/>
      <c r="Y110" s="312"/>
      <c r="Z110" s="312"/>
      <c r="AA110" s="360"/>
      <c r="AB110" s="444"/>
      <c r="AC110" s="444"/>
      <c r="AD110" s="444"/>
      <c r="AE110" s="334"/>
    </row>
    <row r="111" spans="1:31" s="73" customFormat="1">
      <c r="A111" s="241"/>
      <c r="B111" s="242"/>
      <c r="C111" s="243"/>
      <c r="D111" s="244"/>
      <c r="E111" s="244"/>
      <c r="F111" s="244"/>
      <c r="G111" s="244"/>
      <c r="H111" s="244"/>
      <c r="I111" s="243"/>
      <c r="J111" s="243"/>
      <c r="K111" s="244"/>
      <c r="L111" s="244"/>
      <c r="M111" s="244"/>
      <c r="N111" s="243"/>
      <c r="O111" s="314"/>
      <c r="P111" s="244"/>
      <c r="Q111" s="243"/>
      <c r="R111" s="243"/>
      <c r="S111" s="243"/>
      <c r="T111" s="312"/>
      <c r="U111" s="312"/>
      <c r="V111" s="312"/>
      <c r="W111" s="312"/>
      <c r="X111" s="312"/>
      <c r="Y111" s="312"/>
      <c r="Z111" s="312"/>
      <c r="AA111" s="360"/>
      <c r="AB111" s="444"/>
      <c r="AC111" s="444"/>
      <c r="AD111" s="444"/>
      <c r="AE111" s="334"/>
    </row>
    <row r="112" spans="1:31" s="73" customFormat="1">
      <c r="A112" s="246"/>
      <c r="B112" s="311"/>
      <c r="C112" s="253"/>
      <c r="D112" s="254"/>
      <c r="E112" s="254"/>
      <c r="F112" s="254"/>
      <c r="G112" s="254"/>
      <c r="H112" s="254"/>
      <c r="I112" s="253"/>
      <c r="J112" s="253"/>
      <c r="K112" s="254"/>
      <c r="L112" s="254"/>
      <c r="M112" s="254"/>
      <c r="N112" s="253"/>
      <c r="O112" s="356"/>
      <c r="P112" s="254"/>
      <c r="Q112" s="253"/>
      <c r="R112" s="253"/>
      <c r="S112" s="253"/>
      <c r="T112" s="313"/>
      <c r="U112" s="313"/>
      <c r="V112" s="313"/>
      <c r="W112" s="313"/>
      <c r="X112" s="313"/>
      <c r="Y112" s="313"/>
      <c r="Z112" s="313"/>
      <c r="AA112" s="359"/>
      <c r="AB112" s="445"/>
      <c r="AC112" s="445"/>
      <c r="AD112" s="445"/>
      <c r="AE112" s="334"/>
    </row>
    <row r="113" spans="1:31" s="73" customFormat="1">
      <c r="A113" s="342"/>
      <c r="B113" s="340"/>
      <c r="C113" s="337"/>
      <c r="D113" s="341"/>
      <c r="E113" s="341"/>
      <c r="F113" s="341"/>
      <c r="G113" s="341"/>
      <c r="H113" s="341"/>
      <c r="I113" s="337"/>
      <c r="J113" s="337"/>
      <c r="K113" s="341"/>
      <c r="L113" s="341"/>
      <c r="M113" s="341"/>
      <c r="N113" s="337"/>
      <c r="O113" s="337"/>
      <c r="P113" s="341"/>
      <c r="Q113" s="337"/>
      <c r="R113" s="337"/>
      <c r="S113" s="337"/>
      <c r="T113" s="349"/>
      <c r="U113" s="349"/>
      <c r="V113" s="349"/>
      <c r="W113" s="349"/>
      <c r="X113" s="349"/>
      <c r="Y113" s="349"/>
      <c r="Z113" s="349"/>
      <c r="AA113" s="357"/>
      <c r="AB113" s="444"/>
      <c r="AC113" s="444"/>
      <c r="AD113" s="444"/>
      <c r="AE113" s="334"/>
    </row>
    <row r="114" spans="1:31" s="73" customFormat="1">
      <c r="A114" s="241"/>
      <c r="B114" s="242"/>
      <c r="C114" s="243"/>
      <c r="D114" s="244"/>
      <c r="E114" s="244"/>
      <c r="F114" s="244"/>
      <c r="G114" s="244"/>
      <c r="H114" s="244"/>
      <c r="I114" s="243"/>
      <c r="J114" s="243"/>
      <c r="K114" s="244"/>
      <c r="L114" s="244"/>
      <c r="M114" s="244"/>
      <c r="N114" s="243"/>
      <c r="O114" s="243"/>
      <c r="P114" s="244"/>
      <c r="Q114" s="243"/>
      <c r="R114" s="243"/>
      <c r="S114" s="243"/>
      <c r="T114" s="312"/>
      <c r="U114" s="312"/>
      <c r="V114" s="312"/>
      <c r="W114" s="312"/>
      <c r="X114" s="312"/>
      <c r="Y114" s="312"/>
      <c r="Z114" s="312"/>
      <c r="AA114" s="358"/>
      <c r="AB114" s="444"/>
      <c r="AC114" s="444"/>
      <c r="AD114" s="444"/>
      <c r="AE114" s="334"/>
    </row>
    <row r="115" spans="1:31" s="73" customFormat="1">
      <c r="A115" s="241"/>
      <c r="B115" s="245"/>
      <c r="C115" s="253"/>
      <c r="D115" s="254"/>
      <c r="E115" s="254"/>
      <c r="F115" s="254"/>
      <c r="G115" s="254"/>
      <c r="H115" s="254"/>
      <c r="I115" s="253"/>
      <c r="J115" s="253"/>
      <c r="K115" s="254"/>
      <c r="L115" s="254"/>
      <c r="M115" s="254"/>
      <c r="N115" s="253"/>
      <c r="O115" s="356"/>
      <c r="P115" s="254"/>
      <c r="Q115" s="253"/>
      <c r="R115" s="253"/>
      <c r="S115" s="253"/>
      <c r="T115" s="313"/>
      <c r="U115" s="313"/>
      <c r="V115" s="313"/>
      <c r="W115" s="313"/>
      <c r="X115" s="313"/>
      <c r="Y115" s="313"/>
      <c r="Z115" s="313"/>
      <c r="AA115" s="359"/>
      <c r="AB115" s="445"/>
      <c r="AC115" s="445"/>
      <c r="AD115" s="445"/>
      <c r="AE115" s="334"/>
    </row>
    <row r="116" spans="1:31" s="73" customFormat="1">
      <c r="A116" s="241"/>
      <c r="B116" s="242"/>
      <c r="C116" s="243"/>
      <c r="D116" s="244"/>
      <c r="E116" s="244"/>
      <c r="F116" s="244"/>
      <c r="G116" s="244"/>
      <c r="H116" s="244"/>
      <c r="I116" s="243"/>
      <c r="J116" s="243"/>
      <c r="K116" s="244"/>
      <c r="L116" s="244"/>
      <c r="M116" s="244"/>
      <c r="N116" s="243"/>
      <c r="O116" s="314"/>
      <c r="P116" s="244"/>
      <c r="Q116" s="243"/>
      <c r="R116" s="243"/>
      <c r="S116" s="243"/>
      <c r="T116" s="312"/>
      <c r="U116" s="312"/>
      <c r="V116" s="312"/>
      <c r="W116" s="312"/>
      <c r="X116" s="312"/>
      <c r="Y116" s="312"/>
      <c r="Z116" s="312"/>
      <c r="AA116" s="360"/>
      <c r="AB116" s="444"/>
      <c r="AC116" s="444"/>
      <c r="AD116" s="444"/>
      <c r="AE116" s="334"/>
    </row>
    <row r="117" spans="1:31" s="73" customFormat="1">
      <c r="A117" s="241"/>
      <c r="B117" s="242"/>
      <c r="C117" s="243"/>
      <c r="D117" s="244"/>
      <c r="E117" s="244"/>
      <c r="F117" s="244"/>
      <c r="G117" s="244"/>
      <c r="H117" s="244"/>
      <c r="I117" s="243"/>
      <c r="J117" s="243"/>
      <c r="K117" s="244"/>
      <c r="L117" s="244"/>
      <c r="M117" s="244"/>
      <c r="N117" s="243"/>
      <c r="O117" s="314"/>
      <c r="P117" s="244"/>
      <c r="Q117" s="243"/>
      <c r="R117" s="243"/>
      <c r="S117" s="243"/>
      <c r="T117" s="312"/>
      <c r="U117" s="312"/>
      <c r="V117" s="312"/>
      <c r="W117" s="312"/>
      <c r="X117" s="312"/>
      <c r="Y117" s="312"/>
      <c r="Z117" s="312"/>
      <c r="AA117" s="360"/>
      <c r="AB117" s="444"/>
      <c r="AC117" s="444"/>
      <c r="AD117" s="444"/>
      <c r="AE117" s="334"/>
    </row>
    <row r="118" spans="1:31" s="73" customFormat="1">
      <c r="A118" s="241"/>
      <c r="B118" s="245"/>
      <c r="C118" s="253"/>
      <c r="D118" s="254"/>
      <c r="E118" s="254"/>
      <c r="F118" s="254"/>
      <c r="G118" s="254"/>
      <c r="H118" s="254"/>
      <c r="I118" s="253"/>
      <c r="J118" s="253"/>
      <c r="K118" s="254"/>
      <c r="L118" s="254"/>
      <c r="M118" s="254"/>
      <c r="N118" s="253"/>
      <c r="O118" s="356"/>
      <c r="P118" s="254"/>
      <c r="Q118" s="253"/>
      <c r="R118" s="253"/>
      <c r="S118" s="253"/>
      <c r="T118" s="313"/>
      <c r="U118" s="313"/>
      <c r="V118" s="313"/>
      <c r="W118" s="313"/>
      <c r="X118" s="313"/>
      <c r="Y118" s="313"/>
      <c r="Z118" s="313"/>
      <c r="AA118" s="359"/>
      <c r="AB118" s="445"/>
      <c r="AC118" s="445"/>
      <c r="AD118" s="445"/>
      <c r="AE118" s="334"/>
    </row>
    <row r="119" spans="1:31" s="73" customFormat="1">
      <c r="A119" s="241"/>
      <c r="B119" s="242"/>
      <c r="C119" s="243"/>
      <c r="D119" s="244"/>
      <c r="E119" s="244"/>
      <c r="F119" s="244"/>
      <c r="G119" s="244"/>
      <c r="H119" s="244"/>
      <c r="I119" s="243"/>
      <c r="J119" s="243"/>
      <c r="K119" s="244"/>
      <c r="L119" s="244"/>
      <c r="M119" s="244"/>
      <c r="N119" s="243"/>
      <c r="O119" s="314"/>
      <c r="P119" s="244"/>
      <c r="Q119" s="243"/>
      <c r="R119" s="243"/>
      <c r="S119" s="243"/>
      <c r="T119" s="312"/>
      <c r="U119" s="312"/>
      <c r="V119" s="312"/>
      <c r="W119" s="312"/>
      <c r="X119" s="312"/>
      <c r="Y119" s="312"/>
      <c r="Z119" s="312"/>
      <c r="AA119" s="360"/>
      <c r="AB119" s="444"/>
      <c r="AC119" s="444"/>
      <c r="AD119" s="444"/>
      <c r="AE119" s="334"/>
    </row>
    <row r="120" spans="1:31" s="73" customFormat="1">
      <c r="A120" s="241"/>
      <c r="B120" s="242"/>
      <c r="C120" s="243"/>
      <c r="D120" s="244"/>
      <c r="E120" s="244"/>
      <c r="F120" s="244"/>
      <c r="G120" s="244"/>
      <c r="H120" s="244"/>
      <c r="I120" s="243"/>
      <c r="J120" s="243"/>
      <c r="K120" s="244"/>
      <c r="L120" s="244"/>
      <c r="M120" s="244"/>
      <c r="N120" s="243"/>
      <c r="O120" s="314"/>
      <c r="P120" s="244"/>
      <c r="Q120" s="243"/>
      <c r="R120" s="243"/>
      <c r="S120" s="243"/>
      <c r="T120" s="312"/>
      <c r="U120" s="312"/>
      <c r="V120" s="312"/>
      <c r="W120" s="312"/>
      <c r="X120" s="312"/>
      <c r="Y120" s="312"/>
      <c r="Z120" s="312"/>
      <c r="AA120" s="360"/>
      <c r="AB120" s="444"/>
      <c r="AC120" s="444"/>
      <c r="AD120" s="444"/>
      <c r="AE120" s="334"/>
    </row>
    <row r="121" spans="1:31" s="73" customFormat="1">
      <c r="A121" s="241"/>
      <c r="B121" s="245"/>
      <c r="C121" s="253"/>
      <c r="D121" s="254"/>
      <c r="E121" s="254"/>
      <c r="F121" s="510"/>
      <c r="G121" s="254"/>
      <c r="H121" s="510"/>
      <c r="I121" s="253"/>
      <c r="J121" s="253"/>
      <c r="K121" s="254"/>
      <c r="L121" s="254"/>
      <c r="M121" s="254"/>
      <c r="N121" s="253"/>
      <c r="O121" s="356"/>
      <c r="P121" s="254"/>
      <c r="Q121" s="253"/>
      <c r="R121" s="253"/>
      <c r="S121" s="253"/>
      <c r="T121" s="313"/>
      <c r="U121" s="313"/>
      <c r="V121" s="313"/>
      <c r="W121" s="313"/>
      <c r="X121" s="313"/>
      <c r="Y121" s="313"/>
      <c r="Z121" s="313"/>
      <c r="AA121" s="359"/>
      <c r="AB121" s="445"/>
      <c r="AC121" s="445"/>
      <c r="AD121" s="445"/>
      <c r="AE121" s="334"/>
    </row>
    <row r="122" spans="1:31" s="73" customFormat="1">
      <c r="A122" s="241"/>
      <c r="B122" s="242"/>
      <c r="C122" s="243"/>
      <c r="D122" s="244"/>
      <c r="E122" s="244"/>
      <c r="F122" s="244"/>
      <c r="G122" s="244"/>
      <c r="H122" s="244"/>
      <c r="I122" s="243"/>
      <c r="J122" s="243"/>
      <c r="K122" s="244"/>
      <c r="L122" s="244"/>
      <c r="M122" s="244"/>
      <c r="N122" s="243"/>
      <c r="O122" s="314"/>
      <c r="P122" s="244"/>
      <c r="Q122" s="243"/>
      <c r="R122" s="243"/>
      <c r="S122" s="243"/>
      <c r="T122" s="312"/>
      <c r="U122" s="312"/>
      <c r="V122" s="312"/>
      <c r="W122" s="312"/>
      <c r="X122" s="312"/>
      <c r="Y122" s="312"/>
      <c r="Z122" s="312"/>
      <c r="AA122" s="360"/>
      <c r="AB122" s="444"/>
      <c r="AC122" s="444"/>
      <c r="AD122" s="444"/>
      <c r="AE122" s="334"/>
    </row>
    <row r="123" spans="1:31" s="73" customFormat="1">
      <c r="A123" s="241"/>
      <c r="B123" s="242"/>
      <c r="C123" s="243"/>
      <c r="D123" s="244"/>
      <c r="E123" s="244"/>
      <c r="F123" s="244"/>
      <c r="G123" s="244"/>
      <c r="H123" s="244"/>
      <c r="I123" s="243"/>
      <c r="J123" s="243"/>
      <c r="K123" s="244"/>
      <c r="L123" s="244"/>
      <c r="M123" s="244"/>
      <c r="N123" s="243"/>
      <c r="O123" s="314"/>
      <c r="P123" s="244"/>
      <c r="Q123" s="243"/>
      <c r="R123" s="243"/>
      <c r="S123" s="243"/>
      <c r="T123" s="312"/>
      <c r="U123" s="312"/>
      <c r="V123" s="312"/>
      <c r="W123" s="312"/>
      <c r="X123" s="312"/>
      <c r="Y123" s="312"/>
      <c r="Z123" s="312"/>
      <c r="AA123" s="360"/>
      <c r="AB123" s="444"/>
      <c r="AC123" s="444"/>
      <c r="AD123" s="444"/>
      <c r="AE123" s="334"/>
    </row>
    <row r="124" spans="1:31" s="73" customFormat="1">
      <c r="A124" s="246"/>
      <c r="B124" s="311"/>
      <c r="C124" s="253"/>
      <c r="D124" s="254"/>
      <c r="E124" s="254"/>
      <c r="F124" s="254"/>
      <c r="G124" s="254"/>
      <c r="H124" s="254"/>
      <c r="I124" s="253"/>
      <c r="J124" s="253"/>
      <c r="K124" s="254"/>
      <c r="L124" s="254"/>
      <c r="M124" s="254"/>
      <c r="N124" s="253"/>
      <c r="O124" s="356"/>
      <c r="P124" s="254"/>
      <c r="Q124" s="253"/>
      <c r="R124" s="253"/>
      <c r="S124" s="253"/>
      <c r="T124" s="313"/>
      <c r="U124" s="313"/>
      <c r="V124" s="313"/>
      <c r="W124" s="313"/>
      <c r="X124" s="313"/>
      <c r="Y124" s="313"/>
      <c r="Z124" s="313"/>
      <c r="AA124" s="359"/>
      <c r="AB124" s="445"/>
      <c r="AC124" s="445"/>
      <c r="AD124" s="445"/>
      <c r="AE124" s="334"/>
    </row>
    <row r="125" spans="1:31" s="73" customFormat="1">
      <c r="A125" s="342"/>
      <c r="B125" s="340"/>
      <c r="C125" s="337"/>
      <c r="D125" s="341"/>
      <c r="E125" s="341"/>
      <c r="F125" s="341"/>
      <c r="G125" s="341"/>
      <c r="H125" s="341"/>
      <c r="I125" s="337"/>
      <c r="J125" s="337"/>
      <c r="K125" s="341"/>
      <c r="L125" s="341"/>
      <c r="M125" s="341"/>
      <c r="N125" s="337"/>
      <c r="O125" s="337"/>
      <c r="P125" s="341"/>
      <c r="Q125" s="337"/>
      <c r="R125" s="337"/>
      <c r="S125" s="337"/>
      <c r="T125" s="349"/>
      <c r="U125" s="349"/>
      <c r="V125" s="349"/>
      <c r="W125" s="349"/>
      <c r="X125" s="349"/>
      <c r="Y125" s="349"/>
      <c r="Z125" s="349"/>
      <c r="AA125" s="357"/>
      <c r="AB125" s="444"/>
      <c r="AC125" s="444"/>
      <c r="AD125" s="444"/>
      <c r="AE125" s="334"/>
    </row>
    <row r="126" spans="1:31" s="73" customFormat="1">
      <c r="A126" s="241"/>
      <c r="B126" s="242"/>
      <c r="C126" s="243"/>
      <c r="D126" s="244"/>
      <c r="E126" s="244"/>
      <c r="F126" s="244"/>
      <c r="G126" s="244"/>
      <c r="H126" s="244"/>
      <c r="I126" s="243"/>
      <c r="J126" s="243"/>
      <c r="K126" s="244"/>
      <c r="L126" s="244"/>
      <c r="M126" s="244"/>
      <c r="N126" s="243"/>
      <c r="O126" s="243"/>
      <c r="P126" s="244"/>
      <c r="Q126" s="243"/>
      <c r="R126" s="243"/>
      <c r="S126" s="243"/>
      <c r="T126" s="312"/>
      <c r="U126" s="312"/>
      <c r="V126" s="312"/>
      <c r="W126" s="312"/>
      <c r="X126" s="312"/>
      <c r="Y126" s="312"/>
      <c r="Z126" s="312"/>
      <c r="AA126" s="358"/>
      <c r="AB126" s="444"/>
      <c r="AC126" s="444"/>
      <c r="AD126" s="444"/>
      <c r="AE126" s="334"/>
    </row>
    <row r="127" spans="1:31" s="73" customFormat="1">
      <c r="A127" s="241"/>
      <c r="B127" s="245"/>
      <c r="C127" s="253"/>
      <c r="D127" s="254"/>
      <c r="E127" s="254"/>
      <c r="F127" s="254"/>
      <c r="G127" s="254"/>
      <c r="H127" s="254"/>
      <c r="I127" s="253"/>
      <c r="J127" s="253"/>
      <c r="K127" s="254"/>
      <c r="L127" s="254"/>
      <c r="M127" s="510"/>
      <c r="N127" s="253"/>
      <c r="O127" s="356"/>
      <c r="P127" s="254"/>
      <c r="Q127" s="253"/>
      <c r="R127" s="253"/>
      <c r="S127" s="253"/>
      <c r="T127" s="313"/>
      <c r="U127" s="313"/>
      <c r="V127" s="313"/>
      <c r="W127" s="313"/>
      <c r="X127" s="313"/>
      <c r="Y127" s="313"/>
      <c r="Z127" s="313"/>
      <c r="AA127" s="359"/>
      <c r="AB127" s="445"/>
      <c r="AC127" s="445"/>
      <c r="AD127" s="445"/>
      <c r="AE127" s="334"/>
    </row>
    <row r="128" spans="1:31" s="73" customFormat="1">
      <c r="A128" s="241"/>
      <c r="B128" s="242"/>
      <c r="C128" s="243"/>
      <c r="D128" s="244"/>
      <c r="E128" s="244"/>
      <c r="F128" s="244"/>
      <c r="G128" s="244"/>
      <c r="H128" s="244"/>
      <c r="I128" s="243"/>
      <c r="J128" s="243"/>
      <c r="K128" s="244"/>
      <c r="L128" s="244"/>
      <c r="M128" s="244"/>
      <c r="N128" s="243"/>
      <c r="O128" s="314"/>
      <c r="P128" s="244"/>
      <c r="Q128" s="243"/>
      <c r="R128" s="243"/>
      <c r="S128" s="243"/>
      <c r="T128" s="312"/>
      <c r="U128" s="312"/>
      <c r="V128" s="312"/>
      <c r="W128" s="312"/>
      <c r="X128" s="312"/>
      <c r="Y128" s="312"/>
      <c r="Z128" s="312"/>
      <c r="AA128" s="360"/>
      <c r="AB128" s="444"/>
      <c r="AC128" s="444"/>
      <c r="AD128" s="444"/>
      <c r="AE128" s="334"/>
    </row>
    <row r="129" spans="1:31" s="73" customFormat="1">
      <c r="A129" s="241"/>
      <c r="B129" s="242"/>
      <c r="C129" s="243"/>
      <c r="D129" s="244"/>
      <c r="E129" s="244"/>
      <c r="F129" s="244"/>
      <c r="G129" s="244"/>
      <c r="H129" s="244"/>
      <c r="I129" s="243"/>
      <c r="J129" s="243"/>
      <c r="K129" s="244"/>
      <c r="L129" s="244"/>
      <c r="M129" s="244"/>
      <c r="N129" s="243"/>
      <c r="O129" s="314"/>
      <c r="P129" s="244"/>
      <c r="Q129" s="243"/>
      <c r="R129" s="243"/>
      <c r="S129" s="243"/>
      <c r="T129" s="312"/>
      <c r="U129" s="312"/>
      <c r="V129" s="312"/>
      <c r="W129" s="312"/>
      <c r="X129" s="312"/>
      <c r="Y129" s="312"/>
      <c r="Z129" s="312"/>
      <c r="AA129" s="360"/>
      <c r="AB129" s="444"/>
      <c r="AC129" s="444"/>
      <c r="AD129" s="444"/>
      <c r="AE129" s="334"/>
    </row>
    <row r="130" spans="1:31" s="73" customFormat="1">
      <c r="A130" s="241"/>
      <c r="B130" s="245"/>
      <c r="C130" s="253"/>
      <c r="D130" s="254"/>
      <c r="E130" s="254"/>
      <c r="F130" s="254"/>
      <c r="G130" s="254"/>
      <c r="H130" s="254"/>
      <c r="I130" s="253"/>
      <c r="J130" s="253"/>
      <c r="K130" s="254"/>
      <c r="L130" s="254"/>
      <c r="M130" s="254"/>
      <c r="N130" s="253"/>
      <c r="O130" s="356"/>
      <c r="P130" s="254"/>
      <c r="Q130" s="253"/>
      <c r="R130" s="253"/>
      <c r="S130" s="253"/>
      <c r="T130" s="313"/>
      <c r="U130" s="313"/>
      <c r="V130" s="313"/>
      <c r="W130" s="313"/>
      <c r="X130" s="313"/>
      <c r="Y130" s="313"/>
      <c r="Z130" s="313"/>
      <c r="AA130" s="359"/>
      <c r="AB130" s="445"/>
      <c r="AC130" s="445"/>
      <c r="AD130" s="445"/>
      <c r="AE130" s="334"/>
    </row>
    <row r="131" spans="1:31" s="73" customFormat="1">
      <c r="A131" s="241"/>
      <c r="B131" s="242"/>
      <c r="C131" s="243"/>
      <c r="D131" s="244"/>
      <c r="E131" s="244"/>
      <c r="F131" s="244"/>
      <c r="G131" s="244"/>
      <c r="H131" s="244"/>
      <c r="I131" s="243"/>
      <c r="J131" s="243"/>
      <c r="K131" s="244"/>
      <c r="L131" s="244"/>
      <c r="M131" s="244"/>
      <c r="N131" s="243"/>
      <c r="O131" s="314"/>
      <c r="P131" s="244"/>
      <c r="Q131" s="243"/>
      <c r="R131" s="243"/>
      <c r="S131" s="243"/>
      <c r="T131" s="312"/>
      <c r="U131" s="312"/>
      <c r="V131" s="312"/>
      <c r="W131" s="312"/>
      <c r="X131" s="312"/>
      <c r="Y131" s="312"/>
      <c r="Z131" s="312"/>
      <c r="AA131" s="360"/>
      <c r="AB131" s="444"/>
      <c r="AC131" s="444"/>
      <c r="AD131" s="444"/>
      <c r="AE131" s="334"/>
    </row>
    <row r="132" spans="1:31" s="73" customFormat="1">
      <c r="A132" s="241"/>
      <c r="B132" s="242"/>
      <c r="C132" s="243"/>
      <c r="D132" s="244"/>
      <c r="E132" s="244"/>
      <c r="F132" s="244"/>
      <c r="G132" s="244"/>
      <c r="H132" s="244"/>
      <c r="I132" s="243"/>
      <c r="J132" s="243"/>
      <c r="K132" s="244"/>
      <c r="L132" s="244"/>
      <c r="M132" s="244"/>
      <c r="N132" s="243"/>
      <c r="O132" s="314"/>
      <c r="P132" s="244"/>
      <c r="Q132" s="243"/>
      <c r="R132" s="243"/>
      <c r="S132" s="243"/>
      <c r="T132" s="312"/>
      <c r="U132" s="312"/>
      <c r="V132" s="312"/>
      <c r="W132" s="312"/>
      <c r="X132" s="312"/>
      <c r="Y132" s="312"/>
      <c r="Z132" s="312"/>
      <c r="AA132" s="360"/>
      <c r="AB132" s="444"/>
      <c r="AC132" s="444"/>
      <c r="AD132" s="444"/>
      <c r="AE132" s="334"/>
    </row>
    <row r="133" spans="1:31" s="73" customFormat="1">
      <c r="A133" s="241"/>
      <c r="B133" s="245"/>
      <c r="C133" s="509"/>
      <c r="D133" s="254"/>
      <c r="E133" s="510"/>
      <c r="F133" s="254"/>
      <c r="G133" s="510"/>
      <c r="H133" s="254"/>
      <c r="I133" s="253"/>
      <c r="J133" s="253"/>
      <c r="K133" s="254"/>
      <c r="L133" s="254"/>
      <c r="M133" s="254"/>
      <c r="N133" s="253"/>
      <c r="O133" s="356"/>
      <c r="P133" s="254"/>
      <c r="Q133" s="253"/>
      <c r="R133" s="253"/>
      <c r="S133" s="253"/>
      <c r="T133" s="313"/>
      <c r="U133" s="313"/>
      <c r="V133" s="313"/>
      <c r="W133" s="313"/>
      <c r="X133" s="313"/>
      <c r="Y133" s="313"/>
      <c r="Z133" s="313"/>
      <c r="AA133" s="359"/>
      <c r="AB133" s="445"/>
      <c r="AC133" s="445"/>
      <c r="AD133" s="445"/>
      <c r="AE133" s="334"/>
    </row>
    <row r="134" spans="1:31" s="73" customFormat="1">
      <c r="A134" s="241"/>
      <c r="B134" s="242"/>
      <c r="C134" s="243"/>
      <c r="D134" s="244"/>
      <c r="E134" s="244"/>
      <c r="F134" s="244"/>
      <c r="G134" s="244"/>
      <c r="H134" s="244"/>
      <c r="I134" s="243"/>
      <c r="J134" s="243"/>
      <c r="K134" s="244"/>
      <c r="L134" s="244"/>
      <c r="M134" s="244"/>
      <c r="N134" s="243"/>
      <c r="O134" s="314"/>
      <c r="P134" s="244"/>
      <c r="Q134" s="243"/>
      <c r="R134" s="243"/>
      <c r="S134" s="243"/>
      <c r="T134" s="312"/>
      <c r="U134" s="312"/>
      <c r="V134" s="312"/>
      <c r="W134" s="312"/>
      <c r="X134" s="312"/>
      <c r="Y134" s="312"/>
      <c r="Z134" s="312"/>
      <c r="AA134" s="360"/>
      <c r="AB134" s="444"/>
      <c r="AC134" s="444"/>
      <c r="AD134" s="444"/>
      <c r="AE134" s="334"/>
    </row>
    <row r="135" spans="1:31" s="73" customFormat="1">
      <c r="A135" s="241"/>
      <c r="B135" s="242"/>
      <c r="C135" s="243"/>
      <c r="D135" s="244"/>
      <c r="E135" s="244"/>
      <c r="F135" s="244"/>
      <c r="G135" s="244"/>
      <c r="H135" s="244"/>
      <c r="I135" s="243"/>
      <c r="J135" s="243"/>
      <c r="K135" s="244"/>
      <c r="L135" s="244"/>
      <c r="M135" s="244"/>
      <c r="N135" s="243"/>
      <c r="O135" s="314"/>
      <c r="P135" s="244"/>
      <c r="Q135" s="243"/>
      <c r="R135" s="243"/>
      <c r="S135" s="243"/>
      <c r="T135" s="312"/>
      <c r="U135" s="312"/>
      <c r="V135" s="312"/>
      <c r="W135" s="312"/>
      <c r="X135" s="312"/>
      <c r="Y135" s="312"/>
      <c r="Z135" s="312"/>
      <c r="AA135" s="360"/>
      <c r="AB135" s="444"/>
      <c r="AC135" s="444"/>
      <c r="AD135" s="444"/>
      <c r="AE135" s="334"/>
    </row>
    <row r="136" spans="1:31" s="73" customFormat="1">
      <c r="A136" s="246"/>
      <c r="B136" s="311"/>
      <c r="C136" s="253"/>
      <c r="D136" s="254"/>
      <c r="E136" s="254"/>
      <c r="F136" s="254"/>
      <c r="G136" s="254"/>
      <c r="H136" s="254"/>
      <c r="I136" s="253"/>
      <c r="J136" s="253"/>
      <c r="K136" s="254"/>
      <c r="L136" s="254"/>
      <c r="M136" s="254"/>
      <c r="N136" s="253"/>
      <c r="O136" s="356"/>
      <c r="P136" s="254"/>
      <c r="Q136" s="253"/>
      <c r="R136" s="253"/>
      <c r="S136" s="253"/>
      <c r="T136" s="313"/>
      <c r="U136" s="313"/>
      <c r="V136" s="313"/>
      <c r="W136" s="313"/>
      <c r="X136" s="313"/>
      <c r="Y136" s="313"/>
      <c r="Z136" s="313"/>
      <c r="AA136" s="359"/>
      <c r="AB136" s="445"/>
      <c r="AC136" s="445"/>
      <c r="AD136" s="445"/>
      <c r="AE136" s="334"/>
    </row>
    <row r="137" spans="1:31" s="73" customFormat="1">
      <c r="A137" s="342"/>
      <c r="B137" s="340"/>
      <c r="C137" s="337"/>
      <c r="D137" s="341"/>
      <c r="E137" s="341"/>
      <c r="F137" s="341"/>
      <c r="G137" s="341"/>
      <c r="H137" s="341"/>
      <c r="I137" s="337"/>
      <c r="J137" s="337"/>
      <c r="K137" s="341"/>
      <c r="L137" s="341"/>
      <c r="M137" s="341"/>
      <c r="N137" s="337"/>
      <c r="O137" s="337"/>
      <c r="P137" s="341"/>
      <c r="Q137" s="337"/>
      <c r="R137" s="337"/>
      <c r="S137" s="337"/>
      <c r="T137" s="349"/>
      <c r="U137" s="349"/>
      <c r="V137" s="349"/>
      <c r="W137" s="349"/>
      <c r="X137" s="349"/>
      <c r="Y137" s="349"/>
      <c r="Z137" s="349"/>
      <c r="AA137" s="357"/>
      <c r="AB137" s="444"/>
      <c r="AC137" s="444"/>
      <c r="AD137" s="444"/>
      <c r="AE137" s="334"/>
    </row>
    <row r="138" spans="1:31" s="73" customFormat="1">
      <c r="A138" s="241"/>
      <c r="B138" s="242"/>
      <c r="C138" s="243"/>
      <c r="D138" s="244"/>
      <c r="E138" s="244"/>
      <c r="F138" s="244"/>
      <c r="G138" s="244"/>
      <c r="H138" s="244"/>
      <c r="I138" s="243"/>
      <c r="J138" s="243"/>
      <c r="K138" s="244"/>
      <c r="L138" s="244"/>
      <c r="M138" s="244"/>
      <c r="N138" s="243"/>
      <c r="O138" s="243"/>
      <c r="P138" s="244"/>
      <c r="Q138" s="243"/>
      <c r="R138" s="243"/>
      <c r="S138" s="243"/>
      <c r="T138" s="312"/>
      <c r="U138" s="312"/>
      <c r="V138" s="312"/>
      <c r="W138" s="312"/>
      <c r="X138" s="312"/>
      <c r="Y138" s="312"/>
      <c r="Z138" s="312"/>
      <c r="AA138" s="358"/>
      <c r="AB138" s="444"/>
      <c r="AC138" s="444"/>
      <c r="AD138" s="444"/>
      <c r="AE138" s="334"/>
    </row>
    <row r="139" spans="1:31" s="73" customFormat="1">
      <c r="A139" s="241"/>
      <c r="B139" s="245"/>
      <c r="C139" s="253"/>
      <c r="D139" s="254"/>
      <c r="E139" s="254"/>
      <c r="F139" s="254"/>
      <c r="G139" s="254"/>
      <c r="H139" s="254"/>
      <c r="I139" s="253"/>
      <c r="J139" s="253"/>
      <c r="K139" s="254"/>
      <c r="L139" s="254"/>
      <c r="M139" s="254"/>
      <c r="N139" s="253"/>
      <c r="O139" s="356"/>
      <c r="P139" s="254"/>
      <c r="Q139" s="253"/>
      <c r="R139" s="253"/>
      <c r="S139" s="253"/>
      <c r="T139" s="313"/>
      <c r="U139" s="313"/>
      <c r="V139" s="313"/>
      <c r="W139" s="313"/>
      <c r="X139" s="313"/>
      <c r="Y139" s="313"/>
      <c r="Z139" s="313"/>
      <c r="AA139" s="359"/>
      <c r="AB139" s="445"/>
      <c r="AC139" s="445"/>
      <c r="AD139" s="445"/>
      <c r="AE139" s="334"/>
    </row>
    <row r="140" spans="1:31" s="73" customFormat="1">
      <c r="A140" s="241"/>
      <c r="B140" s="242"/>
      <c r="C140" s="243"/>
      <c r="D140" s="244"/>
      <c r="E140" s="244"/>
      <c r="F140" s="244"/>
      <c r="G140" s="244"/>
      <c r="H140" s="244"/>
      <c r="I140" s="243"/>
      <c r="J140" s="243"/>
      <c r="K140" s="244"/>
      <c r="L140" s="244"/>
      <c r="M140" s="244"/>
      <c r="N140" s="243"/>
      <c r="O140" s="314"/>
      <c r="P140" s="244"/>
      <c r="Q140" s="243"/>
      <c r="R140" s="243"/>
      <c r="S140" s="243"/>
      <c r="T140" s="312"/>
      <c r="U140" s="312"/>
      <c r="V140" s="312"/>
      <c r="W140" s="312"/>
      <c r="X140" s="312"/>
      <c r="Y140" s="312"/>
      <c r="Z140" s="312"/>
      <c r="AA140" s="360"/>
      <c r="AB140" s="444"/>
      <c r="AC140" s="444"/>
      <c r="AD140" s="444"/>
      <c r="AE140" s="334"/>
    </row>
    <row r="141" spans="1:31" s="73" customFormat="1">
      <c r="A141" s="241"/>
      <c r="B141" s="242"/>
      <c r="C141" s="243"/>
      <c r="D141" s="244"/>
      <c r="E141" s="244"/>
      <c r="F141" s="244"/>
      <c r="G141" s="244"/>
      <c r="H141" s="244"/>
      <c r="I141" s="243"/>
      <c r="J141" s="243"/>
      <c r="K141" s="244"/>
      <c r="L141" s="244"/>
      <c r="M141" s="244"/>
      <c r="N141" s="243"/>
      <c r="O141" s="314"/>
      <c r="P141" s="244"/>
      <c r="Q141" s="243"/>
      <c r="R141" s="243"/>
      <c r="S141" s="243"/>
      <c r="T141" s="312"/>
      <c r="U141" s="312"/>
      <c r="V141" s="312"/>
      <c r="W141" s="312"/>
      <c r="X141" s="312"/>
      <c r="Y141" s="312"/>
      <c r="Z141" s="312"/>
      <c r="AA141" s="360"/>
      <c r="AB141" s="444"/>
      <c r="AC141" s="444"/>
      <c r="AD141" s="444"/>
      <c r="AE141" s="334"/>
    </row>
    <row r="142" spans="1:31" s="73" customFormat="1">
      <c r="A142" s="241"/>
      <c r="B142" s="245"/>
      <c r="C142" s="253"/>
      <c r="D142" s="254"/>
      <c r="E142" s="254"/>
      <c r="F142" s="254"/>
      <c r="G142" s="254"/>
      <c r="H142" s="254"/>
      <c r="I142" s="253"/>
      <c r="J142" s="253"/>
      <c r="K142" s="254"/>
      <c r="L142" s="254"/>
      <c r="M142" s="254"/>
      <c r="N142" s="253"/>
      <c r="O142" s="356"/>
      <c r="P142" s="254"/>
      <c r="Q142" s="253"/>
      <c r="R142" s="253"/>
      <c r="S142" s="253"/>
      <c r="T142" s="313"/>
      <c r="U142" s="313"/>
      <c r="V142" s="313"/>
      <c r="W142" s="313"/>
      <c r="X142" s="313"/>
      <c r="Y142" s="313"/>
      <c r="Z142" s="313"/>
      <c r="AA142" s="359"/>
      <c r="AB142" s="445"/>
      <c r="AC142" s="445"/>
      <c r="AD142" s="445"/>
      <c r="AE142" s="334"/>
    </row>
    <row r="143" spans="1:31" s="73" customFormat="1">
      <c r="A143" s="241"/>
      <c r="B143" s="242"/>
      <c r="C143" s="243"/>
      <c r="D143" s="244"/>
      <c r="E143" s="244"/>
      <c r="F143" s="244"/>
      <c r="G143" s="244"/>
      <c r="H143" s="244"/>
      <c r="I143" s="243"/>
      <c r="J143" s="243"/>
      <c r="K143" s="244"/>
      <c r="L143" s="244"/>
      <c r="M143" s="244"/>
      <c r="N143" s="243"/>
      <c r="O143" s="314"/>
      <c r="P143" s="244"/>
      <c r="Q143" s="243"/>
      <c r="R143" s="243"/>
      <c r="S143" s="243"/>
      <c r="T143" s="312"/>
      <c r="U143" s="312"/>
      <c r="V143" s="312"/>
      <c r="W143" s="312"/>
      <c r="X143" s="312"/>
      <c r="Y143" s="312"/>
      <c r="Z143" s="312"/>
      <c r="AA143" s="360"/>
      <c r="AB143" s="444"/>
      <c r="AC143" s="444"/>
      <c r="AD143" s="444"/>
      <c r="AE143" s="334"/>
    </row>
    <row r="144" spans="1:31" s="73" customFormat="1">
      <c r="A144" s="241"/>
      <c r="B144" s="242"/>
      <c r="C144" s="243"/>
      <c r="D144" s="244"/>
      <c r="E144" s="244"/>
      <c r="F144" s="244"/>
      <c r="G144" s="244"/>
      <c r="H144" s="244"/>
      <c r="I144" s="243"/>
      <c r="J144" s="243"/>
      <c r="K144" s="244"/>
      <c r="L144" s="244"/>
      <c r="M144" s="244"/>
      <c r="N144" s="243"/>
      <c r="O144" s="314"/>
      <c r="P144" s="244"/>
      <c r="Q144" s="243"/>
      <c r="R144" s="243"/>
      <c r="S144" s="243"/>
      <c r="T144" s="312"/>
      <c r="U144" s="312"/>
      <c r="V144" s="312"/>
      <c r="W144" s="312"/>
      <c r="X144" s="312"/>
      <c r="Y144" s="312"/>
      <c r="Z144" s="312"/>
      <c r="AA144" s="360"/>
      <c r="AB144" s="444"/>
      <c r="AC144" s="444"/>
      <c r="AD144" s="444"/>
      <c r="AE144" s="334"/>
    </row>
    <row r="145" spans="1:31" s="73" customFormat="1">
      <c r="A145" s="241"/>
      <c r="B145" s="245"/>
      <c r="C145" s="253"/>
      <c r="D145" s="254"/>
      <c r="E145" s="254"/>
      <c r="F145" s="254"/>
      <c r="G145" s="254"/>
      <c r="H145" s="254"/>
      <c r="I145" s="253"/>
      <c r="J145" s="253"/>
      <c r="K145" s="254"/>
      <c r="L145" s="254"/>
      <c r="M145" s="254"/>
      <c r="N145" s="253"/>
      <c r="O145" s="356"/>
      <c r="P145" s="254"/>
      <c r="Q145" s="253"/>
      <c r="R145" s="253"/>
      <c r="S145" s="253"/>
      <c r="T145" s="313"/>
      <c r="U145" s="313"/>
      <c r="V145" s="313"/>
      <c r="W145" s="313"/>
      <c r="X145" s="313"/>
      <c r="Y145" s="313"/>
      <c r="Z145" s="313"/>
      <c r="AA145" s="359"/>
      <c r="AB145" s="445"/>
      <c r="AC145" s="445"/>
      <c r="AD145" s="445"/>
      <c r="AE145" s="334"/>
    </row>
    <row r="146" spans="1:31" s="73" customFormat="1">
      <c r="A146" s="241"/>
      <c r="B146" s="242"/>
      <c r="C146" s="243"/>
      <c r="D146" s="244"/>
      <c r="E146" s="244"/>
      <c r="F146" s="244"/>
      <c r="G146" s="244"/>
      <c r="H146" s="244"/>
      <c r="I146" s="243"/>
      <c r="J146" s="243"/>
      <c r="K146" s="244"/>
      <c r="L146" s="244"/>
      <c r="M146" s="244"/>
      <c r="N146" s="243"/>
      <c r="O146" s="314"/>
      <c r="P146" s="244"/>
      <c r="Q146" s="243"/>
      <c r="R146" s="243"/>
      <c r="S146" s="243"/>
      <c r="T146" s="312"/>
      <c r="U146" s="312"/>
      <c r="V146" s="312"/>
      <c r="W146" s="312"/>
      <c r="X146" s="312"/>
      <c r="Y146" s="312"/>
      <c r="Z146" s="312"/>
      <c r="AA146" s="360"/>
      <c r="AB146" s="444"/>
      <c r="AC146" s="444"/>
      <c r="AD146" s="444"/>
      <c r="AE146" s="334"/>
    </row>
    <row r="147" spans="1:31" s="73" customFormat="1">
      <c r="A147" s="241"/>
      <c r="B147" s="242"/>
      <c r="C147" s="243"/>
      <c r="D147" s="244"/>
      <c r="E147" s="244"/>
      <c r="F147" s="244"/>
      <c r="G147" s="244"/>
      <c r="H147" s="244"/>
      <c r="I147" s="243"/>
      <c r="J147" s="243"/>
      <c r="K147" s="244"/>
      <c r="L147" s="244"/>
      <c r="M147" s="244"/>
      <c r="N147" s="243"/>
      <c r="O147" s="314"/>
      <c r="P147" s="244"/>
      <c r="Q147" s="243"/>
      <c r="R147" s="243"/>
      <c r="S147" s="243"/>
      <c r="T147" s="312"/>
      <c r="U147" s="312"/>
      <c r="V147" s="312"/>
      <c r="W147" s="312"/>
      <c r="X147" s="312"/>
      <c r="Y147" s="312"/>
      <c r="Z147" s="312"/>
      <c r="AA147" s="360"/>
      <c r="AB147" s="444"/>
      <c r="AC147" s="444"/>
      <c r="AD147" s="444"/>
      <c r="AE147" s="334"/>
    </row>
    <row r="148" spans="1:31" s="73" customFormat="1">
      <c r="A148" s="246"/>
      <c r="B148" s="311"/>
      <c r="C148" s="253"/>
      <c r="D148" s="254"/>
      <c r="E148" s="254"/>
      <c r="F148" s="254"/>
      <c r="G148" s="254"/>
      <c r="H148" s="254"/>
      <c r="I148" s="253"/>
      <c r="J148" s="253"/>
      <c r="K148" s="254"/>
      <c r="L148" s="254"/>
      <c r="M148" s="254"/>
      <c r="N148" s="253"/>
      <c r="O148" s="356"/>
      <c r="P148" s="254"/>
      <c r="Q148" s="253"/>
      <c r="R148" s="253"/>
      <c r="S148" s="253"/>
      <c r="T148" s="313"/>
      <c r="U148" s="313"/>
      <c r="V148" s="313"/>
      <c r="W148" s="313"/>
      <c r="X148" s="313"/>
      <c r="Y148" s="313"/>
      <c r="Z148" s="313"/>
      <c r="AA148" s="359"/>
      <c r="AB148" s="445"/>
      <c r="AC148" s="445"/>
      <c r="AD148" s="445"/>
      <c r="AE148" s="334"/>
    </row>
    <row r="149" spans="1:31" s="73" customFormat="1">
      <c r="A149" s="342"/>
      <c r="B149" s="340"/>
      <c r="C149" s="337"/>
      <c r="D149" s="341"/>
      <c r="E149" s="341"/>
      <c r="F149" s="341"/>
      <c r="G149" s="341"/>
      <c r="H149" s="341"/>
      <c r="I149" s="337"/>
      <c r="J149" s="337"/>
      <c r="K149" s="341"/>
      <c r="L149" s="341"/>
      <c r="M149" s="341"/>
      <c r="N149" s="337"/>
      <c r="O149" s="337"/>
      <c r="P149" s="341"/>
      <c r="Q149" s="337"/>
      <c r="R149" s="337"/>
      <c r="S149" s="337"/>
      <c r="T149" s="349"/>
      <c r="U149" s="349"/>
      <c r="V149" s="349"/>
      <c r="W149" s="349"/>
      <c r="X149" s="349"/>
      <c r="Y149" s="349"/>
      <c r="Z149" s="349"/>
      <c r="AA149" s="357"/>
      <c r="AB149" s="444"/>
      <c r="AC149" s="444"/>
      <c r="AD149" s="444"/>
      <c r="AE149" s="334"/>
    </row>
    <row r="150" spans="1:31" s="73" customFormat="1">
      <c r="A150" s="241"/>
      <c r="B150" s="242"/>
      <c r="C150" s="243"/>
      <c r="D150" s="244"/>
      <c r="E150" s="244"/>
      <c r="F150" s="244"/>
      <c r="G150" s="244"/>
      <c r="H150" s="244"/>
      <c r="I150" s="243"/>
      <c r="J150" s="243"/>
      <c r="K150" s="244"/>
      <c r="L150" s="244"/>
      <c r="M150" s="244"/>
      <c r="N150" s="243"/>
      <c r="O150" s="243"/>
      <c r="P150" s="244"/>
      <c r="Q150" s="243"/>
      <c r="R150" s="243"/>
      <c r="S150" s="243"/>
      <c r="T150" s="312"/>
      <c r="U150" s="312"/>
      <c r="V150" s="312"/>
      <c r="W150" s="312"/>
      <c r="X150" s="312"/>
      <c r="Y150" s="312"/>
      <c r="Z150" s="312"/>
      <c r="AA150" s="358"/>
      <c r="AB150" s="444"/>
      <c r="AC150" s="444"/>
      <c r="AD150" s="444"/>
      <c r="AE150" s="334"/>
    </row>
    <row r="151" spans="1:31" s="73" customFormat="1">
      <c r="A151" s="241"/>
      <c r="B151" s="245"/>
      <c r="C151" s="253"/>
      <c r="D151" s="254"/>
      <c r="E151" s="254"/>
      <c r="F151" s="254"/>
      <c r="G151" s="254"/>
      <c r="H151" s="254"/>
      <c r="I151" s="253"/>
      <c r="J151" s="253"/>
      <c r="K151" s="254"/>
      <c r="L151" s="254"/>
      <c r="M151" s="254"/>
      <c r="N151" s="253"/>
      <c r="O151" s="356"/>
      <c r="P151" s="254"/>
      <c r="Q151" s="253"/>
      <c r="R151" s="253"/>
      <c r="S151" s="253"/>
      <c r="T151" s="313"/>
      <c r="U151" s="313"/>
      <c r="V151" s="313"/>
      <c r="W151" s="313"/>
      <c r="X151" s="313"/>
      <c r="Y151" s="313"/>
      <c r="Z151" s="313"/>
      <c r="AA151" s="359"/>
      <c r="AB151" s="445"/>
      <c r="AC151" s="445"/>
      <c r="AD151" s="445"/>
      <c r="AE151" s="334"/>
    </row>
    <row r="152" spans="1:31" s="73" customFormat="1">
      <c r="A152" s="241"/>
      <c r="B152" s="242"/>
      <c r="C152" s="243"/>
      <c r="D152" s="244"/>
      <c r="E152" s="244"/>
      <c r="F152" s="244"/>
      <c r="G152" s="244"/>
      <c r="H152" s="244"/>
      <c r="I152" s="243"/>
      <c r="J152" s="243"/>
      <c r="K152" s="244"/>
      <c r="L152" s="244"/>
      <c r="M152" s="244"/>
      <c r="N152" s="243"/>
      <c r="O152" s="314"/>
      <c r="P152" s="244"/>
      <c r="Q152" s="243"/>
      <c r="R152" s="243"/>
      <c r="S152" s="243"/>
      <c r="T152" s="312"/>
      <c r="U152" s="312"/>
      <c r="V152" s="312"/>
      <c r="W152" s="312"/>
      <c r="X152" s="312"/>
      <c r="Y152" s="312"/>
      <c r="Z152" s="312"/>
      <c r="AA152" s="360"/>
      <c r="AB152" s="444"/>
      <c r="AC152" s="444"/>
      <c r="AD152" s="444"/>
      <c r="AE152" s="334"/>
    </row>
    <row r="153" spans="1:31" s="73" customFormat="1">
      <c r="A153" s="241"/>
      <c r="B153" s="242"/>
      <c r="C153" s="243"/>
      <c r="D153" s="244"/>
      <c r="E153" s="244"/>
      <c r="F153" s="244"/>
      <c r="G153" s="244"/>
      <c r="H153" s="244"/>
      <c r="I153" s="243"/>
      <c r="J153" s="243"/>
      <c r="K153" s="244"/>
      <c r="L153" s="244"/>
      <c r="M153" s="244"/>
      <c r="N153" s="243"/>
      <c r="O153" s="314"/>
      <c r="P153" s="244"/>
      <c r="Q153" s="243"/>
      <c r="R153" s="243"/>
      <c r="S153" s="243"/>
      <c r="T153" s="312"/>
      <c r="U153" s="312"/>
      <c r="V153" s="312"/>
      <c r="W153" s="312"/>
      <c r="X153" s="312"/>
      <c r="Y153" s="312"/>
      <c r="Z153" s="312"/>
      <c r="AA153" s="360"/>
      <c r="AB153" s="444"/>
      <c r="AC153" s="444"/>
      <c r="AD153" s="444"/>
      <c r="AE153" s="334"/>
    </row>
    <row r="154" spans="1:31" s="73" customFormat="1">
      <c r="A154" s="241"/>
      <c r="B154" s="245"/>
      <c r="C154" s="253"/>
      <c r="D154" s="254"/>
      <c r="E154" s="254"/>
      <c r="F154" s="254"/>
      <c r="G154" s="254"/>
      <c r="H154" s="254"/>
      <c r="I154" s="253"/>
      <c r="J154" s="253"/>
      <c r="K154" s="254"/>
      <c r="L154" s="254"/>
      <c r="M154" s="254"/>
      <c r="N154" s="253"/>
      <c r="O154" s="356"/>
      <c r="P154" s="254"/>
      <c r="Q154" s="253"/>
      <c r="R154" s="253"/>
      <c r="S154" s="253"/>
      <c r="T154" s="313"/>
      <c r="U154" s="313"/>
      <c r="V154" s="313"/>
      <c r="W154" s="313"/>
      <c r="X154" s="313"/>
      <c r="Y154" s="313"/>
      <c r="Z154" s="313"/>
      <c r="AA154" s="359"/>
      <c r="AB154" s="445"/>
      <c r="AC154" s="445"/>
      <c r="AD154" s="445"/>
      <c r="AE154" s="334"/>
    </row>
    <row r="155" spans="1:31" s="73" customFormat="1">
      <c r="A155" s="241"/>
      <c r="B155" s="242"/>
      <c r="C155" s="243"/>
      <c r="D155" s="244"/>
      <c r="E155" s="244"/>
      <c r="F155" s="244"/>
      <c r="G155" s="244"/>
      <c r="H155" s="244"/>
      <c r="I155" s="243"/>
      <c r="J155" s="243"/>
      <c r="K155" s="244"/>
      <c r="L155" s="244"/>
      <c r="M155" s="244"/>
      <c r="N155" s="243"/>
      <c r="O155" s="314"/>
      <c r="P155" s="244"/>
      <c r="Q155" s="243"/>
      <c r="R155" s="243"/>
      <c r="S155" s="243"/>
      <c r="T155" s="312"/>
      <c r="U155" s="312"/>
      <c r="V155" s="312"/>
      <c r="W155" s="312"/>
      <c r="X155" s="312"/>
      <c r="Y155" s="312"/>
      <c r="Z155" s="312"/>
      <c r="AA155" s="360"/>
      <c r="AB155" s="444"/>
      <c r="AC155" s="444"/>
      <c r="AD155" s="444"/>
      <c r="AE155" s="334"/>
    </row>
    <row r="156" spans="1:31" s="73" customFormat="1">
      <c r="A156" s="241"/>
      <c r="B156" s="242"/>
      <c r="C156" s="243"/>
      <c r="D156" s="244"/>
      <c r="E156" s="244"/>
      <c r="F156" s="244"/>
      <c r="G156" s="244"/>
      <c r="H156" s="244"/>
      <c r="I156" s="243"/>
      <c r="J156" s="243"/>
      <c r="K156" s="244"/>
      <c r="L156" s="244"/>
      <c r="M156" s="244"/>
      <c r="N156" s="243"/>
      <c r="O156" s="314"/>
      <c r="P156" s="244"/>
      <c r="Q156" s="243"/>
      <c r="R156" s="243"/>
      <c r="S156" s="243"/>
      <c r="T156" s="312"/>
      <c r="U156" s="312"/>
      <c r="V156" s="312"/>
      <c r="W156" s="312"/>
      <c r="X156" s="312"/>
      <c r="Y156" s="312"/>
      <c r="Z156" s="312"/>
      <c r="AA156" s="360"/>
      <c r="AB156" s="444"/>
      <c r="AC156" s="444"/>
      <c r="AD156" s="444"/>
      <c r="AE156" s="334"/>
    </row>
    <row r="157" spans="1:31" s="73" customFormat="1">
      <c r="A157" s="241"/>
      <c r="B157" s="245"/>
      <c r="C157" s="253"/>
      <c r="D157" s="254"/>
      <c r="E157" s="254"/>
      <c r="F157" s="254"/>
      <c r="G157" s="254"/>
      <c r="H157" s="254"/>
      <c r="I157" s="253"/>
      <c r="J157" s="253"/>
      <c r="K157" s="254"/>
      <c r="L157" s="254"/>
      <c r="M157" s="254"/>
      <c r="N157" s="253"/>
      <c r="O157" s="356"/>
      <c r="P157" s="254"/>
      <c r="Q157" s="253"/>
      <c r="R157" s="253"/>
      <c r="S157" s="253"/>
      <c r="T157" s="313"/>
      <c r="U157" s="313"/>
      <c r="V157" s="313"/>
      <c r="W157" s="313"/>
      <c r="X157" s="313"/>
      <c r="Y157" s="313"/>
      <c r="Z157" s="313"/>
      <c r="AA157" s="359"/>
      <c r="AB157" s="445"/>
      <c r="AC157" s="445"/>
      <c r="AD157" s="445"/>
      <c r="AE157" s="334"/>
    </row>
    <row r="158" spans="1:31" s="73" customFormat="1">
      <c r="A158" s="241"/>
      <c r="B158" s="242"/>
      <c r="C158" s="243"/>
      <c r="D158" s="244"/>
      <c r="E158" s="244"/>
      <c r="F158" s="244"/>
      <c r="G158" s="244"/>
      <c r="H158" s="244"/>
      <c r="I158" s="243"/>
      <c r="J158" s="243"/>
      <c r="K158" s="244"/>
      <c r="L158" s="244"/>
      <c r="M158" s="244"/>
      <c r="N158" s="243"/>
      <c r="O158" s="314"/>
      <c r="P158" s="244"/>
      <c r="Q158" s="243"/>
      <c r="R158" s="243"/>
      <c r="S158" s="243"/>
      <c r="T158" s="312"/>
      <c r="U158" s="312"/>
      <c r="V158" s="312"/>
      <c r="W158" s="312"/>
      <c r="X158" s="312"/>
      <c r="Y158" s="312"/>
      <c r="Z158" s="312"/>
      <c r="AA158" s="360"/>
      <c r="AB158" s="444"/>
      <c r="AC158" s="444"/>
      <c r="AD158" s="444"/>
      <c r="AE158" s="334"/>
    </row>
    <row r="159" spans="1:31" s="73" customFormat="1">
      <c r="A159" s="241"/>
      <c r="B159" s="242"/>
      <c r="C159" s="243"/>
      <c r="D159" s="244"/>
      <c r="E159" s="244"/>
      <c r="F159" s="244"/>
      <c r="G159" s="244"/>
      <c r="H159" s="244"/>
      <c r="I159" s="243"/>
      <c r="J159" s="243"/>
      <c r="K159" s="244"/>
      <c r="L159" s="244"/>
      <c r="M159" s="244"/>
      <c r="N159" s="243"/>
      <c r="O159" s="314"/>
      <c r="P159" s="244"/>
      <c r="Q159" s="243"/>
      <c r="R159" s="243"/>
      <c r="S159" s="243"/>
      <c r="T159" s="312"/>
      <c r="U159" s="312"/>
      <c r="V159" s="312"/>
      <c r="W159" s="312"/>
      <c r="X159" s="312"/>
      <c r="Y159" s="312"/>
      <c r="Z159" s="312"/>
      <c r="AA159" s="360"/>
      <c r="AB159" s="444"/>
      <c r="AC159" s="444"/>
      <c r="AD159" s="444"/>
      <c r="AE159" s="334"/>
    </row>
    <row r="160" spans="1:31" s="73" customFormat="1">
      <c r="A160" s="246"/>
      <c r="B160" s="311"/>
      <c r="C160" s="253"/>
      <c r="D160" s="254"/>
      <c r="E160" s="254"/>
      <c r="F160" s="254"/>
      <c r="G160" s="254"/>
      <c r="H160" s="254"/>
      <c r="I160" s="253"/>
      <c r="J160" s="253"/>
      <c r="K160" s="254"/>
      <c r="L160" s="254"/>
      <c r="M160" s="254"/>
      <c r="N160" s="253"/>
      <c r="O160" s="356"/>
      <c r="P160" s="254"/>
      <c r="Q160" s="253"/>
      <c r="R160" s="253"/>
      <c r="S160" s="253"/>
      <c r="T160" s="313"/>
      <c r="U160" s="313"/>
      <c r="V160" s="313"/>
      <c r="W160" s="313"/>
      <c r="X160" s="313"/>
      <c r="Y160" s="313"/>
      <c r="Z160" s="313"/>
      <c r="AA160" s="359"/>
      <c r="AB160" s="445"/>
      <c r="AC160" s="445"/>
      <c r="AD160" s="445"/>
      <c r="AE160" s="334"/>
    </row>
    <row r="161" spans="1:31" s="73" customFormat="1">
      <c r="A161" s="342"/>
      <c r="B161" s="340"/>
      <c r="C161" s="337"/>
      <c r="D161" s="341"/>
      <c r="E161" s="341"/>
      <c r="F161" s="341"/>
      <c r="G161" s="341"/>
      <c r="H161" s="341"/>
      <c r="I161" s="337"/>
      <c r="J161" s="337"/>
      <c r="K161" s="341"/>
      <c r="L161" s="341"/>
      <c r="M161" s="341"/>
      <c r="N161" s="337"/>
      <c r="O161" s="337"/>
      <c r="P161" s="341"/>
      <c r="Q161" s="337"/>
      <c r="R161" s="337"/>
      <c r="S161" s="337"/>
      <c r="T161" s="349"/>
      <c r="U161" s="349"/>
      <c r="V161" s="349"/>
      <c r="W161" s="349"/>
      <c r="X161" s="349"/>
      <c r="Y161" s="349"/>
      <c r="Z161" s="349"/>
      <c r="AA161" s="357"/>
      <c r="AB161" s="444"/>
      <c r="AC161" s="444"/>
      <c r="AD161" s="444"/>
      <c r="AE161" s="334"/>
    </row>
    <row r="162" spans="1:31" s="73" customFormat="1">
      <c r="A162" s="241"/>
      <c r="B162" s="242"/>
      <c r="C162" s="243"/>
      <c r="D162" s="244"/>
      <c r="E162" s="244"/>
      <c r="F162" s="244"/>
      <c r="G162" s="244"/>
      <c r="H162" s="244"/>
      <c r="I162" s="243"/>
      <c r="J162" s="243"/>
      <c r="K162" s="244"/>
      <c r="L162" s="244"/>
      <c r="M162" s="244"/>
      <c r="N162" s="243"/>
      <c r="O162" s="243"/>
      <c r="P162" s="244"/>
      <c r="Q162" s="243"/>
      <c r="R162" s="243"/>
      <c r="S162" s="243"/>
      <c r="T162" s="312"/>
      <c r="U162" s="312"/>
      <c r="V162" s="312"/>
      <c r="W162" s="312"/>
      <c r="X162" s="312"/>
      <c r="Y162" s="312"/>
      <c r="Z162" s="312"/>
      <c r="AA162" s="358"/>
      <c r="AB162" s="444"/>
      <c r="AC162" s="444"/>
      <c r="AD162" s="444"/>
      <c r="AE162" s="334"/>
    </row>
    <row r="163" spans="1:31" s="73" customFormat="1">
      <c r="A163" s="241"/>
      <c r="B163" s="245"/>
      <c r="C163" s="253"/>
      <c r="D163" s="254"/>
      <c r="E163" s="254"/>
      <c r="F163" s="254"/>
      <c r="G163" s="254"/>
      <c r="H163" s="254"/>
      <c r="I163" s="253"/>
      <c r="J163" s="253"/>
      <c r="K163" s="254"/>
      <c r="L163" s="254"/>
      <c r="M163" s="254"/>
      <c r="N163" s="253"/>
      <c r="O163" s="356"/>
      <c r="P163" s="254"/>
      <c r="Q163" s="253"/>
      <c r="R163" s="253"/>
      <c r="S163" s="253"/>
      <c r="T163" s="313"/>
      <c r="U163" s="313"/>
      <c r="V163" s="313"/>
      <c r="W163" s="313"/>
      <c r="X163" s="313"/>
      <c r="Y163" s="313"/>
      <c r="Z163" s="313"/>
      <c r="AA163" s="359"/>
      <c r="AB163" s="445"/>
      <c r="AC163" s="445"/>
      <c r="AD163" s="445"/>
      <c r="AE163" s="334"/>
    </row>
    <row r="164" spans="1:31" s="73" customFormat="1">
      <c r="A164" s="241"/>
      <c r="B164" s="242"/>
      <c r="C164" s="243"/>
      <c r="D164" s="244"/>
      <c r="E164" s="244"/>
      <c r="F164" s="244"/>
      <c r="G164" s="244"/>
      <c r="H164" s="244"/>
      <c r="I164" s="243"/>
      <c r="J164" s="243"/>
      <c r="K164" s="244"/>
      <c r="L164" s="244"/>
      <c r="M164" s="244"/>
      <c r="N164" s="243"/>
      <c r="O164" s="314"/>
      <c r="P164" s="244"/>
      <c r="Q164" s="243"/>
      <c r="R164" s="243"/>
      <c r="S164" s="243"/>
      <c r="T164" s="312"/>
      <c r="U164" s="312"/>
      <c r="V164" s="312"/>
      <c r="W164" s="312"/>
      <c r="X164" s="312"/>
      <c r="Y164" s="312"/>
      <c r="Z164" s="312"/>
      <c r="AA164" s="360"/>
      <c r="AB164" s="444"/>
      <c r="AC164" s="444"/>
      <c r="AD164" s="444"/>
      <c r="AE164" s="334"/>
    </row>
    <row r="165" spans="1:31" s="73" customFormat="1">
      <c r="A165" s="241"/>
      <c r="B165" s="242"/>
      <c r="C165" s="243"/>
      <c r="D165" s="244"/>
      <c r="E165" s="244"/>
      <c r="F165" s="244"/>
      <c r="G165" s="244"/>
      <c r="H165" s="244"/>
      <c r="I165" s="243"/>
      <c r="J165" s="243"/>
      <c r="K165" s="244"/>
      <c r="L165" s="244"/>
      <c r="M165" s="244"/>
      <c r="N165" s="243"/>
      <c r="O165" s="314"/>
      <c r="P165" s="244"/>
      <c r="Q165" s="243"/>
      <c r="R165" s="243"/>
      <c r="S165" s="243"/>
      <c r="T165" s="312"/>
      <c r="U165" s="312"/>
      <c r="V165" s="312"/>
      <c r="W165" s="312"/>
      <c r="X165" s="312"/>
      <c r="Y165" s="312"/>
      <c r="Z165" s="312"/>
      <c r="AA165" s="360"/>
      <c r="AB165" s="444"/>
      <c r="AC165" s="444"/>
      <c r="AD165" s="444"/>
      <c r="AE165" s="334"/>
    </row>
    <row r="166" spans="1:31" s="73" customFormat="1">
      <c r="A166" s="241"/>
      <c r="B166" s="245"/>
      <c r="C166" s="253"/>
      <c r="D166" s="254"/>
      <c r="E166" s="254"/>
      <c r="F166" s="254"/>
      <c r="G166" s="254"/>
      <c r="H166" s="254"/>
      <c r="I166" s="253"/>
      <c r="J166" s="509"/>
      <c r="K166" s="254"/>
      <c r="L166" s="254"/>
      <c r="M166" s="254"/>
      <c r="N166" s="253"/>
      <c r="O166" s="356"/>
      <c r="P166" s="254"/>
      <c r="Q166" s="253"/>
      <c r="R166" s="253"/>
      <c r="S166" s="253"/>
      <c r="T166" s="313"/>
      <c r="U166" s="313"/>
      <c r="V166" s="313"/>
      <c r="W166" s="313"/>
      <c r="X166" s="313"/>
      <c r="Y166" s="313"/>
      <c r="Z166" s="313"/>
      <c r="AA166" s="359"/>
      <c r="AB166" s="445"/>
      <c r="AC166" s="445"/>
      <c r="AD166" s="445"/>
      <c r="AE166" s="334"/>
    </row>
    <row r="167" spans="1:31" s="73" customFormat="1">
      <c r="A167" s="241"/>
      <c r="B167" s="242"/>
      <c r="C167" s="243"/>
      <c r="D167" s="244"/>
      <c r="E167" s="244"/>
      <c r="F167" s="244"/>
      <c r="G167" s="244"/>
      <c r="H167" s="244"/>
      <c r="I167" s="243"/>
      <c r="J167" s="243"/>
      <c r="K167" s="244"/>
      <c r="L167" s="244"/>
      <c r="M167" s="244"/>
      <c r="N167" s="243"/>
      <c r="O167" s="314"/>
      <c r="P167" s="244"/>
      <c r="Q167" s="243"/>
      <c r="R167" s="243"/>
      <c r="S167" s="243"/>
      <c r="T167" s="312"/>
      <c r="U167" s="312"/>
      <c r="V167" s="312"/>
      <c r="W167" s="312"/>
      <c r="X167" s="312"/>
      <c r="Y167" s="312"/>
      <c r="Z167" s="312"/>
      <c r="AA167" s="360"/>
      <c r="AB167" s="444"/>
      <c r="AC167" s="444"/>
      <c r="AD167" s="444"/>
      <c r="AE167" s="334"/>
    </row>
    <row r="168" spans="1:31" s="73" customFormat="1">
      <c r="A168" s="241"/>
      <c r="B168" s="242"/>
      <c r="C168" s="243"/>
      <c r="D168" s="244"/>
      <c r="E168" s="244"/>
      <c r="F168" s="244"/>
      <c r="G168" s="244"/>
      <c r="H168" s="244"/>
      <c r="I168" s="243"/>
      <c r="J168" s="243"/>
      <c r="K168" s="244"/>
      <c r="L168" s="244"/>
      <c r="M168" s="244"/>
      <c r="N168" s="243"/>
      <c r="O168" s="314"/>
      <c r="P168" s="244"/>
      <c r="Q168" s="243"/>
      <c r="R168" s="243"/>
      <c r="S168" s="243"/>
      <c r="T168" s="312"/>
      <c r="U168" s="312"/>
      <c r="V168" s="312"/>
      <c r="W168" s="312"/>
      <c r="X168" s="312"/>
      <c r="Y168" s="312"/>
      <c r="Z168" s="312"/>
      <c r="AA168" s="360"/>
      <c r="AB168" s="444"/>
      <c r="AC168" s="444"/>
      <c r="AD168" s="444"/>
      <c r="AE168" s="334"/>
    </row>
    <row r="169" spans="1:31" s="73" customFormat="1">
      <c r="A169" s="241"/>
      <c r="B169" s="245"/>
      <c r="C169" s="253"/>
      <c r="D169" s="254"/>
      <c r="E169" s="254"/>
      <c r="F169" s="254"/>
      <c r="G169" s="510"/>
      <c r="H169" s="254"/>
      <c r="I169" s="253"/>
      <c r="J169" s="253"/>
      <c r="K169" s="254"/>
      <c r="L169" s="254"/>
      <c r="M169" s="254"/>
      <c r="N169" s="253"/>
      <c r="O169" s="356"/>
      <c r="P169" s="254"/>
      <c r="Q169" s="253"/>
      <c r="R169" s="253"/>
      <c r="S169" s="253"/>
      <c r="T169" s="313"/>
      <c r="U169" s="313"/>
      <c r="V169" s="313"/>
      <c r="W169" s="313"/>
      <c r="X169" s="313"/>
      <c r="Y169" s="313"/>
      <c r="Z169" s="313"/>
      <c r="AA169" s="359"/>
      <c r="AB169" s="445"/>
      <c r="AC169" s="445"/>
      <c r="AD169" s="445"/>
      <c r="AE169" s="334"/>
    </row>
    <row r="170" spans="1:31" s="73" customFormat="1">
      <c r="A170" s="241"/>
      <c r="B170" s="242"/>
      <c r="C170" s="243"/>
      <c r="D170" s="244"/>
      <c r="E170" s="244"/>
      <c r="F170" s="244"/>
      <c r="G170" s="244"/>
      <c r="H170" s="244"/>
      <c r="I170" s="243"/>
      <c r="J170" s="243"/>
      <c r="K170" s="244"/>
      <c r="L170" s="244"/>
      <c r="M170" s="244"/>
      <c r="N170" s="243"/>
      <c r="O170" s="314"/>
      <c r="P170" s="244"/>
      <c r="Q170" s="243"/>
      <c r="R170" s="243"/>
      <c r="S170" s="243"/>
      <c r="T170" s="312"/>
      <c r="U170" s="312"/>
      <c r="V170" s="312"/>
      <c r="W170" s="312"/>
      <c r="X170" s="312"/>
      <c r="Y170" s="312"/>
      <c r="Z170" s="312"/>
      <c r="AA170" s="360"/>
      <c r="AB170" s="444"/>
      <c r="AC170" s="444"/>
      <c r="AD170" s="444"/>
      <c r="AE170" s="334"/>
    </row>
    <row r="171" spans="1:31" s="73" customFormat="1">
      <c r="A171" s="241"/>
      <c r="B171" s="242"/>
      <c r="C171" s="243"/>
      <c r="D171" s="244"/>
      <c r="E171" s="244"/>
      <c r="F171" s="244"/>
      <c r="G171" s="244"/>
      <c r="H171" s="244"/>
      <c r="I171" s="243"/>
      <c r="J171" s="243"/>
      <c r="K171" s="244"/>
      <c r="L171" s="244"/>
      <c r="M171" s="244"/>
      <c r="N171" s="243"/>
      <c r="O171" s="314"/>
      <c r="P171" s="244"/>
      <c r="Q171" s="243"/>
      <c r="R171" s="243"/>
      <c r="S171" s="243"/>
      <c r="T171" s="312"/>
      <c r="U171" s="312"/>
      <c r="V171" s="312"/>
      <c r="W171" s="312"/>
      <c r="X171" s="312"/>
      <c r="Y171" s="312"/>
      <c r="Z171" s="312"/>
      <c r="AA171" s="360"/>
      <c r="AB171" s="444"/>
      <c r="AC171" s="444"/>
      <c r="AD171" s="444"/>
      <c r="AE171" s="334"/>
    </row>
    <row r="172" spans="1:31" s="73" customFormat="1">
      <c r="A172" s="246"/>
      <c r="B172" s="311"/>
      <c r="C172" s="253"/>
      <c r="D172" s="254"/>
      <c r="E172" s="254"/>
      <c r="F172" s="254"/>
      <c r="G172" s="254"/>
      <c r="H172" s="254"/>
      <c r="I172" s="253"/>
      <c r="J172" s="253"/>
      <c r="K172" s="254"/>
      <c r="L172" s="254"/>
      <c r="M172" s="254"/>
      <c r="N172" s="253"/>
      <c r="O172" s="356"/>
      <c r="P172" s="254"/>
      <c r="Q172" s="253"/>
      <c r="R172" s="253"/>
      <c r="S172" s="253"/>
      <c r="T172" s="313"/>
      <c r="U172" s="313"/>
      <c r="V172" s="313"/>
      <c r="W172" s="313"/>
      <c r="X172" s="313"/>
      <c r="Y172" s="313"/>
      <c r="Z172" s="313"/>
      <c r="AA172" s="359"/>
      <c r="AB172" s="445"/>
      <c r="AC172" s="445"/>
      <c r="AD172" s="445"/>
      <c r="AE172" s="334"/>
    </row>
    <row r="173" spans="1:31" s="73" customFormat="1">
      <c r="A173" s="342"/>
      <c r="B173" s="340"/>
      <c r="C173" s="337"/>
      <c r="D173" s="341"/>
      <c r="E173" s="341"/>
      <c r="F173" s="341"/>
      <c r="G173" s="341"/>
      <c r="H173" s="341"/>
      <c r="I173" s="337"/>
      <c r="J173" s="337"/>
      <c r="K173" s="341"/>
      <c r="L173" s="341"/>
      <c r="M173" s="341"/>
      <c r="N173" s="337"/>
      <c r="O173" s="337"/>
      <c r="P173" s="341"/>
      <c r="Q173" s="337"/>
      <c r="R173" s="337"/>
      <c r="S173" s="337"/>
      <c r="T173" s="349"/>
      <c r="U173" s="349"/>
      <c r="V173" s="349"/>
      <c r="W173" s="349"/>
      <c r="X173" s="349"/>
      <c r="Y173" s="349"/>
      <c r="Z173" s="349"/>
      <c r="AA173" s="357"/>
      <c r="AB173" s="444"/>
      <c r="AC173" s="444"/>
      <c r="AD173" s="444"/>
      <c r="AE173" s="334"/>
    </row>
    <row r="174" spans="1:31" s="73" customFormat="1">
      <c r="A174" s="241"/>
      <c r="B174" s="242"/>
      <c r="C174" s="243"/>
      <c r="D174" s="244"/>
      <c r="E174" s="244"/>
      <c r="F174" s="244"/>
      <c r="G174" s="244"/>
      <c r="H174" s="244"/>
      <c r="I174" s="243"/>
      <c r="J174" s="243"/>
      <c r="K174" s="244"/>
      <c r="L174" s="244"/>
      <c r="M174" s="244"/>
      <c r="N174" s="243"/>
      <c r="O174" s="243"/>
      <c r="P174" s="244"/>
      <c r="Q174" s="243"/>
      <c r="R174" s="243"/>
      <c r="S174" s="243"/>
      <c r="T174" s="312"/>
      <c r="U174" s="312"/>
      <c r="V174" s="312"/>
      <c r="W174" s="312"/>
      <c r="X174" s="312"/>
      <c r="Y174" s="312"/>
      <c r="Z174" s="312"/>
      <c r="AA174" s="358"/>
      <c r="AB174" s="444"/>
      <c r="AC174" s="444"/>
      <c r="AD174" s="444"/>
      <c r="AE174" s="334"/>
    </row>
    <row r="175" spans="1:31" s="73" customFormat="1">
      <c r="A175" s="241"/>
      <c r="B175" s="245"/>
      <c r="C175" s="253"/>
      <c r="D175" s="254"/>
      <c r="E175" s="254"/>
      <c r="F175" s="254"/>
      <c r="G175" s="254"/>
      <c r="H175" s="254"/>
      <c r="I175" s="253"/>
      <c r="J175" s="253"/>
      <c r="K175" s="254"/>
      <c r="L175" s="254"/>
      <c r="M175" s="254"/>
      <c r="N175" s="253"/>
      <c r="O175" s="356"/>
      <c r="P175" s="254"/>
      <c r="Q175" s="253"/>
      <c r="R175" s="253"/>
      <c r="S175" s="253"/>
      <c r="T175" s="313"/>
      <c r="U175" s="313"/>
      <c r="V175" s="313"/>
      <c r="W175" s="313"/>
      <c r="X175" s="313"/>
      <c r="Y175" s="313"/>
      <c r="Z175" s="313"/>
      <c r="AA175" s="359"/>
      <c r="AB175" s="445"/>
      <c r="AC175" s="445"/>
      <c r="AD175" s="445"/>
      <c r="AE175" s="334"/>
    </row>
    <row r="176" spans="1:31" s="73" customFormat="1">
      <c r="A176" s="241"/>
      <c r="B176" s="242"/>
      <c r="C176" s="243"/>
      <c r="D176" s="244"/>
      <c r="E176" s="244"/>
      <c r="F176" s="244"/>
      <c r="G176" s="244"/>
      <c r="H176" s="244"/>
      <c r="I176" s="243"/>
      <c r="J176" s="243"/>
      <c r="K176" s="244"/>
      <c r="L176" s="244"/>
      <c r="M176" s="244"/>
      <c r="N176" s="243"/>
      <c r="O176" s="314"/>
      <c r="P176" s="244"/>
      <c r="Q176" s="243"/>
      <c r="R176" s="243"/>
      <c r="S176" s="243"/>
      <c r="T176" s="312"/>
      <c r="U176" s="312"/>
      <c r="V176" s="312"/>
      <c r="W176" s="312"/>
      <c r="X176" s="312"/>
      <c r="Y176" s="312"/>
      <c r="Z176" s="312"/>
      <c r="AA176" s="360"/>
      <c r="AB176" s="444"/>
      <c r="AC176" s="444"/>
      <c r="AD176" s="444"/>
      <c r="AE176" s="334"/>
    </row>
    <row r="177" spans="1:33" s="73" customFormat="1">
      <c r="A177" s="241"/>
      <c r="B177" s="242"/>
      <c r="C177" s="243"/>
      <c r="D177" s="244"/>
      <c r="E177" s="244"/>
      <c r="F177" s="244"/>
      <c r="G177" s="244"/>
      <c r="H177" s="244"/>
      <c r="I177" s="243"/>
      <c r="J177" s="243"/>
      <c r="K177" s="244"/>
      <c r="L177" s="244"/>
      <c r="M177" s="244"/>
      <c r="N177" s="243"/>
      <c r="O177" s="314"/>
      <c r="P177" s="244"/>
      <c r="Q177" s="243"/>
      <c r="R177" s="243"/>
      <c r="S177" s="243"/>
      <c r="T177" s="312"/>
      <c r="U177" s="312"/>
      <c r="V177" s="312"/>
      <c r="W177" s="312"/>
      <c r="X177" s="312"/>
      <c r="Y177" s="312"/>
      <c r="Z177" s="312"/>
      <c r="AA177" s="360"/>
      <c r="AB177" s="444"/>
      <c r="AC177" s="444"/>
      <c r="AD177" s="444"/>
      <c r="AE177" s="334"/>
    </row>
    <row r="178" spans="1:33" s="73" customFormat="1">
      <c r="A178" s="241"/>
      <c r="B178" s="245"/>
      <c r="C178" s="253"/>
      <c r="D178" s="254"/>
      <c r="E178" s="254"/>
      <c r="F178" s="254"/>
      <c r="G178" s="254"/>
      <c r="H178" s="254"/>
      <c r="I178" s="253"/>
      <c r="J178" s="253"/>
      <c r="K178" s="254"/>
      <c r="L178" s="254"/>
      <c r="M178" s="254"/>
      <c r="N178" s="253"/>
      <c r="O178" s="356"/>
      <c r="P178" s="254"/>
      <c r="Q178" s="253"/>
      <c r="R178" s="253"/>
      <c r="S178" s="253"/>
      <c r="T178" s="313"/>
      <c r="U178" s="313"/>
      <c r="V178" s="313"/>
      <c r="W178" s="313"/>
      <c r="X178" s="313"/>
      <c r="Y178" s="313"/>
      <c r="Z178" s="313"/>
      <c r="AA178" s="359"/>
      <c r="AB178" s="445"/>
      <c r="AC178" s="445"/>
      <c r="AD178" s="445"/>
      <c r="AE178" s="334"/>
    </row>
    <row r="179" spans="1:33" s="73" customFormat="1">
      <c r="A179" s="241"/>
      <c r="B179" s="242"/>
      <c r="C179" s="243"/>
      <c r="D179" s="244"/>
      <c r="E179" s="244"/>
      <c r="F179" s="244"/>
      <c r="G179" s="244"/>
      <c r="H179" s="244"/>
      <c r="I179" s="243"/>
      <c r="J179" s="243"/>
      <c r="K179" s="244"/>
      <c r="L179" s="244"/>
      <c r="M179" s="244"/>
      <c r="N179" s="243"/>
      <c r="O179" s="314"/>
      <c r="P179" s="244"/>
      <c r="Q179" s="243"/>
      <c r="R179" s="243"/>
      <c r="S179" s="243"/>
      <c r="T179" s="312"/>
      <c r="U179" s="312"/>
      <c r="V179" s="312"/>
      <c r="W179" s="312"/>
      <c r="X179" s="312"/>
      <c r="Y179" s="312"/>
      <c r="Z179" s="312"/>
      <c r="AA179" s="360"/>
      <c r="AB179" s="444"/>
      <c r="AC179" s="444"/>
      <c r="AD179" s="444"/>
      <c r="AE179" s="334"/>
    </row>
    <row r="180" spans="1:33" s="73" customFormat="1">
      <c r="A180" s="241"/>
      <c r="B180" s="242"/>
      <c r="C180" s="243"/>
      <c r="D180" s="244"/>
      <c r="E180" s="244"/>
      <c r="F180" s="244"/>
      <c r="G180" s="244"/>
      <c r="H180" s="244"/>
      <c r="I180" s="243"/>
      <c r="J180" s="243"/>
      <c r="K180" s="244"/>
      <c r="L180" s="244"/>
      <c r="M180" s="244"/>
      <c r="N180" s="243"/>
      <c r="O180" s="314"/>
      <c r="P180" s="244"/>
      <c r="Q180" s="243"/>
      <c r="R180" s="243"/>
      <c r="S180" s="243"/>
      <c r="T180" s="312"/>
      <c r="U180" s="312"/>
      <c r="V180" s="312"/>
      <c r="W180" s="312"/>
      <c r="X180" s="312"/>
      <c r="Y180" s="312"/>
      <c r="Z180" s="312"/>
      <c r="AA180" s="360"/>
      <c r="AB180" s="444"/>
      <c r="AC180" s="444"/>
      <c r="AD180" s="444"/>
      <c r="AE180" s="334"/>
    </row>
    <row r="181" spans="1:33" s="73" customFormat="1">
      <c r="A181" s="241"/>
      <c r="B181" s="245"/>
      <c r="C181" s="253"/>
      <c r="D181" s="254"/>
      <c r="E181" s="254"/>
      <c r="F181" s="254"/>
      <c r="G181" s="254"/>
      <c r="H181" s="254"/>
      <c r="I181" s="253"/>
      <c r="J181" s="253"/>
      <c r="K181" s="254"/>
      <c r="L181" s="254"/>
      <c r="M181" s="254"/>
      <c r="N181" s="253"/>
      <c r="O181" s="356"/>
      <c r="P181" s="254"/>
      <c r="Q181" s="253"/>
      <c r="R181" s="253"/>
      <c r="S181" s="253"/>
      <c r="T181" s="313"/>
      <c r="U181" s="313"/>
      <c r="V181" s="313"/>
      <c r="W181" s="313"/>
      <c r="X181" s="313"/>
      <c r="Y181" s="313"/>
      <c r="Z181" s="313"/>
      <c r="AA181" s="359"/>
      <c r="AB181" s="445"/>
      <c r="AC181" s="445"/>
      <c r="AD181" s="445"/>
      <c r="AE181" s="334"/>
      <c r="AF181" s="216"/>
      <c r="AG181" s="309"/>
    </row>
    <row r="182" spans="1:33" s="73" customFormat="1">
      <c r="A182" s="241"/>
      <c r="B182" s="242"/>
      <c r="C182" s="243"/>
      <c r="D182" s="244"/>
      <c r="E182" s="244"/>
      <c r="F182" s="244"/>
      <c r="G182" s="244"/>
      <c r="H182" s="244"/>
      <c r="I182" s="243"/>
      <c r="J182" s="243"/>
      <c r="K182" s="244"/>
      <c r="L182" s="244"/>
      <c r="M182" s="244"/>
      <c r="N182" s="243"/>
      <c r="O182" s="314"/>
      <c r="P182" s="244"/>
      <c r="Q182" s="243"/>
      <c r="R182" s="243"/>
      <c r="S182" s="243"/>
      <c r="T182" s="312"/>
      <c r="U182" s="312"/>
      <c r="V182" s="312"/>
      <c r="W182" s="312"/>
      <c r="X182" s="312"/>
      <c r="Y182" s="312"/>
      <c r="Z182" s="312"/>
      <c r="AA182" s="360"/>
      <c r="AB182" s="444"/>
      <c r="AC182" s="444"/>
      <c r="AD182" s="444"/>
      <c r="AE182" s="334"/>
      <c r="AF182" s="447"/>
    </row>
    <row r="183" spans="1:33" s="73" customFormat="1">
      <c r="A183" s="241"/>
      <c r="B183" s="242"/>
      <c r="C183" s="243"/>
      <c r="D183" s="244"/>
      <c r="E183" s="244"/>
      <c r="F183" s="244"/>
      <c r="G183" s="244"/>
      <c r="H183" s="244"/>
      <c r="I183" s="243"/>
      <c r="J183" s="243"/>
      <c r="K183" s="244"/>
      <c r="L183" s="244"/>
      <c r="M183" s="244"/>
      <c r="N183" s="243"/>
      <c r="O183" s="314"/>
      <c r="P183" s="244"/>
      <c r="Q183" s="243"/>
      <c r="R183" s="243"/>
      <c r="S183" s="243"/>
      <c r="T183" s="312"/>
      <c r="U183" s="312"/>
      <c r="V183" s="312"/>
      <c r="W183" s="312"/>
      <c r="X183" s="312"/>
      <c r="Y183" s="312"/>
      <c r="Z183" s="312"/>
      <c r="AA183" s="360"/>
      <c r="AB183" s="444"/>
      <c r="AC183" s="444"/>
      <c r="AD183" s="444"/>
      <c r="AE183" s="334"/>
      <c r="AF183" s="447"/>
    </row>
    <row r="184" spans="1:33" s="73" customFormat="1">
      <c r="A184" s="246"/>
      <c r="B184" s="311"/>
      <c r="C184" s="253"/>
      <c r="D184" s="254"/>
      <c r="E184" s="254"/>
      <c r="F184" s="254"/>
      <c r="G184" s="254"/>
      <c r="H184" s="254"/>
      <c r="I184" s="253"/>
      <c r="J184" s="253"/>
      <c r="K184" s="254"/>
      <c r="L184" s="254"/>
      <c r="M184" s="254"/>
      <c r="N184" s="253"/>
      <c r="O184" s="356"/>
      <c r="P184" s="254"/>
      <c r="Q184" s="253"/>
      <c r="R184" s="253"/>
      <c r="S184" s="253"/>
      <c r="T184" s="313"/>
      <c r="U184" s="313"/>
      <c r="V184" s="313"/>
      <c r="W184" s="313"/>
      <c r="X184" s="313"/>
      <c r="Y184" s="313"/>
      <c r="Z184" s="313"/>
      <c r="AA184" s="359"/>
      <c r="AB184" s="445"/>
      <c r="AC184" s="445"/>
      <c r="AD184" s="445"/>
      <c r="AE184" s="334"/>
      <c r="AF184" s="446"/>
      <c r="AG184" s="216"/>
    </row>
    <row r="185" spans="1:33" s="73" customFormat="1">
      <c r="A185" s="342"/>
      <c r="B185" s="340"/>
      <c r="C185" s="337"/>
      <c r="D185" s="341"/>
      <c r="E185" s="341"/>
      <c r="F185" s="341"/>
      <c r="G185" s="341"/>
      <c r="H185" s="341"/>
      <c r="I185" s="337"/>
      <c r="J185" s="337"/>
      <c r="K185" s="341"/>
      <c r="L185" s="341"/>
      <c r="M185" s="341"/>
      <c r="N185" s="337"/>
      <c r="O185" s="337"/>
      <c r="P185" s="341"/>
      <c r="Q185" s="337"/>
      <c r="R185" s="337"/>
      <c r="S185" s="337"/>
      <c r="T185" s="349"/>
      <c r="U185" s="349"/>
      <c r="V185" s="349"/>
      <c r="W185" s="349"/>
      <c r="X185" s="349"/>
      <c r="Y185" s="349"/>
      <c r="Z185" s="349"/>
      <c r="AA185" s="357"/>
      <c r="AB185" s="444"/>
      <c r="AC185" s="444"/>
      <c r="AD185" s="444"/>
      <c r="AE185" s="334"/>
    </row>
    <row r="186" spans="1:33" s="73" customFormat="1">
      <c r="A186" s="241"/>
      <c r="B186" s="242"/>
      <c r="C186" s="243"/>
      <c r="D186" s="244"/>
      <c r="E186" s="244"/>
      <c r="F186" s="244"/>
      <c r="G186" s="244"/>
      <c r="H186" s="244"/>
      <c r="I186" s="243"/>
      <c r="J186" s="243"/>
      <c r="K186" s="244"/>
      <c r="L186" s="244"/>
      <c r="M186" s="244"/>
      <c r="N186" s="243"/>
      <c r="O186" s="243"/>
      <c r="P186" s="244"/>
      <c r="Q186" s="243"/>
      <c r="R186" s="243"/>
      <c r="S186" s="243"/>
      <c r="T186" s="312"/>
      <c r="U186" s="312"/>
      <c r="V186" s="312"/>
      <c r="W186" s="312"/>
      <c r="X186" s="312"/>
      <c r="Y186" s="312"/>
      <c r="Z186" s="312"/>
      <c r="AA186" s="358"/>
      <c r="AB186" s="444"/>
      <c r="AC186" s="444"/>
      <c r="AD186" s="444"/>
      <c r="AE186" s="334"/>
    </row>
    <row r="187" spans="1:33" s="73" customFormat="1">
      <c r="A187" s="241"/>
      <c r="B187" s="245"/>
      <c r="C187" s="253"/>
      <c r="D187" s="254"/>
      <c r="E187" s="254"/>
      <c r="F187" s="254"/>
      <c r="G187" s="254"/>
      <c r="H187" s="254"/>
      <c r="I187" s="253"/>
      <c r="J187" s="253"/>
      <c r="K187" s="254"/>
      <c r="L187" s="254"/>
      <c r="M187" s="254"/>
      <c r="N187" s="253"/>
      <c r="O187" s="356"/>
      <c r="P187" s="254"/>
      <c r="Q187" s="253"/>
      <c r="R187" s="253"/>
      <c r="S187" s="253"/>
      <c r="T187" s="313"/>
      <c r="U187" s="313"/>
      <c r="V187" s="313"/>
      <c r="W187" s="313"/>
      <c r="X187" s="313"/>
      <c r="Y187" s="313"/>
      <c r="Z187" s="313"/>
      <c r="AA187" s="359"/>
      <c r="AB187" s="445"/>
      <c r="AC187" s="445"/>
      <c r="AD187" s="445"/>
      <c r="AE187" s="334"/>
    </row>
    <row r="188" spans="1:33" s="73" customFormat="1">
      <c r="A188" s="241"/>
      <c r="B188" s="242"/>
      <c r="C188" s="243"/>
      <c r="D188" s="244"/>
      <c r="E188" s="244"/>
      <c r="F188" s="244"/>
      <c r="G188" s="244"/>
      <c r="H188" s="244"/>
      <c r="I188" s="243"/>
      <c r="J188" s="243"/>
      <c r="K188" s="244"/>
      <c r="L188" s="244"/>
      <c r="M188" s="244"/>
      <c r="N188" s="243"/>
      <c r="O188" s="314"/>
      <c r="P188" s="244"/>
      <c r="Q188" s="243"/>
      <c r="R188" s="243"/>
      <c r="S188" s="243"/>
      <c r="T188" s="312"/>
      <c r="U188" s="312"/>
      <c r="V188" s="312"/>
      <c r="W188" s="312"/>
      <c r="X188" s="312"/>
      <c r="Y188" s="312"/>
      <c r="Z188" s="312"/>
      <c r="AA188" s="360"/>
      <c r="AB188" s="444"/>
      <c r="AC188" s="444"/>
      <c r="AD188" s="444"/>
      <c r="AE188" s="334"/>
    </row>
    <row r="189" spans="1:33" s="73" customFormat="1">
      <c r="A189" s="241"/>
      <c r="B189" s="242"/>
      <c r="C189" s="243"/>
      <c r="D189" s="244"/>
      <c r="E189" s="244"/>
      <c r="F189" s="244"/>
      <c r="G189" s="244"/>
      <c r="H189" s="244"/>
      <c r="I189" s="243"/>
      <c r="J189" s="243"/>
      <c r="K189" s="244"/>
      <c r="L189" s="244"/>
      <c r="M189" s="244"/>
      <c r="N189" s="243"/>
      <c r="O189" s="314"/>
      <c r="P189" s="244"/>
      <c r="Q189" s="243"/>
      <c r="R189" s="243"/>
      <c r="S189" s="243"/>
      <c r="T189" s="312"/>
      <c r="U189" s="312"/>
      <c r="V189" s="312"/>
      <c r="W189" s="312"/>
      <c r="X189" s="312"/>
      <c r="Y189" s="312"/>
      <c r="Z189" s="312"/>
      <c r="AA189" s="360"/>
      <c r="AB189" s="444"/>
      <c r="AC189" s="444"/>
      <c r="AD189" s="444"/>
      <c r="AE189" s="334"/>
    </row>
    <row r="190" spans="1:33" s="73" customFormat="1">
      <c r="A190" s="241"/>
      <c r="B190" s="245"/>
      <c r="C190" s="253"/>
      <c r="D190" s="254"/>
      <c r="E190" s="254"/>
      <c r="F190" s="254"/>
      <c r="G190" s="254"/>
      <c r="H190" s="254"/>
      <c r="I190" s="253"/>
      <c r="J190" s="253"/>
      <c r="K190" s="254"/>
      <c r="L190" s="254"/>
      <c r="M190" s="254"/>
      <c r="N190" s="253"/>
      <c r="O190" s="356"/>
      <c r="P190" s="254"/>
      <c r="Q190" s="253"/>
      <c r="R190" s="253"/>
      <c r="S190" s="253"/>
      <c r="T190" s="313"/>
      <c r="U190" s="313"/>
      <c r="V190" s="313"/>
      <c r="W190" s="313"/>
      <c r="X190" s="313"/>
      <c r="Y190" s="313"/>
      <c r="Z190" s="313"/>
      <c r="AA190" s="359"/>
      <c r="AB190" s="445"/>
      <c r="AC190" s="445"/>
      <c r="AD190" s="445"/>
      <c r="AE190" s="334"/>
    </row>
    <row r="191" spans="1:33" s="73" customFormat="1">
      <c r="A191" s="241"/>
      <c r="B191" s="242"/>
      <c r="C191" s="243"/>
      <c r="D191" s="244"/>
      <c r="E191" s="244"/>
      <c r="F191" s="244"/>
      <c r="G191" s="244"/>
      <c r="H191" s="244"/>
      <c r="I191" s="243"/>
      <c r="J191" s="243"/>
      <c r="K191" s="244"/>
      <c r="L191" s="244"/>
      <c r="M191" s="244"/>
      <c r="N191" s="243"/>
      <c r="O191" s="314"/>
      <c r="P191" s="244"/>
      <c r="Q191" s="243"/>
      <c r="R191" s="243"/>
      <c r="S191" s="243"/>
      <c r="T191" s="312"/>
      <c r="U191" s="312"/>
      <c r="V191" s="312"/>
      <c r="W191" s="312"/>
      <c r="X191" s="312"/>
      <c r="Y191" s="312"/>
      <c r="Z191" s="312"/>
      <c r="AA191" s="360"/>
      <c r="AB191" s="444"/>
      <c r="AC191" s="444"/>
      <c r="AD191" s="444"/>
      <c r="AE191" s="334"/>
    </row>
    <row r="192" spans="1:33" s="73" customFormat="1">
      <c r="A192" s="241"/>
      <c r="B192" s="242"/>
      <c r="C192" s="243"/>
      <c r="D192" s="244"/>
      <c r="E192" s="244"/>
      <c r="F192" s="244"/>
      <c r="G192" s="244"/>
      <c r="H192" s="244"/>
      <c r="I192" s="243"/>
      <c r="J192" s="243"/>
      <c r="K192" s="244"/>
      <c r="L192" s="244"/>
      <c r="M192" s="244"/>
      <c r="N192" s="243"/>
      <c r="O192" s="314"/>
      <c r="P192" s="244"/>
      <c r="Q192" s="243"/>
      <c r="R192" s="243"/>
      <c r="S192" s="243"/>
      <c r="T192" s="312"/>
      <c r="U192" s="312"/>
      <c r="V192" s="312"/>
      <c r="W192" s="312"/>
      <c r="X192" s="312"/>
      <c r="Y192" s="312"/>
      <c r="Z192" s="312"/>
      <c r="AA192" s="360"/>
      <c r="AB192" s="444"/>
      <c r="AC192" s="444"/>
      <c r="AD192" s="444"/>
      <c r="AE192" s="334"/>
    </row>
    <row r="193" spans="1:33" s="73" customFormat="1">
      <c r="A193" s="241"/>
      <c r="B193" s="245"/>
      <c r="C193" s="253"/>
      <c r="D193" s="254"/>
      <c r="E193" s="254"/>
      <c r="F193" s="254"/>
      <c r="G193" s="254"/>
      <c r="H193" s="510"/>
      <c r="I193" s="253"/>
      <c r="J193" s="253"/>
      <c r="K193" s="254"/>
      <c r="L193" s="254"/>
      <c r="M193" s="254"/>
      <c r="N193" s="253"/>
      <c r="O193" s="356"/>
      <c r="P193" s="254"/>
      <c r="Q193" s="253"/>
      <c r="R193" s="253"/>
      <c r="S193" s="253"/>
      <c r="T193" s="313"/>
      <c r="U193" s="313"/>
      <c r="V193" s="313"/>
      <c r="W193" s="313"/>
      <c r="X193" s="313"/>
      <c r="Y193" s="313"/>
      <c r="Z193" s="313"/>
      <c r="AA193" s="359"/>
      <c r="AB193" s="445"/>
      <c r="AC193" s="445"/>
      <c r="AD193" s="445"/>
      <c r="AE193" s="334"/>
      <c r="AF193" s="216"/>
      <c r="AG193" s="309"/>
    </row>
    <row r="194" spans="1:33" s="73" customFormat="1">
      <c r="A194" s="241"/>
      <c r="B194" s="242"/>
      <c r="C194" s="243"/>
      <c r="D194" s="244"/>
      <c r="E194" s="244"/>
      <c r="F194" s="244"/>
      <c r="G194" s="244"/>
      <c r="H194" s="244"/>
      <c r="I194" s="243"/>
      <c r="J194" s="243"/>
      <c r="K194" s="244"/>
      <c r="L194" s="244"/>
      <c r="M194" s="244"/>
      <c r="N194" s="243"/>
      <c r="O194" s="314"/>
      <c r="P194" s="244"/>
      <c r="Q194" s="243"/>
      <c r="R194" s="243"/>
      <c r="S194" s="243"/>
      <c r="T194" s="312"/>
      <c r="U194" s="312"/>
      <c r="V194" s="312"/>
      <c r="W194" s="312"/>
      <c r="X194" s="312"/>
      <c r="Y194" s="312"/>
      <c r="Z194" s="312"/>
      <c r="AA194" s="360"/>
      <c r="AB194" s="444"/>
      <c r="AC194" s="444"/>
      <c r="AD194" s="444"/>
      <c r="AE194" s="334"/>
      <c r="AF194" s="447"/>
    </row>
    <row r="195" spans="1:33" s="73" customFormat="1">
      <c r="A195" s="241"/>
      <c r="B195" s="242"/>
      <c r="C195" s="243"/>
      <c r="D195" s="244"/>
      <c r="E195" s="244"/>
      <c r="F195" s="244"/>
      <c r="G195" s="244"/>
      <c r="H195" s="244"/>
      <c r="I195" s="243"/>
      <c r="J195" s="243"/>
      <c r="K195" s="244"/>
      <c r="L195" s="244"/>
      <c r="M195" s="244"/>
      <c r="N195" s="243"/>
      <c r="O195" s="314"/>
      <c r="P195" s="244"/>
      <c r="Q195" s="243"/>
      <c r="R195" s="243"/>
      <c r="S195" s="243"/>
      <c r="T195" s="312"/>
      <c r="U195" s="312"/>
      <c r="V195" s="312"/>
      <c r="W195" s="312"/>
      <c r="X195" s="312"/>
      <c r="Y195" s="312"/>
      <c r="Z195" s="312"/>
      <c r="AA195" s="360"/>
      <c r="AB195" s="444"/>
      <c r="AC195" s="444"/>
      <c r="AD195" s="444"/>
      <c r="AE195" s="334"/>
      <c r="AF195" s="447"/>
    </row>
    <row r="196" spans="1:33" s="73" customFormat="1">
      <c r="A196" s="246"/>
      <c r="B196" s="311"/>
      <c r="C196" s="253"/>
      <c r="D196" s="254"/>
      <c r="E196" s="254"/>
      <c r="F196" s="254"/>
      <c r="G196" s="254"/>
      <c r="H196" s="254"/>
      <c r="I196" s="253"/>
      <c r="J196" s="253"/>
      <c r="K196" s="254"/>
      <c r="L196" s="254"/>
      <c r="M196" s="254"/>
      <c r="N196" s="253"/>
      <c r="O196" s="356"/>
      <c r="P196" s="254"/>
      <c r="Q196" s="253"/>
      <c r="R196" s="253"/>
      <c r="S196" s="253"/>
      <c r="T196" s="313"/>
      <c r="U196" s="313"/>
      <c r="V196" s="313"/>
      <c r="W196" s="313"/>
      <c r="X196" s="313"/>
      <c r="Y196" s="313"/>
      <c r="Z196" s="313"/>
      <c r="AA196" s="359"/>
      <c r="AB196" s="445"/>
      <c r="AC196" s="445"/>
      <c r="AD196" s="445"/>
      <c r="AE196" s="334"/>
      <c r="AF196" s="446"/>
      <c r="AG196" s="216"/>
    </row>
    <row r="197" spans="1:33" s="73" customFormat="1">
      <c r="A197" s="342"/>
      <c r="B197" s="340"/>
      <c r="C197" s="337"/>
      <c r="D197" s="341"/>
      <c r="E197" s="341"/>
      <c r="F197" s="341"/>
      <c r="G197" s="341"/>
      <c r="H197" s="341"/>
      <c r="I197" s="337"/>
      <c r="J197" s="337"/>
      <c r="K197" s="341"/>
      <c r="L197" s="341"/>
      <c r="M197" s="341"/>
      <c r="N197" s="337"/>
      <c r="O197" s="337"/>
      <c r="P197" s="341"/>
      <c r="Q197" s="337"/>
      <c r="R197" s="337"/>
      <c r="S197" s="337"/>
      <c r="T197" s="337"/>
      <c r="U197" s="337"/>
      <c r="V197" s="337"/>
      <c r="W197" s="337"/>
      <c r="X197" s="337"/>
      <c r="Y197" s="337"/>
      <c r="Z197" s="337"/>
      <c r="AA197" s="518"/>
      <c r="AB197" s="444"/>
      <c r="AC197" s="444"/>
      <c r="AD197" s="444"/>
      <c r="AE197" s="334"/>
    </row>
    <row r="198" spans="1:33" s="73" customFormat="1">
      <c r="A198" s="241"/>
      <c r="B198" s="242"/>
      <c r="C198" s="243"/>
      <c r="D198" s="244"/>
      <c r="E198" s="244"/>
      <c r="F198" s="244"/>
      <c r="G198" s="244"/>
      <c r="H198" s="244"/>
      <c r="I198" s="243"/>
      <c r="J198" s="243"/>
      <c r="K198" s="244"/>
      <c r="L198" s="244"/>
      <c r="M198" s="244"/>
      <c r="N198" s="243"/>
      <c r="O198" s="243"/>
      <c r="P198" s="244"/>
      <c r="Q198" s="243"/>
      <c r="R198" s="243"/>
      <c r="S198" s="243"/>
      <c r="T198" s="243"/>
      <c r="U198" s="243"/>
      <c r="V198" s="243"/>
      <c r="W198" s="243"/>
      <c r="X198" s="243"/>
      <c r="Y198" s="243"/>
      <c r="Z198" s="243"/>
      <c r="AA198" s="519"/>
      <c r="AB198" s="444"/>
      <c r="AC198" s="444"/>
      <c r="AD198" s="444"/>
      <c r="AE198" s="334"/>
    </row>
    <row r="199" spans="1:33" s="73" customFormat="1">
      <c r="A199" s="241"/>
      <c r="B199" s="245"/>
      <c r="C199" s="253"/>
      <c r="D199" s="254"/>
      <c r="E199" s="254"/>
      <c r="F199" s="254"/>
      <c r="G199" s="254"/>
      <c r="H199" s="254"/>
      <c r="I199" s="253"/>
      <c r="J199" s="253"/>
      <c r="K199" s="254"/>
      <c r="L199" s="254"/>
      <c r="M199" s="254"/>
      <c r="N199" s="253"/>
      <c r="O199" s="356"/>
      <c r="P199" s="254"/>
      <c r="Q199" s="253"/>
      <c r="R199" s="253"/>
      <c r="S199" s="253"/>
      <c r="T199" s="253"/>
      <c r="U199" s="253"/>
      <c r="V199" s="253"/>
      <c r="W199" s="253"/>
      <c r="X199" s="253"/>
      <c r="Y199" s="253"/>
      <c r="Z199" s="253"/>
      <c r="AA199" s="520"/>
      <c r="AB199" s="445"/>
      <c r="AC199" s="445"/>
      <c r="AD199" s="445"/>
      <c r="AE199" s="334"/>
    </row>
    <row r="200" spans="1:33" s="73" customFormat="1">
      <c r="A200" s="241"/>
      <c r="B200" s="242"/>
      <c r="C200" s="243"/>
      <c r="D200" s="244"/>
      <c r="E200" s="244"/>
      <c r="F200" s="244"/>
      <c r="G200" s="244"/>
      <c r="H200" s="244"/>
      <c r="I200" s="243"/>
      <c r="J200" s="243"/>
      <c r="K200" s="244"/>
      <c r="L200" s="244"/>
      <c r="M200" s="244"/>
      <c r="N200" s="243"/>
      <c r="O200" s="314"/>
      <c r="P200" s="244"/>
      <c r="Q200" s="243"/>
      <c r="R200" s="243"/>
      <c r="S200" s="243"/>
      <c r="T200" s="243"/>
      <c r="U200" s="243"/>
      <c r="V200" s="243"/>
      <c r="W200" s="243"/>
      <c r="X200" s="243"/>
      <c r="Y200" s="243"/>
      <c r="Z200" s="243"/>
      <c r="AA200" s="242"/>
      <c r="AB200" s="444"/>
      <c r="AC200" s="444"/>
      <c r="AD200" s="444"/>
      <c r="AE200" s="334"/>
    </row>
    <row r="201" spans="1:33" s="73" customFormat="1">
      <c r="A201" s="241"/>
      <c r="B201" s="242"/>
      <c r="C201" s="243"/>
      <c r="D201" s="244"/>
      <c r="E201" s="244"/>
      <c r="F201" s="244"/>
      <c r="G201" s="244"/>
      <c r="H201" s="244"/>
      <c r="I201" s="243"/>
      <c r="J201" s="243"/>
      <c r="K201" s="244"/>
      <c r="L201" s="244"/>
      <c r="M201" s="244"/>
      <c r="N201" s="243"/>
      <c r="O201" s="314"/>
      <c r="P201" s="244"/>
      <c r="Q201" s="243"/>
      <c r="R201" s="243"/>
      <c r="S201" s="243"/>
      <c r="T201" s="243"/>
      <c r="U201" s="243"/>
      <c r="V201" s="243"/>
      <c r="W201" s="243"/>
      <c r="X201" s="243"/>
      <c r="Y201" s="243"/>
      <c r="Z201" s="243"/>
      <c r="AA201" s="242"/>
      <c r="AB201" s="444"/>
      <c r="AC201" s="444"/>
      <c r="AD201" s="444"/>
      <c r="AE201" s="334"/>
    </row>
    <row r="202" spans="1:33" s="73" customFormat="1">
      <c r="A202" s="241"/>
      <c r="B202" s="245"/>
      <c r="C202" s="253"/>
      <c r="D202" s="254"/>
      <c r="E202" s="254"/>
      <c r="F202" s="254"/>
      <c r="G202" s="254"/>
      <c r="H202" s="254"/>
      <c r="I202" s="253"/>
      <c r="J202" s="253"/>
      <c r="K202" s="254"/>
      <c r="L202" s="254"/>
      <c r="M202" s="254"/>
      <c r="N202" s="253"/>
      <c r="O202" s="356"/>
      <c r="P202" s="254"/>
      <c r="Q202" s="253"/>
      <c r="R202" s="253"/>
      <c r="S202" s="253"/>
      <c r="T202" s="253"/>
      <c r="U202" s="253"/>
      <c r="V202" s="253"/>
      <c r="W202" s="253"/>
      <c r="X202" s="253"/>
      <c r="Y202" s="253"/>
      <c r="Z202" s="253"/>
      <c r="AA202" s="520"/>
      <c r="AB202" s="445"/>
      <c r="AC202" s="445"/>
      <c r="AD202" s="445"/>
      <c r="AE202" s="334"/>
    </row>
    <row r="203" spans="1:33" s="73" customFormat="1">
      <c r="A203" s="241"/>
      <c r="B203" s="242"/>
      <c r="C203" s="243"/>
      <c r="D203" s="244"/>
      <c r="E203" s="244"/>
      <c r="F203" s="244"/>
      <c r="G203" s="244"/>
      <c r="H203" s="244"/>
      <c r="I203" s="243"/>
      <c r="J203" s="243"/>
      <c r="K203" s="244"/>
      <c r="L203" s="244"/>
      <c r="M203" s="244"/>
      <c r="N203" s="243"/>
      <c r="O203" s="314"/>
      <c r="P203" s="244"/>
      <c r="Q203" s="243"/>
      <c r="R203" s="243"/>
      <c r="S203" s="243"/>
      <c r="T203" s="243"/>
      <c r="U203" s="243"/>
      <c r="V203" s="243"/>
      <c r="W203" s="243"/>
      <c r="X203" s="243"/>
      <c r="Y203" s="243"/>
      <c r="Z203" s="243"/>
      <c r="AA203" s="242"/>
      <c r="AB203" s="444"/>
      <c r="AC203" s="444"/>
      <c r="AD203" s="444"/>
      <c r="AE203" s="334"/>
    </row>
    <row r="204" spans="1:33" s="73" customFormat="1">
      <c r="A204" s="241"/>
      <c r="B204" s="242"/>
      <c r="C204" s="243"/>
      <c r="D204" s="244"/>
      <c r="E204" s="244"/>
      <c r="F204" s="244"/>
      <c r="G204" s="244"/>
      <c r="H204" s="244"/>
      <c r="I204" s="243"/>
      <c r="J204" s="243"/>
      <c r="K204" s="244"/>
      <c r="L204" s="244"/>
      <c r="M204" s="244"/>
      <c r="N204" s="243"/>
      <c r="O204" s="314"/>
      <c r="P204" s="244"/>
      <c r="Q204" s="243"/>
      <c r="R204" s="243"/>
      <c r="S204" s="243"/>
      <c r="T204" s="243"/>
      <c r="U204" s="243"/>
      <c r="V204" s="243"/>
      <c r="W204" s="243"/>
      <c r="X204" s="243"/>
      <c r="Y204" s="243"/>
      <c r="Z204" s="243"/>
      <c r="AA204" s="242"/>
      <c r="AB204" s="444"/>
      <c r="AC204" s="444"/>
      <c r="AD204" s="444"/>
      <c r="AE204" s="334"/>
    </row>
    <row r="205" spans="1:33" s="73" customFormat="1">
      <c r="A205" s="241"/>
      <c r="B205" s="245"/>
      <c r="C205" s="253"/>
      <c r="D205" s="254"/>
      <c r="E205" s="254"/>
      <c r="F205" s="254"/>
      <c r="G205" s="254"/>
      <c r="H205" s="254"/>
      <c r="I205" s="253"/>
      <c r="J205" s="253"/>
      <c r="K205" s="254"/>
      <c r="L205" s="254"/>
      <c r="M205" s="254"/>
      <c r="N205" s="253"/>
      <c r="O205" s="356"/>
      <c r="P205" s="254"/>
      <c r="Q205" s="253"/>
      <c r="R205" s="253"/>
      <c r="S205" s="253"/>
      <c r="T205" s="253"/>
      <c r="U205" s="253"/>
      <c r="V205" s="253"/>
      <c r="W205" s="253"/>
      <c r="X205" s="253"/>
      <c r="Y205" s="253"/>
      <c r="Z205" s="253"/>
      <c r="AA205" s="520"/>
      <c r="AB205" s="445"/>
      <c r="AC205" s="445"/>
      <c r="AD205" s="445"/>
      <c r="AE205" s="334"/>
      <c r="AF205" s="216"/>
      <c r="AG205" s="309"/>
    </row>
    <row r="206" spans="1:33" s="73" customFormat="1">
      <c r="A206" s="241"/>
      <c r="B206" s="242"/>
      <c r="C206" s="243"/>
      <c r="D206" s="244"/>
      <c r="E206" s="244"/>
      <c r="F206" s="244"/>
      <c r="G206" s="244"/>
      <c r="H206" s="244"/>
      <c r="I206" s="243"/>
      <c r="J206" s="243"/>
      <c r="K206" s="244"/>
      <c r="L206" s="244"/>
      <c r="M206" s="244"/>
      <c r="N206" s="243"/>
      <c r="O206" s="314"/>
      <c r="P206" s="244"/>
      <c r="Q206" s="243"/>
      <c r="R206" s="243"/>
      <c r="S206" s="243"/>
      <c r="T206" s="243"/>
      <c r="U206" s="243"/>
      <c r="V206" s="243"/>
      <c r="W206" s="243"/>
      <c r="X206" s="243"/>
      <c r="Y206" s="243"/>
      <c r="Z206" s="243"/>
      <c r="AA206" s="242"/>
      <c r="AB206" s="444"/>
      <c r="AC206" s="444"/>
      <c r="AD206" s="444"/>
      <c r="AE206" s="334"/>
      <c r="AF206" s="447"/>
    </row>
    <row r="207" spans="1:33" s="73" customFormat="1">
      <c r="A207" s="241"/>
      <c r="B207" s="242"/>
      <c r="C207" s="243"/>
      <c r="D207" s="244"/>
      <c r="E207" s="244"/>
      <c r="F207" s="244"/>
      <c r="G207" s="244"/>
      <c r="H207" s="244"/>
      <c r="I207" s="243"/>
      <c r="J207" s="243"/>
      <c r="K207" s="244"/>
      <c r="L207" s="244"/>
      <c r="M207" s="244"/>
      <c r="N207" s="243"/>
      <c r="O207" s="314"/>
      <c r="P207" s="244"/>
      <c r="Q207" s="243"/>
      <c r="R207" s="243"/>
      <c r="S207" s="243"/>
      <c r="T207" s="243"/>
      <c r="U207" s="243"/>
      <c r="V207" s="243"/>
      <c r="W207" s="243"/>
      <c r="X207" s="243"/>
      <c r="Y207" s="243"/>
      <c r="Z207" s="243"/>
      <c r="AA207" s="242"/>
      <c r="AB207" s="444"/>
      <c r="AC207" s="444"/>
      <c r="AD207" s="444"/>
      <c r="AE207" s="334"/>
      <c r="AF207" s="447"/>
    </row>
    <row r="208" spans="1:33" s="73" customFormat="1">
      <c r="A208" s="246"/>
      <c r="B208" s="311"/>
      <c r="C208" s="253"/>
      <c r="D208" s="254"/>
      <c r="E208" s="254"/>
      <c r="F208" s="254"/>
      <c r="G208" s="254"/>
      <c r="H208" s="254"/>
      <c r="I208" s="253"/>
      <c r="J208" s="253"/>
      <c r="K208" s="254"/>
      <c r="L208" s="254"/>
      <c r="M208" s="254"/>
      <c r="N208" s="253"/>
      <c r="O208" s="356"/>
      <c r="P208" s="254"/>
      <c r="Q208" s="253"/>
      <c r="R208" s="253"/>
      <c r="S208" s="253"/>
      <c r="T208" s="253"/>
      <c r="U208" s="253"/>
      <c r="V208" s="253"/>
      <c r="W208" s="253"/>
      <c r="X208" s="253"/>
      <c r="Y208" s="253"/>
      <c r="Z208" s="253"/>
      <c r="AA208" s="520"/>
      <c r="AB208" s="445"/>
      <c r="AC208" s="445"/>
      <c r="AD208" s="445"/>
      <c r="AE208" s="334"/>
      <c r="AF208" s="446"/>
      <c r="AG208" s="216"/>
    </row>
    <row r="209" spans="1:27">
      <c r="A209" s="214"/>
      <c r="C209" s="527"/>
      <c r="D209" s="527"/>
      <c r="E209" s="527"/>
      <c r="F209" s="527"/>
      <c r="G209" s="527"/>
      <c r="H209" s="527"/>
      <c r="I209" s="527"/>
      <c r="J209" s="527"/>
      <c r="K209" s="527"/>
      <c r="L209" s="527"/>
      <c r="M209" s="527"/>
      <c r="N209" s="527"/>
      <c r="O209" s="527"/>
      <c r="P209" s="527"/>
      <c r="Q209" s="527"/>
      <c r="R209" s="527"/>
      <c r="S209" s="527"/>
      <c r="T209" s="527"/>
      <c r="U209" s="527"/>
      <c r="V209" s="527"/>
      <c r="W209" s="527"/>
      <c r="X209" s="527"/>
      <c r="Y209" s="527"/>
      <c r="Z209" s="527"/>
      <c r="AA209" s="527"/>
    </row>
    <row r="210" spans="1:27">
      <c r="A210" s="214"/>
    </row>
    <row r="211" spans="1:27">
      <c r="A211" s="214"/>
    </row>
    <row r="212" spans="1:27">
      <c r="A212" s="214"/>
    </row>
    <row r="213" spans="1:27">
      <c r="A213" s="214"/>
    </row>
    <row r="214" spans="1:27">
      <c r="A214" s="214"/>
    </row>
    <row r="215" spans="1:27">
      <c r="A215" s="214"/>
    </row>
    <row r="216" spans="1:27">
      <c r="A216" s="214"/>
    </row>
    <row r="217" spans="1:27">
      <c r="A217" s="214"/>
    </row>
    <row r="218" spans="1:27">
      <c r="A218" s="214"/>
    </row>
    <row r="219" spans="1:27">
      <c r="A219" s="214"/>
    </row>
    <row r="220" spans="1:27">
      <c r="A220" s="21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48"/>
  <sheetViews>
    <sheetView workbookViewId="0">
      <selection sqref="A1:XFD1048576"/>
    </sheetView>
  </sheetViews>
  <sheetFormatPr defaultRowHeight="12.75"/>
  <cols>
    <col min="1" max="1" width="5" style="181" customWidth="1"/>
    <col min="2" max="2" width="30.6640625" style="181" customWidth="1"/>
    <col min="3" max="8" width="13.6640625" style="215" customWidth="1"/>
    <col min="9" max="9" width="16.1640625" style="215" customWidth="1"/>
    <col min="10" max="13" width="12.33203125" style="215" customWidth="1"/>
    <col min="14" max="14" width="15.6640625" style="215" customWidth="1"/>
    <col min="15" max="16" width="11.5" style="215" bestFit="1" customWidth="1"/>
    <col min="17" max="18" width="12.5" style="215" customWidth="1"/>
    <col min="19" max="19" width="15.83203125" style="215" customWidth="1"/>
    <col min="20" max="20" width="9.5" style="181" customWidth="1"/>
    <col min="21" max="21" width="10.5" style="181" customWidth="1"/>
    <col min="22" max="23" width="13.1640625" style="181" customWidth="1"/>
    <col min="24" max="24" width="12.5" style="181" customWidth="1"/>
    <col min="25" max="25" width="12.33203125" style="181" customWidth="1"/>
    <col min="26" max="27" width="11.33203125" style="181" customWidth="1"/>
    <col min="28" max="16384" width="9.33203125" style="181"/>
  </cols>
  <sheetData>
    <row r="1" spans="1:27">
      <c r="E1" s="382"/>
      <c r="L1" s="383"/>
      <c r="M1" s="4"/>
    </row>
    <row r="3" spans="1:27" s="1" customFormat="1">
      <c r="A3" s="363"/>
      <c r="B3" s="364"/>
      <c r="C3" s="384"/>
      <c r="D3" s="385"/>
      <c r="E3" s="385"/>
      <c r="F3" s="385"/>
      <c r="G3" s="385"/>
      <c r="H3" s="385"/>
      <c r="I3" s="385"/>
      <c r="J3" s="385"/>
      <c r="K3" s="385"/>
      <c r="L3" s="385"/>
      <c r="M3" s="385"/>
      <c r="N3" s="385"/>
      <c r="O3" s="385"/>
      <c r="P3" s="385"/>
      <c r="Q3" s="385"/>
      <c r="R3" s="385"/>
      <c r="S3" s="385"/>
      <c r="T3" s="366"/>
      <c r="U3" s="366"/>
      <c r="V3" s="366"/>
      <c r="W3" s="367"/>
      <c r="X3" s="366"/>
      <c r="Y3" s="366"/>
      <c r="Z3" s="366"/>
      <c r="AA3" s="367"/>
    </row>
    <row r="4" spans="1:27" s="1" customFormat="1">
      <c r="A4" s="183"/>
      <c r="B4" s="184"/>
      <c r="C4" s="384"/>
      <c r="D4" s="385"/>
      <c r="E4" s="385"/>
      <c r="F4" s="385"/>
      <c r="G4" s="385"/>
      <c r="H4" s="385"/>
      <c r="I4" s="384"/>
      <c r="J4" s="384"/>
      <c r="K4" s="385"/>
      <c r="L4" s="385"/>
      <c r="M4" s="385"/>
      <c r="N4" s="384"/>
      <c r="O4" s="384"/>
      <c r="P4" s="385"/>
      <c r="Q4" s="384"/>
      <c r="R4" s="384"/>
      <c r="S4" s="384"/>
      <c r="T4" s="368"/>
      <c r="U4" s="368"/>
      <c r="V4" s="368"/>
      <c r="W4" s="369"/>
      <c r="X4" s="368"/>
      <c r="Y4" s="368"/>
      <c r="Z4" s="368"/>
      <c r="AA4" s="369"/>
    </row>
    <row r="5" spans="1:27" s="1" customFormat="1">
      <c r="A5" s="363"/>
      <c r="B5" s="363"/>
      <c r="C5" s="384"/>
      <c r="D5" s="386"/>
      <c r="E5" s="386"/>
      <c r="F5" s="386"/>
      <c r="G5" s="386"/>
      <c r="H5" s="386"/>
      <c r="I5" s="387"/>
      <c r="J5" s="384"/>
      <c r="K5" s="386"/>
      <c r="L5" s="386"/>
      <c r="M5" s="386"/>
      <c r="N5" s="387"/>
      <c r="O5" s="384"/>
      <c r="P5" s="386"/>
      <c r="Q5" s="387"/>
      <c r="R5" s="384"/>
      <c r="S5" s="387"/>
      <c r="T5" s="368"/>
      <c r="U5" s="370"/>
      <c r="V5" s="368"/>
      <c r="W5" s="371"/>
      <c r="X5" s="368"/>
      <c r="Y5" s="370"/>
      <c r="Z5" s="368"/>
      <c r="AA5" s="371"/>
    </row>
    <row r="6" spans="1:27">
      <c r="A6" s="365"/>
      <c r="B6" s="384"/>
      <c r="C6" s="388"/>
      <c r="D6" s="389"/>
      <c r="E6" s="389"/>
      <c r="F6" s="389"/>
      <c r="G6" s="389"/>
      <c r="H6" s="389"/>
      <c r="I6" s="388"/>
      <c r="J6" s="388"/>
      <c r="K6" s="389"/>
      <c r="L6" s="389"/>
      <c r="M6" s="389"/>
      <c r="N6" s="388"/>
      <c r="O6" s="388"/>
      <c r="P6" s="389"/>
      <c r="Q6" s="388"/>
      <c r="R6" s="388"/>
      <c r="S6" s="388"/>
      <c r="T6" s="372"/>
      <c r="U6" s="372"/>
      <c r="V6" s="372"/>
      <c r="W6" s="373"/>
      <c r="X6" s="372"/>
      <c r="Y6" s="372"/>
      <c r="Z6" s="372"/>
      <c r="AA6" s="373"/>
    </row>
    <row r="7" spans="1:27" s="1" customFormat="1">
      <c r="A7" s="182"/>
      <c r="B7" s="477"/>
      <c r="C7" s="390"/>
      <c r="D7" s="107"/>
      <c r="E7" s="107"/>
      <c r="F7" s="107"/>
      <c r="G7" s="107"/>
      <c r="H7" s="107"/>
      <c r="I7" s="390"/>
      <c r="J7" s="390"/>
      <c r="K7" s="107"/>
      <c r="L7" s="107"/>
      <c r="M7" s="107"/>
      <c r="N7" s="390"/>
      <c r="O7" s="390"/>
      <c r="P7" s="107"/>
      <c r="Q7" s="390"/>
      <c r="R7" s="390"/>
      <c r="S7" s="390"/>
      <c r="T7" s="374"/>
      <c r="U7" s="374"/>
      <c r="V7" s="374"/>
      <c r="W7" s="375"/>
      <c r="X7" s="374"/>
      <c r="Y7" s="374"/>
      <c r="Z7" s="374"/>
      <c r="AA7" s="375"/>
    </row>
    <row r="8" spans="1:27">
      <c r="A8" s="182"/>
      <c r="B8" s="476"/>
      <c r="C8" s="476"/>
      <c r="D8" s="511"/>
      <c r="E8" s="511"/>
      <c r="F8" s="511"/>
      <c r="G8" s="511"/>
      <c r="H8" s="511"/>
      <c r="I8" s="476"/>
      <c r="J8" s="476"/>
      <c r="K8" s="511"/>
      <c r="L8" s="511"/>
      <c r="M8" s="511"/>
      <c r="N8" s="476"/>
      <c r="O8" s="476"/>
      <c r="P8" s="511"/>
      <c r="Q8" s="476"/>
      <c r="R8" s="476"/>
      <c r="S8" s="476"/>
      <c r="T8" s="376"/>
      <c r="U8" s="376"/>
      <c r="V8" s="376"/>
      <c r="W8" s="377"/>
      <c r="X8" s="376"/>
      <c r="Y8" s="376"/>
      <c r="Z8" s="376"/>
      <c r="AA8" s="377"/>
    </row>
    <row r="9" spans="1:27" s="1" customFormat="1">
      <c r="A9" s="182"/>
      <c r="B9" s="477"/>
      <c r="C9" s="390"/>
      <c r="D9" s="107"/>
      <c r="E9" s="107"/>
      <c r="F9" s="107"/>
      <c r="G9" s="107"/>
      <c r="H9" s="107"/>
      <c r="I9" s="390"/>
      <c r="J9" s="390"/>
      <c r="K9" s="107"/>
      <c r="L9" s="107"/>
      <c r="M9" s="107"/>
      <c r="N9" s="390"/>
      <c r="O9" s="390"/>
      <c r="P9" s="107"/>
      <c r="Q9" s="390"/>
      <c r="R9" s="390"/>
      <c r="S9" s="390"/>
      <c r="T9" s="374"/>
      <c r="U9" s="374"/>
      <c r="V9" s="374"/>
      <c r="W9" s="375"/>
      <c r="X9" s="374"/>
      <c r="Y9" s="374"/>
      <c r="Z9" s="374"/>
      <c r="AA9" s="375"/>
    </row>
    <row r="10" spans="1:27">
      <c r="A10" s="182"/>
      <c r="B10" s="477"/>
      <c r="C10" s="390"/>
      <c r="D10" s="107"/>
      <c r="E10" s="107"/>
      <c r="F10" s="107"/>
      <c r="G10" s="107"/>
      <c r="H10" s="107"/>
      <c r="I10" s="390"/>
      <c r="J10" s="390"/>
      <c r="K10" s="107"/>
      <c r="L10" s="107"/>
      <c r="M10" s="107"/>
      <c r="N10" s="390"/>
      <c r="O10" s="390"/>
      <c r="P10" s="107"/>
      <c r="Q10" s="390"/>
      <c r="R10" s="390"/>
      <c r="S10" s="390"/>
      <c r="T10" s="374"/>
      <c r="U10" s="374"/>
      <c r="V10" s="374"/>
      <c r="W10" s="375"/>
      <c r="X10" s="374"/>
      <c r="Y10" s="374"/>
      <c r="Z10" s="374"/>
      <c r="AA10" s="375"/>
    </row>
    <row r="11" spans="1:27" s="1" customFormat="1">
      <c r="A11" s="182"/>
      <c r="B11" s="475"/>
      <c r="C11" s="476"/>
      <c r="D11" s="511"/>
      <c r="E11" s="511"/>
      <c r="F11" s="511"/>
      <c r="G11" s="511"/>
      <c r="H11" s="511"/>
      <c r="I11" s="476"/>
      <c r="J11" s="476"/>
      <c r="K11" s="511"/>
      <c r="L11" s="511"/>
      <c r="M11" s="511"/>
      <c r="N11" s="476"/>
      <c r="O11" s="476"/>
      <c r="P11" s="511"/>
      <c r="Q11" s="476"/>
      <c r="R11" s="475"/>
      <c r="S11" s="475"/>
      <c r="T11" s="378"/>
      <c r="U11" s="378"/>
      <c r="V11" s="378"/>
      <c r="W11" s="379"/>
      <c r="X11" s="378"/>
      <c r="Y11" s="378"/>
      <c r="Z11" s="378"/>
      <c r="AA11" s="379"/>
    </row>
    <row r="12" spans="1:27">
      <c r="A12" s="185"/>
      <c r="B12" s="474"/>
      <c r="C12" s="512"/>
      <c r="D12" s="513"/>
      <c r="E12" s="513"/>
      <c r="F12" s="513"/>
      <c r="G12" s="517"/>
      <c r="H12" s="513"/>
      <c r="I12" s="512"/>
      <c r="J12" s="512"/>
      <c r="K12" s="513"/>
      <c r="L12" s="513"/>
      <c r="M12" s="513"/>
      <c r="N12" s="512"/>
      <c r="O12" s="512"/>
      <c r="P12" s="513"/>
      <c r="Q12" s="512"/>
      <c r="R12" s="512"/>
      <c r="S12" s="512"/>
      <c r="T12" s="380"/>
      <c r="U12" s="380"/>
      <c r="V12" s="380"/>
      <c r="W12" s="381"/>
      <c r="X12" s="380"/>
      <c r="Y12" s="380"/>
      <c r="Z12" s="380"/>
      <c r="AA12" s="381"/>
    </row>
    <row r="13" spans="1:27" s="1" customFormat="1">
      <c r="A13" s="365"/>
      <c r="B13" s="384"/>
      <c r="C13" s="388"/>
      <c r="D13" s="389"/>
      <c r="E13" s="389"/>
      <c r="F13" s="389"/>
      <c r="G13" s="389"/>
      <c r="H13" s="389"/>
      <c r="I13" s="388"/>
      <c r="J13" s="388"/>
      <c r="K13" s="389"/>
      <c r="L13" s="389"/>
      <c r="M13" s="389"/>
      <c r="N13" s="388"/>
      <c r="O13" s="388"/>
      <c r="P13" s="389"/>
      <c r="Q13" s="388"/>
      <c r="R13" s="388"/>
      <c r="S13" s="388"/>
      <c r="T13" s="372"/>
      <c r="U13" s="372"/>
      <c r="V13" s="372"/>
      <c r="W13" s="373"/>
      <c r="X13" s="372"/>
      <c r="Y13" s="372"/>
      <c r="Z13" s="372"/>
      <c r="AA13" s="373"/>
    </row>
    <row r="14" spans="1:27" s="1" customFormat="1">
      <c r="A14" s="182"/>
      <c r="B14" s="477"/>
      <c r="C14" s="390"/>
      <c r="D14" s="107"/>
      <c r="E14" s="107"/>
      <c r="F14" s="107"/>
      <c r="G14" s="107"/>
      <c r="H14" s="107"/>
      <c r="I14" s="390"/>
      <c r="J14" s="390"/>
      <c r="K14" s="107"/>
      <c r="L14" s="107"/>
      <c r="M14" s="107"/>
      <c r="N14" s="390"/>
      <c r="O14" s="390"/>
      <c r="P14" s="107"/>
      <c r="Q14" s="390"/>
      <c r="R14" s="390"/>
      <c r="S14" s="390"/>
      <c r="T14" s="374"/>
      <c r="U14" s="374"/>
      <c r="V14" s="374"/>
      <c r="W14" s="375"/>
      <c r="X14" s="374"/>
      <c r="Y14" s="374"/>
      <c r="Z14" s="374"/>
      <c r="AA14" s="375"/>
    </row>
    <row r="15" spans="1:27">
      <c r="A15" s="182"/>
      <c r="B15" s="476"/>
      <c r="C15" s="476"/>
      <c r="D15" s="511"/>
      <c r="E15" s="511"/>
      <c r="F15" s="511"/>
      <c r="G15" s="511"/>
      <c r="H15" s="511"/>
      <c r="I15" s="476"/>
      <c r="J15" s="476"/>
      <c r="K15" s="511"/>
      <c r="L15" s="511"/>
      <c r="M15" s="511"/>
      <c r="N15" s="476"/>
      <c r="O15" s="476"/>
      <c r="P15" s="511"/>
      <c r="Q15" s="476"/>
      <c r="R15" s="476"/>
      <c r="S15" s="476"/>
      <c r="T15" s="376"/>
      <c r="U15" s="376"/>
      <c r="V15" s="376"/>
      <c r="W15" s="377"/>
      <c r="X15" s="376"/>
      <c r="Y15" s="376"/>
      <c r="Z15" s="376"/>
      <c r="AA15" s="377"/>
    </row>
    <row r="16" spans="1:27" s="1" customFormat="1">
      <c r="A16" s="182"/>
      <c r="B16" s="477"/>
      <c r="C16" s="390"/>
      <c r="D16" s="107"/>
      <c r="E16" s="107"/>
      <c r="F16" s="107"/>
      <c r="G16" s="107"/>
      <c r="H16" s="107"/>
      <c r="I16" s="390"/>
      <c r="J16" s="390"/>
      <c r="K16" s="107"/>
      <c r="L16" s="107"/>
      <c r="M16" s="107"/>
      <c r="N16" s="390"/>
      <c r="O16" s="390"/>
      <c r="P16" s="107"/>
      <c r="Q16" s="390"/>
      <c r="R16" s="390"/>
      <c r="S16" s="390"/>
      <c r="T16" s="374"/>
      <c r="U16" s="374"/>
      <c r="V16" s="374"/>
      <c r="W16" s="375"/>
      <c r="X16" s="374"/>
      <c r="Y16" s="374"/>
      <c r="Z16" s="374"/>
      <c r="AA16" s="375"/>
    </row>
    <row r="17" spans="1:27">
      <c r="A17" s="182"/>
      <c r="B17" s="477"/>
      <c r="C17" s="390"/>
      <c r="D17" s="107"/>
      <c r="E17" s="107"/>
      <c r="F17" s="107"/>
      <c r="G17" s="107"/>
      <c r="H17" s="107"/>
      <c r="I17" s="390"/>
      <c r="J17" s="390"/>
      <c r="K17" s="107"/>
      <c r="L17" s="107"/>
      <c r="M17" s="107"/>
      <c r="N17" s="390"/>
      <c r="O17" s="390"/>
      <c r="P17" s="107"/>
      <c r="Q17" s="390"/>
      <c r="R17" s="390"/>
      <c r="S17" s="390"/>
      <c r="T17" s="374"/>
      <c r="U17" s="374"/>
      <c r="V17" s="374"/>
      <c r="W17" s="375"/>
      <c r="X17" s="374"/>
      <c r="Y17" s="374"/>
      <c r="Z17" s="374"/>
      <c r="AA17" s="375"/>
    </row>
    <row r="18" spans="1:27" s="1" customFormat="1">
      <c r="A18" s="182"/>
      <c r="B18" s="475"/>
      <c r="C18" s="476"/>
      <c r="D18" s="511"/>
      <c r="E18" s="511"/>
      <c r="F18" s="511"/>
      <c r="G18" s="511"/>
      <c r="H18" s="511"/>
      <c r="I18" s="476"/>
      <c r="J18" s="476"/>
      <c r="K18" s="511"/>
      <c r="L18" s="511"/>
      <c r="M18" s="511"/>
      <c r="N18" s="476"/>
      <c r="O18" s="476"/>
      <c r="P18" s="511"/>
      <c r="Q18" s="476"/>
      <c r="R18" s="475"/>
      <c r="S18" s="475"/>
      <c r="T18" s="378"/>
      <c r="U18" s="378"/>
      <c r="V18" s="378"/>
      <c r="W18" s="379"/>
      <c r="X18" s="378"/>
      <c r="Y18" s="378"/>
      <c r="Z18" s="378"/>
      <c r="AA18" s="379"/>
    </row>
    <row r="19" spans="1:27">
      <c r="A19" s="185"/>
      <c r="B19" s="474"/>
      <c r="C19" s="512"/>
      <c r="D19" s="513"/>
      <c r="E19" s="513"/>
      <c r="F19" s="513"/>
      <c r="G19" s="513"/>
      <c r="H19" s="517"/>
      <c r="I19" s="512"/>
      <c r="J19" s="512"/>
      <c r="K19" s="517"/>
      <c r="L19" s="517"/>
      <c r="M19" s="517"/>
      <c r="N19" s="512"/>
      <c r="O19" s="512"/>
      <c r="P19" s="513"/>
      <c r="Q19" s="512"/>
      <c r="R19" s="512"/>
      <c r="S19" s="512"/>
      <c r="T19" s="380"/>
      <c r="U19" s="380"/>
      <c r="V19" s="380"/>
      <c r="W19" s="381"/>
      <c r="X19" s="380"/>
      <c r="Y19" s="380"/>
      <c r="Z19" s="380"/>
      <c r="AA19" s="381"/>
    </row>
    <row r="20" spans="1:27" s="1" customFormat="1">
      <c r="A20" s="365"/>
      <c r="B20" s="384"/>
      <c r="C20" s="388"/>
      <c r="D20" s="389"/>
      <c r="E20" s="389"/>
      <c r="F20" s="389"/>
      <c r="G20" s="389"/>
      <c r="H20" s="389"/>
      <c r="I20" s="388"/>
      <c r="J20" s="388"/>
      <c r="K20" s="389"/>
      <c r="L20" s="389"/>
      <c r="M20" s="389"/>
      <c r="N20" s="388"/>
      <c r="O20" s="388"/>
      <c r="P20" s="389"/>
      <c r="Q20" s="388"/>
      <c r="R20" s="388"/>
      <c r="S20" s="388"/>
      <c r="T20" s="372"/>
      <c r="U20" s="372"/>
      <c r="V20" s="372"/>
      <c r="W20" s="373"/>
      <c r="X20" s="372"/>
      <c r="Y20" s="372"/>
      <c r="Z20" s="372"/>
      <c r="AA20" s="373"/>
    </row>
    <row r="21" spans="1:27">
      <c r="A21" s="182"/>
      <c r="B21" s="477"/>
      <c r="C21" s="390"/>
      <c r="D21" s="107"/>
      <c r="E21" s="107"/>
      <c r="F21" s="107"/>
      <c r="G21" s="107"/>
      <c r="H21" s="107"/>
      <c r="I21" s="390"/>
      <c r="J21" s="390"/>
      <c r="K21" s="107"/>
      <c r="L21" s="107"/>
      <c r="M21" s="107"/>
      <c r="N21" s="390"/>
      <c r="O21" s="390"/>
      <c r="P21" s="107"/>
      <c r="Q21" s="390"/>
      <c r="R21" s="390"/>
      <c r="S21" s="390"/>
      <c r="T21" s="374"/>
      <c r="U21" s="374"/>
      <c r="V21" s="374"/>
      <c r="W21" s="375"/>
      <c r="X21" s="374"/>
      <c r="Y21" s="374"/>
      <c r="Z21" s="374"/>
      <c r="AA21" s="375"/>
    </row>
    <row r="22" spans="1:27" s="1" customFormat="1">
      <c r="A22" s="182"/>
      <c r="B22" s="476"/>
      <c r="C22" s="476"/>
      <c r="D22" s="511"/>
      <c r="E22" s="511"/>
      <c r="F22" s="511"/>
      <c r="G22" s="511"/>
      <c r="H22" s="511"/>
      <c r="I22" s="476"/>
      <c r="J22" s="476"/>
      <c r="K22" s="511"/>
      <c r="L22" s="511"/>
      <c r="M22" s="511"/>
      <c r="N22" s="476"/>
      <c r="O22" s="476"/>
      <c r="P22" s="511"/>
      <c r="Q22" s="476"/>
      <c r="R22" s="476"/>
      <c r="S22" s="476"/>
      <c r="T22" s="376"/>
      <c r="U22" s="376"/>
      <c r="V22" s="376"/>
      <c r="W22" s="377"/>
      <c r="X22" s="376"/>
      <c r="Y22" s="376"/>
      <c r="Z22" s="376"/>
      <c r="AA22" s="377"/>
    </row>
    <row r="23" spans="1:27">
      <c r="A23" s="182"/>
      <c r="B23" s="477"/>
      <c r="C23" s="390"/>
      <c r="D23" s="107"/>
      <c r="E23" s="107"/>
      <c r="F23" s="107"/>
      <c r="G23" s="107"/>
      <c r="H23" s="107"/>
      <c r="I23" s="390"/>
      <c r="J23" s="390"/>
      <c r="K23" s="107"/>
      <c r="L23" s="107"/>
      <c r="M23" s="107"/>
      <c r="N23" s="390"/>
      <c r="O23" s="390"/>
      <c r="P23" s="107"/>
      <c r="Q23" s="390"/>
      <c r="R23" s="390"/>
      <c r="S23" s="390"/>
      <c r="T23" s="374"/>
      <c r="U23" s="374"/>
      <c r="V23" s="374"/>
      <c r="W23" s="375"/>
      <c r="X23" s="374"/>
      <c r="Y23" s="374"/>
      <c r="Z23" s="374"/>
      <c r="AA23" s="375"/>
    </row>
    <row r="24" spans="1:27" s="1" customFormat="1">
      <c r="A24" s="182"/>
      <c r="B24" s="477"/>
      <c r="C24" s="390"/>
      <c r="D24" s="107"/>
      <c r="E24" s="107"/>
      <c r="F24" s="107"/>
      <c r="G24" s="107"/>
      <c r="H24" s="107"/>
      <c r="I24" s="390"/>
      <c r="J24" s="390"/>
      <c r="K24" s="107"/>
      <c r="L24" s="107"/>
      <c r="M24" s="107"/>
      <c r="N24" s="390"/>
      <c r="O24" s="390"/>
      <c r="P24" s="107"/>
      <c r="Q24" s="390"/>
      <c r="R24" s="390"/>
      <c r="S24" s="390"/>
      <c r="T24" s="374"/>
      <c r="U24" s="374"/>
      <c r="V24" s="374"/>
      <c r="W24" s="375"/>
      <c r="X24" s="374"/>
      <c r="Y24" s="374"/>
      <c r="Z24" s="374"/>
      <c r="AA24" s="375"/>
    </row>
    <row r="25" spans="1:27">
      <c r="A25" s="182"/>
      <c r="B25" s="475"/>
      <c r="C25" s="476"/>
      <c r="D25" s="511"/>
      <c r="E25" s="511"/>
      <c r="F25" s="511"/>
      <c r="G25" s="511"/>
      <c r="H25" s="511"/>
      <c r="I25" s="476"/>
      <c r="J25" s="476"/>
      <c r="K25" s="511"/>
      <c r="L25" s="511"/>
      <c r="M25" s="511"/>
      <c r="N25" s="476"/>
      <c r="O25" s="476"/>
      <c r="P25" s="511"/>
      <c r="Q25" s="476"/>
      <c r="R25" s="475"/>
      <c r="S25" s="475"/>
      <c r="T25" s="378"/>
      <c r="U25" s="378"/>
      <c r="V25" s="378"/>
      <c r="W25" s="379"/>
      <c r="X25" s="378"/>
      <c r="Y25" s="378"/>
      <c r="Z25" s="378"/>
      <c r="AA25" s="379"/>
    </row>
    <row r="26" spans="1:27" s="1" customFormat="1">
      <c r="A26" s="185"/>
      <c r="B26" s="474"/>
      <c r="C26" s="512"/>
      <c r="D26" s="513"/>
      <c r="E26" s="513"/>
      <c r="F26" s="513"/>
      <c r="G26" s="513"/>
      <c r="H26" s="513"/>
      <c r="I26" s="512"/>
      <c r="J26" s="512"/>
      <c r="K26" s="513"/>
      <c r="L26" s="513"/>
      <c r="M26" s="513"/>
      <c r="N26" s="512"/>
      <c r="O26" s="512"/>
      <c r="P26" s="513"/>
      <c r="Q26" s="512"/>
      <c r="R26" s="512"/>
      <c r="S26" s="512"/>
      <c r="T26" s="380"/>
      <c r="U26" s="380"/>
      <c r="V26" s="380"/>
      <c r="W26" s="381"/>
      <c r="X26" s="380"/>
      <c r="Y26" s="380"/>
      <c r="Z26" s="380"/>
      <c r="AA26" s="381"/>
    </row>
    <row r="27" spans="1:27">
      <c r="A27" s="365"/>
      <c r="B27" s="384"/>
      <c r="C27" s="388"/>
      <c r="D27" s="389"/>
      <c r="E27" s="389"/>
      <c r="F27" s="389"/>
      <c r="G27" s="389"/>
      <c r="H27" s="389"/>
      <c r="I27" s="388"/>
      <c r="J27" s="388"/>
      <c r="K27" s="389"/>
      <c r="L27" s="389"/>
      <c r="M27" s="389"/>
      <c r="N27" s="388"/>
      <c r="O27" s="388"/>
      <c r="P27" s="389"/>
      <c r="Q27" s="388"/>
      <c r="R27" s="388"/>
      <c r="S27" s="388"/>
      <c r="T27" s="372"/>
      <c r="U27" s="372"/>
      <c r="V27" s="372"/>
      <c r="W27" s="373"/>
      <c r="X27" s="372"/>
      <c r="Y27" s="372"/>
      <c r="Z27" s="372"/>
      <c r="AA27" s="373"/>
    </row>
    <row r="28" spans="1:27" s="1" customFormat="1">
      <c r="A28" s="182"/>
      <c r="B28" s="477"/>
      <c r="C28" s="390"/>
      <c r="D28" s="107"/>
      <c r="E28" s="107"/>
      <c r="F28" s="107"/>
      <c r="G28" s="107"/>
      <c r="H28" s="107"/>
      <c r="I28" s="390"/>
      <c r="J28" s="390"/>
      <c r="K28" s="107"/>
      <c r="L28" s="107"/>
      <c r="M28" s="107"/>
      <c r="N28" s="390"/>
      <c r="O28" s="390"/>
      <c r="P28" s="107"/>
      <c r="Q28" s="390"/>
      <c r="R28" s="390"/>
      <c r="S28" s="390"/>
      <c r="T28" s="374"/>
      <c r="U28" s="374"/>
      <c r="V28" s="374"/>
      <c r="W28" s="375"/>
      <c r="X28" s="374"/>
      <c r="Y28" s="374"/>
      <c r="Z28" s="374"/>
      <c r="AA28" s="375"/>
    </row>
    <row r="29" spans="1:27">
      <c r="A29" s="182"/>
      <c r="B29" s="476"/>
      <c r="C29" s="476"/>
      <c r="D29" s="511"/>
      <c r="E29" s="511"/>
      <c r="F29" s="511"/>
      <c r="G29" s="511"/>
      <c r="H29" s="511"/>
      <c r="I29" s="476"/>
      <c r="J29" s="476"/>
      <c r="K29" s="511"/>
      <c r="L29" s="511"/>
      <c r="M29" s="511"/>
      <c r="N29" s="476"/>
      <c r="O29" s="476"/>
      <c r="P29" s="511"/>
      <c r="Q29" s="476"/>
      <c r="R29" s="476"/>
      <c r="S29" s="476"/>
      <c r="T29" s="376"/>
      <c r="U29" s="376"/>
      <c r="V29" s="376"/>
      <c r="W29" s="377"/>
      <c r="X29" s="376"/>
      <c r="Y29" s="376"/>
      <c r="Z29" s="376"/>
      <c r="AA29" s="377"/>
    </row>
    <row r="30" spans="1:27" s="1" customFormat="1">
      <c r="A30" s="182"/>
      <c r="B30" s="477"/>
      <c r="C30" s="390"/>
      <c r="D30" s="107"/>
      <c r="E30" s="107"/>
      <c r="F30" s="107"/>
      <c r="G30" s="107"/>
      <c r="H30" s="107"/>
      <c r="I30" s="390"/>
      <c r="J30" s="390"/>
      <c r="K30" s="107"/>
      <c r="L30" s="107"/>
      <c r="M30" s="107"/>
      <c r="N30" s="390"/>
      <c r="O30" s="390"/>
      <c r="P30" s="107"/>
      <c r="Q30" s="390"/>
      <c r="R30" s="390"/>
      <c r="S30" s="390"/>
      <c r="T30" s="374"/>
      <c r="U30" s="374"/>
      <c r="V30" s="374"/>
      <c r="W30" s="375"/>
      <c r="X30" s="374"/>
      <c r="Y30" s="374"/>
      <c r="Z30" s="374"/>
      <c r="AA30" s="375"/>
    </row>
    <row r="31" spans="1:27">
      <c r="A31" s="182"/>
      <c r="B31" s="477"/>
      <c r="C31" s="390"/>
      <c r="D31" s="107"/>
      <c r="E31" s="107"/>
      <c r="F31" s="107"/>
      <c r="G31" s="107"/>
      <c r="H31" s="107"/>
      <c r="I31" s="390"/>
      <c r="J31" s="390"/>
      <c r="K31" s="107"/>
      <c r="L31" s="107"/>
      <c r="M31" s="107"/>
      <c r="N31" s="390"/>
      <c r="O31" s="390"/>
      <c r="P31" s="107"/>
      <c r="Q31" s="390"/>
      <c r="R31" s="390"/>
      <c r="S31" s="390"/>
      <c r="T31" s="374"/>
      <c r="U31" s="374"/>
      <c r="V31" s="374"/>
      <c r="W31" s="375"/>
      <c r="X31" s="374"/>
      <c r="Y31" s="374"/>
      <c r="Z31" s="374"/>
      <c r="AA31" s="375"/>
    </row>
    <row r="32" spans="1:27" s="1" customFormat="1">
      <c r="A32" s="182"/>
      <c r="B32" s="475"/>
      <c r="C32" s="476"/>
      <c r="D32" s="511"/>
      <c r="E32" s="511"/>
      <c r="F32" s="511"/>
      <c r="G32" s="511"/>
      <c r="H32" s="511"/>
      <c r="I32" s="476"/>
      <c r="J32" s="476"/>
      <c r="K32" s="511"/>
      <c r="L32" s="511"/>
      <c r="M32" s="511"/>
      <c r="N32" s="476"/>
      <c r="O32" s="476"/>
      <c r="P32" s="511"/>
      <c r="Q32" s="476"/>
      <c r="R32" s="475"/>
      <c r="S32" s="475"/>
      <c r="T32" s="378"/>
      <c r="U32" s="378"/>
      <c r="V32" s="378"/>
      <c r="W32" s="379"/>
      <c r="X32" s="378"/>
      <c r="Y32" s="378"/>
      <c r="Z32" s="378"/>
      <c r="AA32" s="379"/>
    </row>
    <row r="33" spans="1:27">
      <c r="A33" s="185"/>
      <c r="B33" s="474"/>
      <c r="C33" s="512"/>
      <c r="D33" s="513"/>
      <c r="E33" s="513"/>
      <c r="F33" s="513"/>
      <c r="G33" s="513"/>
      <c r="H33" s="513"/>
      <c r="I33" s="512"/>
      <c r="J33" s="512"/>
      <c r="K33" s="513"/>
      <c r="L33" s="513"/>
      <c r="M33" s="513"/>
      <c r="N33" s="512"/>
      <c r="O33" s="512"/>
      <c r="P33" s="513"/>
      <c r="Q33" s="512"/>
      <c r="R33" s="512"/>
      <c r="S33" s="512"/>
      <c r="T33" s="380"/>
      <c r="U33" s="380"/>
      <c r="V33" s="380"/>
      <c r="W33" s="381"/>
      <c r="X33" s="380"/>
      <c r="Y33" s="380"/>
      <c r="Z33" s="380"/>
      <c r="AA33" s="381"/>
    </row>
    <row r="34" spans="1:27" s="1" customFormat="1">
      <c r="A34" s="365"/>
      <c r="B34" s="384"/>
      <c r="C34" s="388"/>
      <c r="D34" s="389"/>
      <c r="E34" s="389"/>
      <c r="F34" s="389"/>
      <c r="G34" s="389"/>
      <c r="H34" s="389"/>
      <c r="I34" s="388"/>
      <c r="J34" s="388"/>
      <c r="K34" s="389"/>
      <c r="L34" s="389"/>
      <c r="M34" s="389"/>
      <c r="N34" s="388"/>
      <c r="O34" s="388"/>
      <c r="P34" s="389"/>
      <c r="Q34" s="388"/>
      <c r="R34" s="388"/>
      <c r="S34" s="388"/>
      <c r="T34" s="372"/>
      <c r="U34" s="372"/>
      <c r="V34" s="372"/>
      <c r="W34" s="373"/>
      <c r="X34" s="372"/>
      <c r="Y34" s="372"/>
      <c r="Z34" s="372"/>
      <c r="AA34" s="373"/>
    </row>
    <row r="35" spans="1:27">
      <c r="A35" s="182"/>
      <c r="B35" s="477"/>
      <c r="C35" s="390"/>
      <c r="D35" s="107"/>
      <c r="E35" s="107"/>
      <c r="F35" s="107"/>
      <c r="G35" s="107"/>
      <c r="H35" s="107"/>
      <c r="I35" s="390"/>
      <c r="J35" s="390"/>
      <c r="K35" s="107"/>
      <c r="L35" s="107"/>
      <c r="M35" s="107"/>
      <c r="N35" s="390"/>
      <c r="O35" s="390"/>
      <c r="P35" s="107"/>
      <c r="Q35" s="390"/>
      <c r="R35" s="390"/>
      <c r="S35" s="390"/>
      <c r="T35" s="374"/>
      <c r="U35" s="374"/>
      <c r="V35" s="374"/>
      <c r="W35" s="375"/>
      <c r="X35" s="374"/>
      <c r="Y35" s="374"/>
      <c r="Z35" s="374"/>
      <c r="AA35" s="375"/>
    </row>
    <row r="36" spans="1:27" s="1" customFormat="1">
      <c r="A36" s="182"/>
      <c r="B36" s="476"/>
      <c r="C36" s="476"/>
      <c r="D36" s="511"/>
      <c r="E36" s="511"/>
      <c r="F36" s="511"/>
      <c r="G36" s="511"/>
      <c r="H36" s="511"/>
      <c r="I36" s="476"/>
      <c r="J36" s="476"/>
      <c r="K36" s="511"/>
      <c r="L36" s="511"/>
      <c r="M36" s="511"/>
      <c r="N36" s="476"/>
      <c r="O36" s="476"/>
      <c r="P36" s="511"/>
      <c r="Q36" s="476"/>
      <c r="R36" s="476"/>
      <c r="S36" s="476"/>
      <c r="T36" s="376"/>
      <c r="U36" s="376"/>
      <c r="V36" s="376"/>
      <c r="W36" s="377"/>
      <c r="X36" s="376"/>
      <c r="Y36" s="376"/>
      <c r="Z36" s="376"/>
      <c r="AA36" s="377"/>
    </row>
    <row r="37" spans="1:27">
      <c r="A37" s="182"/>
      <c r="B37" s="477"/>
      <c r="C37" s="390"/>
      <c r="D37" s="107"/>
      <c r="E37" s="107"/>
      <c r="F37" s="107"/>
      <c r="G37" s="107"/>
      <c r="H37" s="107"/>
      <c r="I37" s="390"/>
      <c r="J37" s="390"/>
      <c r="K37" s="107"/>
      <c r="L37" s="107"/>
      <c r="M37" s="107"/>
      <c r="N37" s="390"/>
      <c r="O37" s="390"/>
      <c r="P37" s="107"/>
      <c r="Q37" s="390"/>
      <c r="R37" s="390"/>
      <c r="S37" s="390"/>
      <c r="T37" s="374"/>
      <c r="U37" s="374"/>
      <c r="V37" s="374"/>
      <c r="W37" s="375"/>
      <c r="X37" s="374"/>
      <c r="Y37" s="374"/>
      <c r="Z37" s="374"/>
      <c r="AA37" s="375"/>
    </row>
    <row r="38" spans="1:27" s="1" customFormat="1">
      <c r="A38" s="182"/>
      <c r="B38" s="477"/>
      <c r="C38" s="390"/>
      <c r="D38" s="107"/>
      <c r="E38" s="107"/>
      <c r="F38" s="107"/>
      <c r="G38" s="107"/>
      <c r="H38" s="107"/>
      <c r="I38" s="390"/>
      <c r="J38" s="390"/>
      <c r="K38" s="107"/>
      <c r="L38" s="107"/>
      <c r="M38" s="107"/>
      <c r="N38" s="390"/>
      <c r="O38" s="390"/>
      <c r="P38" s="107"/>
      <c r="Q38" s="390"/>
      <c r="R38" s="390"/>
      <c r="S38" s="390"/>
      <c r="T38" s="374"/>
      <c r="U38" s="374"/>
      <c r="V38" s="374"/>
      <c r="W38" s="375"/>
      <c r="X38" s="374"/>
      <c r="Y38" s="374"/>
      <c r="Z38" s="374"/>
      <c r="AA38" s="375"/>
    </row>
    <row r="39" spans="1:27">
      <c r="A39" s="182"/>
      <c r="B39" s="475"/>
      <c r="C39" s="476"/>
      <c r="D39" s="511"/>
      <c r="E39" s="511"/>
      <c r="F39" s="511"/>
      <c r="G39" s="511"/>
      <c r="H39" s="511"/>
      <c r="I39" s="476"/>
      <c r="J39" s="476"/>
      <c r="K39" s="511"/>
      <c r="L39" s="511"/>
      <c r="M39" s="511"/>
      <c r="N39" s="476"/>
      <c r="O39" s="476"/>
      <c r="P39" s="511"/>
      <c r="Q39" s="476"/>
      <c r="R39" s="475"/>
      <c r="S39" s="475"/>
      <c r="T39" s="378"/>
      <c r="U39" s="378"/>
      <c r="V39" s="378"/>
      <c r="W39" s="379"/>
      <c r="X39" s="378"/>
      <c r="Y39" s="378"/>
      <c r="Z39" s="378"/>
      <c r="AA39" s="379"/>
    </row>
    <row r="40" spans="1:27" s="1" customFormat="1">
      <c r="A40" s="185"/>
      <c r="B40" s="474"/>
      <c r="C40" s="512"/>
      <c r="D40" s="513"/>
      <c r="E40" s="513"/>
      <c r="F40" s="513"/>
      <c r="G40" s="513"/>
      <c r="H40" s="513"/>
      <c r="I40" s="512"/>
      <c r="J40" s="512"/>
      <c r="K40" s="513"/>
      <c r="L40" s="513"/>
      <c r="M40" s="513"/>
      <c r="N40" s="512"/>
      <c r="O40" s="512"/>
      <c r="P40" s="513"/>
      <c r="Q40" s="512"/>
      <c r="R40" s="512"/>
      <c r="S40" s="512"/>
      <c r="T40" s="380"/>
      <c r="U40" s="380"/>
      <c r="V40" s="380"/>
      <c r="W40" s="381"/>
      <c r="X40" s="380"/>
      <c r="Y40" s="380"/>
      <c r="Z40" s="380"/>
      <c r="AA40" s="381"/>
    </row>
    <row r="41" spans="1:27">
      <c r="A41" s="365"/>
      <c r="B41" s="384"/>
      <c r="C41" s="388"/>
      <c r="D41" s="389"/>
      <c r="E41" s="389"/>
      <c r="F41" s="389"/>
      <c r="G41" s="389"/>
      <c r="H41" s="389"/>
      <c r="I41" s="388"/>
      <c r="J41" s="388"/>
      <c r="K41" s="389"/>
      <c r="L41" s="389"/>
      <c r="M41" s="389"/>
      <c r="N41" s="388"/>
      <c r="O41" s="388"/>
      <c r="P41" s="389"/>
      <c r="Q41" s="388"/>
      <c r="R41" s="388"/>
      <c r="S41" s="388"/>
      <c r="T41" s="372"/>
      <c r="U41" s="372"/>
      <c r="V41" s="372"/>
      <c r="W41" s="373"/>
      <c r="X41" s="372"/>
      <c r="Y41" s="372"/>
      <c r="Z41" s="372"/>
      <c r="AA41" s="373"/>
    </row>
    <row r="42" spans="1:27" s="1" customFormat="1">
      <c r="A42" s="182"/>
      <c r="B42" s="477"/>
      <c r="C42" s="390"/>
      <c r="D42" s="107"/>
      <c r="E42" s="107"/>
      <c r="F42" s="107"/>
      <c r="G42" s="107"/>
      <c r="H42" s="107"/>
      <c r="I42" s="390"/>
      <c r="J42" s="390"/>
      <c r="K42" s="107"/>
      <c r="L42" s="107"/>
      <c r="M42" s="107"/>
      <c r="N42" s="390"/>
      <c r="O42" s="390"/>
      <c r="P42" s="107"/>
      <c r="Q42" s="390"/>
      <c r="R42" s="390"/>
      <c r="S42" s="390"/>
      <c r="T42" s="374"/>
      <c r="U42" s="374"/>
      <c r="V42" s="374"/>
      <c r="W42" s="375"/>
      <c r="X42" s="374"/>
      <c r="Y42" s="374"/>
      <c r="Z42" s="374"/>
      <c r="AA42" s="375"/>
    </row>
    <row r="43" spans="1:27">
      <c r="A43" s="182"/>
      <c r="B43" s="476"/>
      <c r="C43" s="476"/>
      <c r="D43" s="511"/>
      <c r="E43" s="511"/>
      <c r="F43" s="511"/>
      <c r="G43" s="511"/>
      <c r="H43" s="511"/>
      <c r="I43" s="476"/>
      <c r="J43" s="476"/>
      <c r="K43" s="511"/>
      <c r="L43" s="511"/>
      <c r="M43" s="511"/>
      <c r="N43" s="476"/>
      <c r="O43" s="476"/>
      <c r="P43" s="511"/>
      <c r="Q43" s="476"/>
      <c r="R43" s="476"/>
      <c r="S43" s="476"/>
      <c r="T43" s="376"/>
      <c r="U43" s="376"/>
      <c r="V43" s="376"/>
      <c r="W43" s="377"/>
      <c r="X43" s="376"/>
      <c r="Y43" s="376"/>
      <c r="Z43" s="376"/>
      <c r="AA43" s="377"/>
    </row>
    <row r="44" spans="1:27" s="1" customFormat="1">
      <c r="A44" s="182"/>
      <c r="B44" s="477"/>
      <c r="C44" s="390"/>
      <c r="D44" s="107"/>
      <c r="E44" s="107"/>
      <c r="F44" s="107"/>
      <c r="G44" s="107"/>
      <c r="H44" s="107"/>
      <c r="I44" s="390"/>
      <c r="J44" s="390"/>
      <c r="K44" s="107"/>
      <c r="L44" s="107"/>
      <c r="M44" s="107"/>
      <c r="N44" s="390"/>
      <c r="O44" s="390"/>
      <c r="P44" s="107"/>
      <c r="Q44" s="390"/>
      <c r="R44" s="390"/>
      <c r="S44" s="390"/>
      <c r="T44" s="374"/>
      <c r="U44" s="374"/>
      <c r="V44" s="374"/>
      <c r="W44" s="375"/>
      <c r="X44" s="374"/>
      <c r="Y44" s="374"/>
      <c r="Z44" s="374"/>
      <c r="AA44" s="375"/>
    </row>
    <row r="45" spans="1:27">
      <c r="A45" s="182"/>
      <c r="B45" s="477"/>
      <c r="C45" s="390"/>
      <c r="D45" s="107"/>
      <c r="E45" s="107"/>
      <c r="F45" s="107"/>
      <c r="G45" s="107"/>
      <c r="H45" s="107"/>
      <c r="I45" s="390"/>
      <c r="J45" s="390"/>
      <c r="K45" s="107"/>
      <c r="L45" s="107"/>
      <c r="M45" s="107"/>
      <c r="N45" s="390"/>
      <c r="O45" s="390"/>
      <c r="P45" s="107"/>
      <c r="Q45" s="390"/>
      <c r="R45" s="390"/>
      <c r="S45" s="390"/>
      <c r="T45" s="374"/>
      <c r="U45" s="374"/>
      <c r="V45" s="374"/>
      <c r="W45" s="375"/>
      <c r="X45" s="374"/>
      <c r="Y45" s="374"/>
      <c r="Z45" s="374"/>
      <c r="AA45" s="375"/>
    </row>
    <row r="46" spans="1:27" s="1" customFormat="1">
      <c r="A46" s="182"/>
      <c r="B46" s="475"/>
      <c r="C46" s="476"/>
      <c r="D46" s="511"/>
      <c r="E46" s="511"/>
      <c r="F46" s="511"/>
      <c r="G46" s="511"/>
      <c r="H46" s="511"/>
      <c r="I46" s="476"/>
      <c r="J46" s="476"/>
      <c r="K46" s="511"/>
      <c r="L46" s="511"/>
      <c r="M46" s="511"/>
      <c r="N46" s="476"/>
      <c r="O46" s="476"/>
      <c r="P46" s="511"/>
      <c r="Q46" s="476"/>
      <c r="R46" s="475"/>
      <c r="S46" s="475"/>
      <c r="T46" s="378"/>
      <c r="U46" s="378"/>
      <c r="V46" s="378"/>
      <c r="W46" s="379"/>
      <c r="X46" s="378"/>
      <c r="Y46" s="378"/>
      <c r="Z46" s="378"/>
      <c r="AA46" s="379"/>
    </row>
    <row r="47" spans="1:27">
      <c r="A47" s="185"/>
      <c r="B47" s="474"/>
      <c r="C47" s="512"/>
      <c r="D47" s="513"/>
      <c r="E47" s="513"/>
      <c r="F47" s="513"/>
      <c r="G47" s="513"/>
      <c r="H47" s="513"/>
      <c r="I47" s="512"/>
      <c r="J47" s="512"/>
      <c r="K47" s="513"/>
      <c r="L47" s="513"/>
      <c r="M47" s="513"/>
      <c r="N47" s="512"/>
      <c r="O47" s="512"/>
      <c r="P47" s="513"/>
      <c r="Q47" s="512"/>
      <c r="R47" s="512"/>
      <c r="S47" s="512"/>
      <c r="T47" s="380"/>
      <c r="U47" s="380"/>
      <c r="V47" s="380"/>
      <c r="W47" s="381"/>
      <c r="X47" s="380"/>
      <c r="Y47" s="380"/>
      <c r="Z47" s="380"/>
      <c r="AA47" s="381"/>
    </row>
    <row r="48" spans="1:27" s="1" customFormat="1">
      <c r="A48" s="365"/>
      <c r="B48" s="384"/>
      <c r="C48" s="388"/>
      <c r="D48" s="389"/>
      <c r="E48" s="389"/>
      <c r="F48" s="389"/>
      <c r="G48" s="389"/>
      <c r="H48" s="389"/>
      <c r="I48" s="388"/>
      <c r="J48" s="388"/>
      <c r="K48" s="389"/>
      <c r="L48" s="389"/>
      <c r="M48" s="389"/>
      <c r="N48" s="388"/>
      <c r="O48" s="388"/>
      <c r="P48" s="389"/>
      <c r="Q48" s="388"/>
      <c r="R48" s="388"/>
      <c r="S48" s="388"/>
      <c r="T48" s="372"/>
      <c r="U48" s="372"/>
      <c r="V48" s="372"/>
      <c r="W48" s="373"/>
      <c r="X48" s="372"/>
      <c r="Y48" s="372"/>
      <c r="Z48" s="372"/>
      <c r="AA48" s="373"/>
    </row>
    <row r="49" spans="1:27">
      <c r="A49" s="182"/>
      <c r="B49" s="477"/>
      <c r="C49" s="390"/>
      <c r="D49" s="107"/>
      <c r="E49" s="107"/>
      <c r="F49" s="107"/>
      <c r="G49" s="107"/>
      <c r="H49" s="107"/>
      <c r="I49" s="390"/>
      <c r="J49" s="390"/>
      <c r="K49" s="107"/>
      <c r="L49" s="107"/>
      <c r="M49" s="107"/>
      <c r="N49" s="390"/>
      <c r="O49" s="390"/>
      <c r="P49" s="107"/>
      <c r="Q49" s="390"/>
      <c r="R49" s="390"/>
      <c r="S49" s="390"/>
      <c r="T49" s="374"/>
      <c r="U49" s="374"/>
      <c r="V49" s="374"/>
      <c r="W49" s="375"/>
      <c r="X49" s="374"/>
      <c r="Y49" s="374"/>
      <c r="Z49" s="374"/>
      <c r="AA49" s="375"/>
    </row>
    <row r="50" spans="1:27" s="1" customFormat="1">
      <c r="A50" s="182"/>
      <c r="B50" s="476"/>
      <c r="C50" s="476"/>
      <c r="D50" s="511"/>
      <c r="E50" s="511"/>
      <c r="F50" s="511"/>
      <c r="G50" s="511"/>
      <c r="H50" s="511"/>
      <c r="I50" s="476"/>
      <c r="J50" s="476"/>
      <c r="K50" s="511"/>
      <c r="L50" s="511"/>
      <c r="M50" s="511"/>
      <c r="N50" s="476"/>
      <c r="O50" s="476"/>
      <c r="P50" s="511"/>
      <c r="Q50" s="476"/>
      <c r="R50" s="476"/>
      <c r="S50" s="476"/>
      <c r="T50" s="376"/>
      <c r="U50" s="376"/>
      <c r="V50" s="376"/>
      <c r="W50" s="377"/>
      <c r="X50" s="376"/>
      <c r="Y50" s="376"/>
      <c r="Z50" s="376"/>
      <c r="AA50" s="377"/>
    </row>
    <row r="51" spans="1:27">
      <c r="A51" s="182"/>
      <c r="B51" s="477"/>
      <c r="C51" s="390"/>
      <c r="D51" s="107"/>
      <c r="E51" s="107"/>
      <c r="F51" s="107"/>
      <c r="G51" s="107"/>
      <c r="H51" s="107"/>
      <c r="I51" s="390"/>
      <c r="J51" s="390"/>
      <c r="K51" s="107"/>
      <c r="L51" s="107"/>
      <c r="M51" s="107"/>
      <c r="N51" s="390"/>
      <c r="O51" s="390"/>
      <c r="P51" s="107"/>
      <c r="Q51" s="390"/>
      <c r="R51" s="390"/>
      <c r="S51" s="390"/>
      <c r="T51" s="374"/>
      <c r="U51" s="374"/>
      <c r="V51" s="374"/>
      <c r="W51" s="375"/>
      <c r="X51" s="374"/>
      <c r="Y51" s="374"/>
      <c r="Z51" s="374"/>
      <c r="AA51" s="375"/>
    </row>
    <row r="52" spans="1:27" s="1" customFormat="1">
      <c r="A52" s="182"/>
      <c r="B52" s="477"/>
      <c r="C52" s="390"/>
      <c r="D52" s="107"/>
      <c r="E52" s="107"/>
      <c r="F52" s="107"/>
      <c r="G52" s="107"/>
      <c r="H52" s="107"/>
      <c r="I52" s="390"/>
      <c r="J52" s="390"/>
      <c r="K52" s="107"/>
      <c r="L52" s="107"/>
      <c r="M52" s="107"/>
      <c r="N52" s="390"/>
      <c r="O52" s="390"/>
      <c r="P52" s="107"/>
      <c r="Q52" s="390"/>
      <c r="R52" s="390"/>
      <c r="S52" s="390"/>
      <c r="T52" s="374"/>
      <c r="U52" s="374"/>
      <c r="V52" s="374"/>
      <c r="W52" s="375"/>
      <c r="X52" s="374"/>
      <c r="Y52" s="374"/>
      <c r="Z52" s="374"/>
      <c r="AA52" s="375"/>
    </row>
    <row r="53" spans="1:27">
      <c r="A53" s="182"/>
      <c r="B53" s="475"/>
      <c r="C53" s="476"/>
      <c r="D53" s="511"/>
      <c r="E53" s="511"/>
      <c r="F53" s="511"/>
      <c r="G53" s="511"/>
      <c r="H53" s="511"/>
      <c r="I53" s="476"/>
      <c r="J53" s="476"/>
      <c r="K53" s="511"/>
      <c r="L53" s="511"/>
      <c r="M53" s="511"/>
      <c r="N53" s="476"/>
      <c r="O53" s="476"/>
      <c r="P53" s="511"/>
      <c r="Q53" s="476"/>
      <c r="R53" s="475"/>
      <c r="S53" s="475"/>
      <c r="T53" s="378"/>
      <c r="U53" s="378"/>
      <c r="V53" s="378"/>
      <c r="W53" s="379"/>
      <c r="X53" s="378"/>
      <c r="Y53" s="378"/>
      <c r="Z53" s="378"/>
      <c r="AA53" s="379"/>
    </row>
    <row r="54" spans="1:27" s="1" customFormat="1">
      <c r="A54" s="185"/>
      <c r="B54" s="474"/>
      <c r="C54" s="512"/>
      <c r="D54" s="513"/>
      <c r="E54" s="517"/>
      <c r="F54" s="513"/>
      <c r="G54" s="513"/>
      <c r="H54" s="513"/>
      <c r="I54" s="512"/>
      <c r="J54" s="512"/>
      <c r="K54" s="513"/>
      <c r="L54" s="517"/>
      <c r="M54" s="517"/>
      <c r="N54" s="512"/>
      <c r="O54" s="512"/>
      <c r="P54" s="513"/>
      <c r="Q54" s="512"/>
      <c r="R54" s="512"/>
      <c r="S54" s="512"/>
      <c r="T54" s="380"/>
      <c r="U54" s="380"/>
      <c r="V54" s="380"/>
      <c r="W54" s="381"/>
      <c r="X54" s="380"/>
      <c r="Y54" s="380"/>
      <c r="Z54" s="380"/>
      <c r="AA54" s="381"/>
    </row>
    <row r="55" spans="1:27">
      <c r="A55" s="365"/>
      <c r="B55" s="384"/>
      <c r="C55" s="388"/>
      <c r="D55" s="389"/>
      <c r="E55" s="389"/>
      <c r="F55" s="389"/>
      <c r="G55" s="389"/>
      <c r="H55" s="389"/>
      <c r="I55" s="388"/>
      <c r="J55" s="388"/>
      <c r="K55" s="389"/>
      <c r="L55" s="389"/>
      <c r="M55" s="389"/>
      <c r="N55" s="388"/>
      <c r="O55" s="388"/>
      <c r="P55" s="389"/>
      <c r="Q55" s="388"/>
      <c r="R55" s="388"/>
      <c r="S55" s="388"/>
      <c r="T55" s="372"/>
      <c r="U55" s="372"/>
      <c r="V55" s="372"/>
      <c r="W55" s="373"/>
      <c r="X55" s="372"/>
      <c r="Y55" s="372"/>
      <c r="Z55" s="372"/>
      <c r="AA55" s="373"/>
    </row>
    <row r="56" spans="1:27" s="1" customFormat="1">
      <c r="A56" s="182"/>
      <c r="B56" s="477"/>
      <c r="C56" s="390"/>
      <c r="D56" s="107"/>
      <c r="E56" s="107"/>
      <c r="F56" s="107"/>
      <c r="G56" s="107"/>
      <c r="H56" s="107"/>
      <c r="I56" s="390"/>
      <c r="J56" s="390"/>
      <c r="K56" s="107"/>
      <c r="L56" s="107"/>
      <c r="M56" s="107"/>
      <c r="N56" s="390"/>
      <c r="O56" s="390"/>
      <c r="P56" s="107"/>
      <c r="Q56" s="390"/>
      <c r="R56" s="390"/>
      <c r="S56" s="390"/>
      <c r="T56" s="374"/>
      <c r="U56" s="374"/>
      <c r="V56" s="374"/>
      <c r="W56" s="375"/>
      <c r="X56" s="374"/>
      <c r="Y56" s="374"/>
      <c r="Z56" s="374"/>
      <c r="AA56" s="375"/>
    </row>
    <row r="57" spans="1:27">
      <c r="A57" s="182"/>
      <c r="B57" s="476"/>
      <c r="C57" s="476"/>
      <c r="D57" s="511"/>
      <c r="E57" s="511"/>
      <c r="F57" s="511"/>
      <c r="G57" s="511"/>
      <c r="H57" s="511"/>
      <c r="I57" s="476"/>
      <c r="J57" s="476"/>
      <c r="K57" s="511"/>
      <c r="L57" s="511"/>
      <c r="M57" s="511"/>
      <c r="N57" s="476"/>
      <c r="O57" s="476"/>
      <c r="P57" s="511"/>
      <c r="Q57" s="476"/>
      <c r="R57" s="476"/>
      <c r="S57" s="476"/>
      <c r="T57" s="376"/>
      <c r="U57" s="376"/>
      <c r="V57" s="376"/>
      <c r="W57" s="377"/>
      <c r="X57" s="376"/>
      <c r="Y57" s="376"/>
      <c r="Z57" s="376"/>
      <c r="AA57" s="377"/>
    </row>
    <row r="58" spans="1:27" s="1" customFormat="1">
      <c r="A58" s="182"/>
      <c r="B58" s="477"/>
      <c r="C58" s="390"/>
      <c r="D58" s="107"/>
      <c r="E58" s="107"/>
      <c r="F58" s="107"/>
      <c r="G58" s="107"/>
      <c r="H58" s="107"/>
      <c r="I58" s="390"/>
      <c r="J58" s="390"/>
      <c r="K58" s="107"/>
      <c r="L58" s="107"/>
      <c r="M58" s="107"/>
      <c r="N58" s="390"/>
      <c r="O58" s="390"/>
      <c r="P58" s="107"/>
      <c r="Q58" s="390"/>
      <c r="R58" s="390"/>
      <c r="S58" s="390"/>
      <c r="T58" s="374"/>
      <c r="U58" s="374"/>
      <c r="V58" s="374"/>
      <c r="W58" s="375"/>
      <c r="X58" s="374"/>
      <c r="Y58" s="374"/>
      <c r="Z58" s="374"/>
      <c r="AA58" s="375"/>
    </row>
    <row r="59" spans="1:27">
      <c r="A59" s="182"/>
      <c r="B59" s="477"/>
      <c r="C59" s="390"/>
      <c r="D59" s="107"/>
      <c r="E59" s="107"/>
      <c r="F59" s="107"/>
      <c r="G59" s="107"/>
      <c r="H59" s="107"/>
      <c r="I59" s="390"/>
      <c r="J59" s="390"/>
      <c r="K59" s="107"/>
      <c r="L59" s="107"/>
      <c r="M59" s="107"/>
      <c r="N59" s="390"/>
      <c r="O59" s="390"/>
      <c r="P59" s="107"/>
      <c r="Q59" s="390"/>
      <c r="R59" s="390"/>
      <c r="S59" s="390"/>
      <c r="T59" s="374"/>
      <c r="U59" s="374"/>
      <c r="V59" s="374"/>
      <c r="W59" s="375"/>
      <c r="X59" s="374"/>
      <c r="Y59" s="374"/>
      <c r="Z59" s="374"/>
      <c r="AA59" s="375"/>
    </row>
    <row r="60" spans="1:27" s="1" customFormat="1">
      <c r="A60" s="182"/>
      <c r="B60" s="475"/>
      <c r="C60" s="476"/>
      <c r="D60" s="511"/>
      <c r="E60" s="511"/>
      <c r="F60" s="511"/>
      <c r="G60" s="511"/>
      <c r="H60" s="511"/>
      <c r="I60" s="476"/>
      <c r="J60" s="476"/>
      <c r="K60" s="511"/>
      <c r="L60" s="511"/>
      <c r="M60" s="511"/>
      <c r="N60" s="476"/>
      <c r="O60" s="476"/>
      <c r="P60" s="511"/>
      <c r="Q60" s="476"/>
      <c r="R60" s="475"/>
      <c r="S60" s="475"/>
      <c r="T60" s="378"/>
      <c r="U60" s="378"/>
      <c r="V60" s="378"/>
      <c r="W60" s="379"/>
      <c r="X60" s="378"/>
      <c r="Y60" s="378"/>
      <c r="Z60" s="378"/>
      <c r="AA60" s="379"/>
    </row>
    <row r="61" spans="1:27">
      <c r="A61" s="185"/>
      <c r="B61" s="474"/>
      <c r="C61" s="512"/>
      <c r="D61" s="513"/>
      <c r="E61" s="513"/>
      <c r="F61" s="513"/>
      <c r="G61" s="513"/>
      <c r="H61" s="513"/>
      <c r="I61" s="512"/>
      <c r="J61" s="512"/>
      <c r="K61" s="513"/>
      <c r="L61" s="513"/>
      <c r="M61" s="513"/>
      <c r="N61" s="512"/>
      <c r="O61" s="512"/>
      <c r="P61" s="513"/>
      <c r="Q61" s="512"/>
      <c r="R61" s="512"/>
      <c r="S61" s="512"/>
      <c r="T61" s="380"/>
      <c r="U61" s="380"/>
      <c r="V61" s="380"/>
      <c r="W61" s="381"/>
      <c r="X61" s="380"/>
      <c r="Y61" s="380"/>
      <c r="Z61" s="380"/>
      <c r="AA61" s="381"/>
    </row>
    <row r="62" spans="1:27" s="1" customFormat="1">
      <c r="A62" s="365"/>
      <c r="B62" s="384"/>
      <c r="C62" s="388"/>
      <c r="D62" s="389"/>
      <c r="E62" s="389"/>
      <c r="F62" s="389"/>
      <c r="G62" s="389"/>
      <c r="H62" s="389"/>
      <c r="I62" s="388"/>
      <c r="J62" s="388"/>
      <c r="K62" s="389"/>
      <c r="L62" s="389"/>
      <c r="M62" s="389"/>
      <c r="N62" s="388"/>
      <c r="O62" s="388"/>
      <c r="P62" s="389"/>
      <c r="Q62" s="388"/>
      <c r="R62" s="388"/>
      <c r="S62" s="388"/>
      <c r="T62" s="372"/>
      <c r="U62" s="372"/>
      <c r="V62" s="372"/>
      <c r="W62" s="373"/>
      <c r="X62" s="372"/>
      <c r="Y62" s="372"/>
      <c r="Z62" s="372"/>
      <c r="AA62" s="373"/>
    </row>
    <row r="63" spans="1:27">
      <c r="A63" s="182"/>
      <c r="B63" s="477"/>
      <c r="C63" s="390"/>
      <c r="D63" s="107"/>
      <c r="E63" s="107"/>
      <c r="F63" s="107"/>
      <c r="G63" s="107"/>
      <c r="H63" s="107"/>
      <c r="I63" s="390"/>
      <c r="J63" s="390"/>
      <c r="K63" s="107"/>
      <c r="L63" s="107"/>
      <c r="M63" s="107"/>
      <c r="N63" s="390"/>
      <c r="O63" s="390"/>
      <c r="P63" s="107"/>
      <c r="Q63" s="390"/>
      <c r="R63" s="390"/>
      <c r="S63" s="390"/>
      <c r="T63" s="374"/>
      <c r="U63" s="374"/>
      <c r="V63" s="374"/>
      <c r="W63" s="375"/>
      <c r="X63" s="374"/>
      <c r="Y63" s="374"/>
      <c r="Z63" s="374"/>
      <c r="AA63" s="375"/>
    </row>
    <row r="64" spans="1:27" s="1" customFormat="1">
      <c r="A64" s="182"/>
      <c r="B64" s="476"/>
      <c r="C64" s="476"/>
      <c r="D64" s="511"/>
      <c r="E64" s="511"/>
      <c r="F64" s="511"/>
      <c r="G64" s="511"/>
      <c r="H64" s="511"/>
      <c r="I64" s="476"/>
      <c r="J64" s="476"/>
      <c r="K64" s="511"/>
      <c r="L64" s="511"/>
      <c r="M64" s="511"/>
      <c r="N64" s="476"/>
      <c r="O64" s="476"/>
      <c r="P64" s="511"/>
      <c r="Q64" s="476"/>
      <c r="R64" s="476"/>
      <c r="S64" s="476"/>
      <c r="T64" s="376"/>
      <c r="U64" s="376"/>
      <c r="V64" s="376"/>
      <c r="W64" s="377"/>
      <c r="X64" s="376"/>
      <c r="Y64" s="376"/>
      <c r="Z64" s="376"/>
      <c r="AA64" s="377"/>
    </row>
    <row r="65" spans="1:27">
      <c r="A65" s="182"/>
      <c r="B65" s="477"/>
      <c r="C65" s="390"/>
      <c r="D65" s="107"/>
      <c r="E65" s="107"/>
      <c r="F65" s="107"/>
      <c r="G65" s="107"/>
      <c r="H65" s="107"/>
      <c r="I65" s="390"/>
      <c r="J65" s="390"/>
      <c r="K65" s="107"/>
      <c r="L65" s="107"/>
      <c r="M65" s="107"/>
      <c r="N65" s="390"/>
      <c r="O65" s="390"/>
      <c r="P65" s="107"/>
      <c r="Q65" s="390"/>
      <c r="R65" s="390"/>
      <c r="S65" s="390"/>
      <c r="T65" s="374"/>
      <c r="U65" s="374"/>
      <c r="V65" s="374"/>
      <c r="W65" s="375"/>
      <c r="X65" s="374"/>
      <c r="Y65" s="374"/>
      <c r="Z65" s="374"/>
      <c r="AA65" s="375"/>
    </row>
    <row r="66" spans="1:27" s="1" customFormat="1">
      <c r="A66" s="182"/>
      <c r="B66" s="477"/>
      <c r="C66" s="390"/>
      <c r="D66" s="107"/>
      <c r="E66" s="107"/>
      <c r="F66" s="107"/>
      <c r="G66" s="107"/>
      <c r="H66" s="107"/>
      <c r="I66" s="390"/>
      <c r="J66" s="390"/>
      <c r="K66" s="107"/>
      <c r="L66" s="107"/>
      <c r="M66" s="107"/>
      <c r="N66" s="390"/>
      <c r="O66" s="390"/>
      <c r="P66" s="107"/>
      <c r="Q66" s="390"/>
      <c r="R66" s="390"/>
      <c r="S66" s="390"/>
      <c r="T66" s="374"/>
      <c r="U66" s="374"/>
      <c r="V66" s="374"/>
      <c r="W66" s="375"/>
      <c r="X66" s="374"/>
      <c r="Y66" s="374"/>
      <c r="Z66" s="374"/>
      <c r="AA66" s="375"/>
    </row>
    <row r="67" spans="1:27">
      <c r="A67" s="182"/>
      <c r="B67" s="475"/>
      <c r="C67" s="476"/>
      <c r="D67" s="511"/>
      <c r="E67" s="511"/>
      <c r="F67" s="511"/>
      <c r="G67" s="511"/>
      <c r="H67" s="511"/>
      <c r="I67" s="476"/>
      <c r="J67" s="476"/>
      <c r="K67" s="511"/>
      <c r="L67" s="511"/>
      <c r="M67" s="511"/>
      <c r="N67" s="476"/>
      <c r="O67" s="476"/>
      <c r="P67" s="511"/>
      <c r="Q67" s="476"/>
      <c r="R67" s="475"/>
      <c r="S67" s="475"/>
      <c r="T67" s="378"/>
      <c r="U67" s="378"/>
      <c r="V67" s="378"/>
      <c r="W67" s="379"/>
      <c r="X67" s="378"/>
      <c r="Y67" s="378"/>
      <c r="Z67" s="378"/>
      <c r="AA67" s="379"/>
    </row>
    <row r="68" spans="1:27" s="1" customFormat="1">
      <c r="A68" s="182"/>
      <c r="B68" s="474"/>
      <c r="C68" s="512"/>
      <c r="D68" s="513"/>
      <c r="E68" s="513"/>
      <c r="F68" s="513"/>
      <c r="G68" s="513"/>
      <c r="H68" s="513"/>
      <c r="I68" s="512"/>
      <c r="J68" s="512"/>
      <c r="K68" s="513"/>
      <c r="L68" s="513"/>
      <c r="M68" s="513"/>
      <c r="N68" s="512"/>
      <c r="O68" s="512"/>
      <c r="P68" s="513"/>
      <c r="Q68" s="512"/>
      <c r="R68" s="512"/>
      <c r="S68" s="512"/>
      <c r="T68" s="380"/>
      <c r="U68" s="380"/>
      <c r="V68" s="380"/>
      <c r="W68" s="381"/>
      <c r="X68" s="380"/>
      <c r="Y68" s="380"/>
      <c r="Z68" s="380"/>
      <c r="AA68" s="381"/>
    </row>
    <row r="69" spans="1:27">
      <c r="A69" s="365"/>
      <c r="B69" s="384"/>
      <c r="C69" s="388"/>
      <c r="D69" s="389"/>
      <c r="E69" s="389"/>
      <c r="F69" s="389"/>
      <c r="G69" s="389"/>
      <c r="H69" s="389"/>
      <c r="I69" s="388"/>
      <c r="J69" s="388"/>
      <c r="K69" s="389"/>
      <c r="L69" s="389"/>
      <c r="M69" s="389"/>
      <c r="N69" s="388"/>
      <c r="O69" s="388"/>
      <c r="P69" s="389"/>
      <c r="Q69" s="388"/>
      <c r="R69" s="388"/>
      <c r="S69" s="388"/>
      <c r="T69" s="372"/>
      <c r="U69" s="372"/>
      <c r="V69" s="372"/>
      <c r="W69" s="373"/>
      <c r="X69" s="372"/>
      <c r="Y69" s="372"/>
      <c r="Z69" s="372"/>
      <c r="AA69" s="373"/>
    </row>
    <row r="70" spans="1:27" s="1" customFormat="1">
      <c r="A70" s="182"/>
      <c r="B70" s="477"/>
      <c r="C70" s="390"/>
      <c r="D70" s="107"/>
      <c r="E70" s="107"/>
      <c r="F70" s="107"/>
      <c r="G70" s="107"/>
      <c r="H70" s="107"/>
      <c r="I70" s="390"/>
      <c r="J70" s="390"/>
      <c r="K70" s="107"/>
      <c r="L70" s="107"/>
      <c r="M70" s="107"/>
      <c r="N70" s="390"/>
      <c r="O70" s="390"/>
      <c r="P70" s="107"/>
      <c r="Q70" s="390"/>
      <c r="R70" s="390"/>
      <c r="S70" s="390"/>
      <c r="T70" s="374"/>
      <c r="U70" s="374"/>
      <c r="V70" s="374"/>
      <c r="W70" s="375"/>
      <c r="X70" s="374"/>
      <c r="Y70" s="374"/>
      <c r="Z70" s="374"/>
      <c r="AA70" s="375"/>
    </row>
    <row r="71" spans="1:27">
      <c r="A71" s="182"/>
      <c r="B71" s="476"/>
      <c r="C71" s="476"/>
      <c r="D71" s="511"/>
      <c r="E71" s="511"/>
      <c r="F71" s="511"/>
      <c r="G71" s="511"/>
      <c r="H71" s="511"/>
      <c r="I71" s="476"/>
      <c r="J71" s="476"/>
      <c r="K71" s="511"/>
      <c r="L71" s="511"/>
      <c r="M71" s="511"/>
      <c r="N71" s="476"/>
      <c r="O71" s="476"/>
      <c r="P71" s="511"/>
      <c r="Q71" s="476"/>
      <c r="R71" s="476"/>
      <c r="S71" s="476"/>
      <c r="T71" s="376"/>
      <c r="U71" s="376"/>
      <c r="V71" s="376"/>
      <c r="W71" s="377"/>
      <c r="X71" s="376"/>
      <c r="Y71" s="376"/>
      <c r="Z71" s="376"/>
      <c r="AA71" s="377"/>
    </row>
    <row r="72" spans="1:27" s="1" customFormat="1">
      <c r="A72" s="182"/>
      <c r="B72" s="477"/>
      <c r="C72" s="390"/>
      <c r="D72" s="107"/>
      <c r="E72" s="107"/>
      <c r="F72" s="107"/>
      <c r="G72" s="107"/>
      <c r="H72" s="107"/>
      <c r="I72" s="390"/>
      <c r="J72" s="390"/>
      <c r="K72" s="107"/>
      <c r="L72" s="107"/>
      <c r="M72" s="107"/>
      <c r="N72" s="390"/>
      <c r="O72" s="390"/>
      <c r="P72" s="107"/>
      <c r="Q72" s="390"/>
      <c r="R72" s="390"/>
      <c r="S72" s="390"/>
      <c r="T72" s="374"/>
      <c r="U72" s="374"/>
      <c r="V72" s="374"/>
      <c r="W72" s="375"/>
      <c r="X72" s="374"/>
      <c r="Y72" s="374"/>
      <c r="Z72" s="374"/>
      <c r="AA72" s="375"/>
    </row>
    <row r="73" spans="1:27">
      <c r="A73" s="182"/>
      <c r="B73" s="477"/>
      <c r="C73" s="390"/>
      <c r="D73" s="107"/>
      <c r="E73" s="107"/>
      <c r="F73" s="107"/>
      <c r="G73" s="107"/>
      <c r="H73" s="107"/>
      <c r="I73" s="390"/>
      <c r="J73" s="390"/>
      <c r="K73" s="107"/>
      <c r="L73" s="107"/>
      <c r="M73" s="107"/>
      <c r="N73" s="390"/>
      <c r="O73" s="390"/>
      <c r="P73" s="107"/>
      <c r="Q73" s="390"/>
      <c r="R73" s="390"/>
      <c r="S73" s="390"/>
      <c r="T73" s="374"/>
      <c r="U73" s="374"/>
      <c r="V73" s="374"/>
      <c r="W73" s="375"/>
      <c r="X73" s="374"/>
      <c r="Y73" s="374"/>
      <c r="Z73" s="374"/>
      <c r="AA73" s="375"/>
    </row>
    <row r="74" spans="1:27" s="1" customFormat="1">
      <c r="A74" s="182"/>
      <c r="B74" s="475"/>
      <c r="C74" s="476"/>
      <c r="D74" s="511"/>
      <c r="E74" s="511"/>
      <c r="F74" s="511"/>
      <c r="G74" s="511"/>
      <c r="H74" s="511"/>
      <c r="I74" s="476"/>
      <c r="J74" s="476"/>
      <c r="K74" s="511"/>
      <c r="L74" s="511"/>
      <c r="M74" s="511"/>
      <c r="N74" s="476"/>
      <c r="O74" s="476"/>
      <c r="P74" s="511"/>
      <c r="Q74" s="476"/>
      <c r="R74" s="475"/>
      <c r="S74" s="475"/>
      <c r="T74" s="378"/>
      <c r="U74" s="378"/>
      <c r="V74" s="378"/>
      <c r="W74" s="379"/>
      <c r="X74" s="378"/>
      <c r="Y74" s="378"/>
      <c r="Z74" s="378"/>
      <c r="AA74" s="379"/>
    </row>
    <row r="75" spans="1:27">
      <c r="A75" s="182"/>
      <c r="B75" s="474"/>
      <c r="C75" s="512"/>
      <c r="D75" s="513"/>
      <c r="E75" s="513"/>
      <c r="F75" s="513"/>
      <c r="G75" s="513"/>
      <c r="H75" s="513"/>
      <c r="I75" s="512"/>
      <c r="J75" s="512"/>
      <c r="K75" s="513"/>
      <c r="L75" s="513"/>
      <c r="M75" s="517"/>
      <c r="N75" s="512"/>
      <c r="O75" s="512"/>
      <c r="P75" s="513"/>
      <c r="Q75" s="512"/>
      <c r="R75" s="512"/>
      <c r="S75" s="512"/>
      <c r="T75" s="380"/>
      <c r="U75" s="380"/>
      <c r="V75" s="380"/>
      <c r="W75" s="381"/>
      <c r="X75" s="380"/>
      <c r="Y75" s="380"/>
      <c r="Z75" s="380"/>
      <c r="AA75" s="381"/>
    </row>
    <row r="76" spans="1:27" s="1" customFormat="1">
      <c r="A76" s="365"/>
      <c r="B76" s="384"/>
      <c r="C76" s="388"/>
      <c r="D76" s="389"/>
      <c r="E76" s="389"/>
      <c r="F76" s="389"/>
      <c r="G76" s="389"/>
      <c r="H76" s="389"/>
      <c r="I76" s="388"/>
      <c r="J76" s="388"/>
      <c r="K76" s="389"/>
      <c r="L76" s="389"/>
      <c r="M76" s="389"/>
      <c r="N76" s="388"/>
      <c r="O76" s="388"/>
      <c r="P76" s="389"/>
      <c r="Q76" s="388"/>
      <c r="R76" s="388"/>
      <c r="S76" s="388"/>
      <c r="T76" s="372"/>
      <c r="U76" s="372"/>
      <c r="V76" s="372"/>
      <c r="W76" s="373"/>
      <c r="X76" s="372"/>
      <c r="Y76" s="372"/>
      <c r="Z76" s="372"/>
      <c r="AA76" s="373"/>
    </row>
    <row r="77" spans="1:27">
      <c r="A77" s="182"/>
      <c r="B77" s="477"/>
      <c r="C77" s="390"/>
      <c r="D77" s="107"/>
      <c r="E77" s="107"/>
      <c r="F77" s="107"/>
      <c r="G77" s="107"/>
      <c r="H77" s="107"/>
      <c r="I77" s="390"/>
      <c r="J77" s="390"/>
      <c r="K77" s="107"/>
      <c r="L77" s="107"/>
      <c r="M77" s="107"/>
      <c r="N77" s="390"/>
      <c r="O77" s="390"/>
      <c r="P77" s="107"/>
      <c r="Q77" s="390"/>
      <c r="R77" s="390"/>
      <c r="S77" s="390"/>
      <c r="T77" s="374"/>
      <c r="U77" s="374"/>
      <c r="V77" s="374"/>
      <c r="W77" s="375"/>
      <c r="X77" s="374"/>
      <c r="Y77" s="374"/>
      <c r="Z77" s="374"/>
      <c r="AA77" s="375"/>
    </row>
    <row r="78" spans="1:27" s="1" customFormat="1">
      <c r="A78" s="182"/>
      <c r="B78" s="476"/>
      <c r="C78" s="476"/>
      <c r="D78" s="511"/>
      <c r="E78" s="511"/>
      <c r="F78" s="511"/>
      <c r="G78" s="511"/>
      <c r="H78" s="511"/>
      <c r="I78" s="476"/>
      <c r="J78" s="476"/>
      <c r="K78" s="511"/>
      <c r="L78" s="511"/>
      <c r="M78" s="511"/>
      <c r="N78" s="476"/>
      <c r="O78" s="476"/>
      <c r="P78" s="511"/>
      <c r="Q78" s="476"/>
      <c r="R78" s="476"/>
      <c r="S78" s="476"/>
      <c r="T78" s="376"/>
      <c r="U78" s="376"/>
      <c r="V78" s="376"/>
      <c r="W78" s="377"/>
      <c r="X78" s="376"/>
      <c r="Y78" s="376"/>
      <c r="Z78" s="376"/>
      <c r="AA78" s="377"/>
    </row>
    <row r="79" spans="1:27">
      <c r="A79" s="182"/>
      <c r="B79" s="477"/>
      <c r="C79" s="390"/>
      <c r="D79" s="107"/>
      <c r="E79" s="107"/>
      <c r="F79" s="107"/>
      <c r="G79" s="107"/>
      <c r="H79" s="107"/>
      <c r="I79" s="390"/>
      <c r="J79" s="390"/>
      <c r="K79" s="107"/>
      <c r="L79" s="107"/>
      <c r="M79" s="107"/>
      <c r="N79" s="390"/>
      <c r="O79" s="390"/>
      <c r="P79" s="107"/>
      <c r="Q79" s="390"/>
      <c r="R79" s="390"/>
      <c r="S79" s="390"/>
      <c r="T79" s="374"/>
      <c r="U79" s="374"/>
      <c r="V79" s="374"/>
      <c r="W79" s="375"/>
      <c r="X79" s="374"/>
      <c r="Y79" s="374"/>
      <c r="Z79" s="374"/>
      <c r="AA79" s="375"/>
    </row>
    <row r="80" spans="1:27" s="1" customFormat="1">
      <c r="A80" s="182"/>
      <c r="B80" s="477"/>
      <c r="C80" s="390"/>
      <c r="D80" s="107"/>
      <c r="E80" s="107"/>
      <c r="F80" s="107"/>
      <c r="G80" s="107"/>
      <c r="H80" s="107"/>
      <c r="I80" s="390"/>
      <c r="J80" s="390"/>
      <c r="K80" s="107"/>
      <c r="L80" s="107"/>
      <c r="M80" s="107"/>
      <c r="N80" s="390"/>
      <c r="O80" s="390"/>
      <c r="P80" s="107"/>
      <c r="Q80" s="390"/>
      <c r="R80" s="390"/>
      <c r="S80" s="390"/>
      <c r="T80" s="374"/>
      <c r="U80" s="374"/>
      <c r="V80" s="374"/>
      <c r="W80" s="375"/>
      <c r="X80" s="374"/>
      <c r="Y80" s="374"/>
      <c r="Z80" s="374"/>
      <c r="AA80" s="375"/>
    </row>
    <row r="81" spans="1:27">
      <c r="A81" s="182"/>
      <c r="B81" s="475"/>
      <c r="C81" s="476"/>
      <c r="D81" s="511"/>
      <c r="E81" s="511"/>
      <c r="F81" s="511"/>
      <c r="G81" s="511"/>
      <c r="H81" s="511"/>
      <c r="I81" s="476"/>
      <c r="J81" s="476"/>
      <c r="K81" s="511"/>
      <c r="L81" s="511"/>
      <c r="M81" s="511"/>
      <c r="N81" s="476"/>
      <c r="O81" s="476"/>
      <c r="P81" s="511"/>
      <c r="Q81" s="476"/>
      <c r="R81" s="475"/>
      <c r="S81" s="475"/>
      <c r="T81" s="378"/>
      <c r="U81" s="378"/>
      <c r="V81" s="378"/>
      <c r="W81" s="379"/>
      <c r="X81" s="378"/>
      <c r="Y81" s="378"/>
      <c r="Z81" s="378"/>
      <c r="AA81" s="379"/>
    </row>
    <row r="82" spans="1:27" s="1" customFormat="1">
      <c r="A82" s="182"/>
      <c r="B82" s="474"/>
      <c r="C82" s="512"/>
      <c r="D82" s="513"/>
      <c r="E82" s="513"/>
      <c r="F82" s="513"/>
      <c r="G82" s="513"/>
      <c r="H82" s="513"/>
      <c r="I82" s="512"/>
      <c r="J82" s="512"/>
      <c r="K82" s="513"/>
      <c r="L82" s="513"/>
      <c r="M82" s="517"/>
      <c r="N82" s="512"/>
      <c r="O82" s="512"/>
      <c r="P82" s="513"/>
      <c r="Q82" s="512"/>
      <c r="R82" s="512"/>
      <c r="S82" s="512"/>
      <c r="T82" s="380"/>
      <c r="U82" s="380"/>
      <c r="V82" s="380"/>
      <c r="W82" s="381"/>
      <c r="X82" s="380"/>
      <c r="Y82" s="380"/>
      <c r="Z82" s="380"/>
      <c r="AA82" s="381"/>
    </row>
    <row r="83" spans="1:27">
      <c r="A83" s="365"/>
      <c r="B83" s="384"/>
      <c r="C83" s="388"/>
      <c r="D83" s="389"/>
      <c r="E83" s="389"/>
      <c r="F83" s="389"/>
      <c r="G83" s="389"/>
      <c r="H83" s="389"/>
      <c r="I83" s="388"/>
      <c r="J83" s="388"/>
      <c r="K83" s="389"/>
      <c r="L83" s="389"/>
      <c r="M83" s="389"/>
      <c r="N83" s="388"/>
      <c r="O83" s="388"/>
      <c r="P83" s="389"/>
      <c r="Q83" s="388"/>
      <c r="R83" s="388"/>
      <c r="S83" s="388"/>
      <c r="T83" s="372"/>
      <c r="U83" s="372"/>
      <c r="V83" s="372"/>
      <c r="W83" s="373"/>
      <c r="X83" s="372"/>
      <c r="Y83" s="372"/>
      <c r="Z83" s="372"/>
      <c r="AA83" s="373"/>
    </row>
    <row r="84" spans="1:27" s="1" customFormat="1">
      <c r="A84" s="182"/>
      <c r="B84" s="477"/>
      <c r="C84" s="390"/>
      <c r="D84" s="107"/>
      <c r="E84" s="107"/>
      <c r="F84" s="107"/>
      <c r="G84" s="107"/>
      <c r="H84" s="107"/>
      <c r="I84" s="390"/>
      <c r="J84" s="390"/>
      <c r="K84" s="107"/>
      <c r="L84" s="107"/>
      <c r="M84" s="107"/>
      <c r="N84" s="390"/>
      <c r="O84" s="390"/>
      <c r="P84" s="107"/>
      <c r="Q84" s="390"/>
      <c r="R84" s="390"/>
      <c r="S84" s="390"/>
      <c r="T84" s="374"/>
      <c r="U84" s="374"/>
      <c r="V84" s="374"/>
      <c r="W84" s="375"/>
      <c r="X84" s="374"/>
      <c r="Y84" s="374"/>
      <c r="Z84" s="374"/>
      <c r="AA84" s="375"/>
    </row>
    <row r="85" spans="1:27">
      <c r="A85" s="182"/>
      <c r="B85" s="476"/>
      <c r="C85" s="476"/>
      <c r="D85" s="511"/>
      <c r="E85" s="511"/>
      <c r="F85" s="511"/>
      <c r="G85" s="511"/>
      <c r="H85" s="511"/>
      <c r="I85" s="476"/>
      <c r="J85" s="476"/>
      <c r="K85" s="511"/>
      <c r="L85" s="511"/>
      <c r="M85" s="511"/>
      <c r="N85" s="476"/>
      <c r="O85" s="476"/>
      <c r="P85" s="511"/>
      <c r="Q85" s="476"/>
      <c r="R85" s="476"/>
      <c r="S85" s="476"/>
      <c r="T85" s="376"/>
      <c r="U85" s="376"/>
      <c r="V85" s="376"/>
      <c r="W85" s="377"/>
      <c r="X85" s="376"/>
      <c r="Y85" s="376"/>
      <c r="Z85" s="376"/>
      <c r="AA85" s="377"/>
    </row>
    <row r="86" spans="1:27" s="1" customFormat="1">
      <c r="A86" s="182"/>
      <c r="B86" s="477"/>
      <c r="C86" s="390"/>
      <c r="D86" s="107"/>
      <c r="E86" s="107"/>
      <c r="F86" s="107"/>
      <c r="G86" s="107"/>
      <c r="H86" s="107"/>
      <c r="I86" s="390"/>
      <c r="J86" s="390"/>
      <c r="K86" s="107"/>
      <c r="L86" s="107"/>
      <c r="M86" s="107"/>
      <c r="N86" s="390"/>
      <c r="O86" s="390"/>
      <c r="P86" s="107"/>
      <c r="Q86" s="390"/>
      <c r="R86" s="390"/>
      <c r="S86" s="390"/>
      <c r="T86" s="374"/>
      <c r="U86" s="374"/>
      <c r="V86" s="374"/>
      <c r="W86" s="375"/>
      <c r="X86" s="374"/>
      <c r="Y86" s="374"/>
      <c r="Z86" s="374"/>
      <c r="AA86" s="375"/>
    </row>
    <row r="87" spans="1:27">
      <c r="A87" s="182"/>
      <c r="B87" s="477"/>
      <c r="C87" s="390"/>
      <c r="D87" s="107"/>
      <c r="E87" s="107"/>
      <c r="F87" s="107"/>
      <c r="G87" s="107"/>
      <c r="H87" s="107"/>
      <c r="I87" s="390"/>
      <c r="J87" s="390"/>
      <c r="K87" s="107"/>
      <c r="L87" s="107"/>
      <c r="M87" s="107"/>
      <c r="N87" s="390"/>
      <c r="O87" s="390"/>
      <c r="P87" s="107"/>
      <c r="Q87" s="390"/>
      <c r="R87" s="390"/>
      <c r="S87" s="390"/>
      <c r="T87" s="374"/>
      <c r="U87" s="374"/>
      <c r="V87" s="374"/>
      <c r="W87" s="375"/>
      <c r="X87" s="374"/>
      <c r="Y87" s="374"/>
      <c r="Z87" s="374"/>
      <c r="AA87" s="375"/>
    </row>
    <row r="88" spans="1:27" s="1" customFormat="1">
      <c r="A88" s="182"/>
      <c r="B88" s="475"/>
      <c r="C88" s="476"/>
      <c r="D88" s="511"/>
      <c r="E88" s="511"/>
      <c r="F88" s="511"/>
      <c r="G88" s="511"/>
      <c r="H88" s="511"/>
      <c r="I88" s="476"/>
      <c r="J88" s="476"/>
      <c r="K88" s="511"/>
      <c r="L88" s="511"/>
      <c r="M88" s="511"/>
      <c r="N88" s="476"/>
      <c r="O88" s="476"/>
      <c r="P88" s="511"/>
      <c r="Q88" s="476"/>
      <c r="R88" s="475"/>
      <c r="S88" s="475"/>
      <c r="T88" s="378"/>
      <c r="U88" s="378"/>
      <c r="V88" s="378"/>
      <c r="W88" s="379"/>
      <c r="X88" s="378"/>
      <c r="Y88" s="378"/>
      <c r="Z88" s="378"/>
      <c r="AA88" s="379"/>
    </row>
    <row r="89" spans="1:27">
      <c r="A89" s="182"/>
      <c r="B89" s="474"/>
      <c r="C89" s="512"/>
      <c r="D89" s="513"/>
      <c r="E89" s="513"/>
      <c r="F89" s="513"/>
      <c r="G89" s="513"/>
      <c r="H89" s="513"/>
      <c r="I89" s="512"/>
      <c r="J89" s="512"/>
      <c r="K89" s="513"/>
      <c r="L89" s="517"/>
      <c r="M89" s="517"/>
      <c r="N89" s="512"/>
      <c r="O89" s="512"/>
      <c r="P89" s="513"/>
      <c r="Q89" s="512"/>
      <c r="R89" s="512"/>
      <c r="S89" s="512"/>
      <c r="T89" s="380"/>
      <c r="U89" s="380"/>
      <c r="V89" s="380"/>
      <c r="W89" s="381"/>
      <c r="X89" s="380"/>
      <c r="Y89" s="380"/>
      <c r="Z89" s="380"/>
      <c r="AA89" s="381"/>
    </row>
    <row r="90" spans="1:27" s="1" customFormat="1">
      <c r="A90" s="521"/>
      <c r="B90" s="384"/>
      <c r="C90" s="388"/>
      <c r="D90" s="389"/>
      <c r="E90" s="389"/>
      <c r="F90" s="389"/>
      <c r="G90" s="389"/>
      <c r="H90" s="389"/>
      <c r="I90" s="388"/>
      <c r="J90" s="388"/>
      <c r="K90" s="389"/>
      <c r="L90" s="389"/>
      <c r="M90" s="389"/>
      <c r="N90" s="388"/>
      <c r="O90" s="388"/>
      <c r="P90" s="389"/>
      <c r="Q90" s="388"/>
      <c r="R90" s="388"/>
      <c r="S90" s="388"/>
      <c r="T90" s="372"/>
      <c r="U90" s="372"/>
      <c r="V90" s="372"/>
      <c r="W90" s="373"/>
      <c r="X90" s="372"/>
      <c r="Y90" s="372"/>
      <c r="Z90" s="372"/>
      <c r="AA90" s="373"/>
    </row>
    <row r="91" spans="1:27">
      <c r="A91" s="522"/>
      <c r="B91" s="477"/>
      <c r="C91" s="390"/>
      <c r="D91" s="107"/>
      <c r="E91" s="107"/>
      <c r="F91" s="107"/>
      <c r="G91" s="107"/>
      <c r="H91" s="107"/>
      <c r="I91" s="390"/>
      <c r="J91" s="390"/>
      <c r="K91" s="107"/>
      <c r="L91" s="107"/>
      <c r="M91" s="107"/>
      <c r="N91" s="390"/>
      <c r="O91" s="390"/>
      <c r="P91" s="107"/>
      <c r="Q91" s="390"/>
      <c r="R91" s="390"/>
      <c r="S91" s="390"/>
      <c r="T91" s="374"/>
      <c r="U91" s="374"/>
      <c r="V91" s="374"/>
      <c r="W91" s="375"/>
      <c r="X91" s="374"/>
      <c r="Y91" s="374"/>
      <c r="Z91" s="374"/>
      <c r="AA91" s="375"/>
    </row>
    <row r="92" spans="1:27" s="1" customFormat="1">
      <c r="A92" s="522"/>
      <c r="B92" s="476"/>
      <c r="C92" s="476"/>
      <c r="D92" s="511"/>
      <c r="E92" s="511"/>
      <c r="F92" s="511"/>
      <c r="G92" s="511"/>
      <c r="H92" s="511"/>
      <c r="I92" s="476"/>
      <c r="J92" s="476"/>
      <c r="K92" s="511"/>
      <c r="L92" s="511"/>
      <c r="M92" s="511"/>
      <c r="N92" s="476"/>
      <c r="O92" s="476"/>
      <c r="P92" s="511"/>
      <c r="Q92" s="476"/>
      <c r="R92" s="476"/>
      <c r="S92" s="476"/>
      <c r="T92" s="376"/>
      <c r="U92" s="376"/>
      <c r="V92" s="376"/>
      <c r="W92" s="377"/>
      <c r="X92" s="376"/>
      <c r="Y92" s="376"/>
      <c r="Z92" s="376"/>
      <c r="AA92" s="377"/>
    </row>
    <row r="93" spans="1:27">
      <c r="A93" s="522"/>
      <c r="B93" s="477"/>
      <c r="C93" s="390"/>
      <c r="D93" s="107"/>
      <c r="E93" s="107"/>
      <c r="F93" s="107"/>
      <c r="G93" s="107"/>
      <c r="H93" s="107"/>
      <c r="I93" s="390"/>
      <c r="J93" s="390"/>
      <c r="K93" s="107"/>
      <c r="L93" s="107"/>
      <c r="M93" s="107"/>
      <c r="N93" s="390"/>
      <c r="O93" s="390"/>
      <c r="P93" s="107"/>
      <c r="Q93" s="390"/>
      <c r="R93" s="390"/>
      <c r="S93" s="390"/>
      <c r="T93" s="374"/>
      <c r="U93" s="374"/>
      <c r="V93" s="374"/>
      <c r="W93" s="375"/>
      <c r="X93" s="374"/>
      <c r="Y93" s="374"/>
      <c r="Z93" s="374"/>
      <c r="AA93" s="375"/>
    </row>
    <row r="94" spans="1:27" s="1" customFormat="1">
      <c r="A94" s="522"/>
      <c r="B94" s="477"/>
      <c r="C94" s="390"/>
      <c r="D94" s="107"/>
      <c r="E94" s="107"/>
      <c r="F94" s="107"/>
      <c r="G94" s="107"/>
      <c r="H94" s="107"/>
      <c r="I94" s="390"/>
      <c r="J94" s="390"/>
      <c r="K94" s="107"/>
      <c r="L94" s="107"/>
      <c r="M94" s="107"/>
      <c r="N94" s="390"/>
      <c r="O94" s="390"/>
      <c r="P94" s="107"/>
      <c r="Q94" s="390"/>
      <c r="R94" s="390"/>
      <c r="S94" s="390"/>
      <c r="T94" s="374"/>
      <c r="U94" s="374"/>
      <c r="V94" s="374"/>
      <c r="W94" s="375"/>
      <c r="X94" s="374"/>
      <c r="Y94" s="374"/>
      <c r="Z94" s="374"/>
      <c r="AA94" s="375"/>
    </row>
    <row r="95" spans="1:27">
      <c r="A95" s="522"/>
      <c r="B95" s="475"/>
      <c r="C95" s="476"/>
      <c r="D95" s="511"/>
      <c r="E95" s="511"/>
      <c r="F95" s="511"/>
      <c r="G95" s="511"/>
      <c r="H95" s="511"/>
      <c r="I95" s="476"/>
      <c r="J95" s="476"/>
      <c r="K95" s="511"/>
      <c r="L95" s="511"/>
      <c r="M95" s="511"/>
      <c r="N95" s="476"/>
      <c r="O95" s="476"/>
      <c r="P95" s="511"/>
      <c r="Q95" s="476"/>
      <c r="R95" s="475"/>
      <c r="S95" s="475"/>
      <c r="T95" s="378"/>
      <c r="U95" s="378"/>
      <c r="V95" s="378"/>
      <c r="W95" s="379"/>
      <c r="X95" s="378"/>
      <c r="Y95" s="378"/>
      <c r="Z95" s="378"/>
      <c r="AA95" s="379"/>
    </row>
    <row r="96" spans="1:27" s="1" customFormat="1">
      <c r="A96" s="522"/>
      <c r="B96" s="474"/>
      <c r="C96" s="512"/>
      <c r="D96" s="513"/>
      <c r="E96" s="513"/>
      <c r="F96" s="513"/>
      <c r="G96" s="513"/>
      <c r="H96" s="513"/>
      <c r="I96" s="512"/>
      <c r="J96" s="512"/>
      <c r="K96" s="513"/>
      <c r="L96" s="517"/>
      <c r="M96" s="513"/>
      <c r="N96" s="512"/>
      <c r="O96" s="512"/>
      <c r="P96" s="513"/>
      <c r="Q96" s="512"/>
      <c r="R96" s="512"/>
      <c r="S96" s="512"/>
      <c r="T96" s="380"/>
      <c r="U96" s="380"/>
      <c r="V96" s="380"/>
      <c r="W96" s="381"/>
      <c r="X96" s="380"/>
      <c r="Y96" s="380"/>
      <c r="Z96" s="380"/>
      <c r="AA96" s="381"/>
    </row>
    <row r="97" spans="1:27">
      <c r="A97" s="365"/>
      <c r="B97" s="384"/>
      <c r="C97" s="388"/>
      <c r="D97" s="389"/>
      <c r="E97" s="389"/>
      <c r="F97" s="389"/>
      <c r="G97" s="389"/>
      <c r="H97" s="389"/>
      <c r="I97" s="388"/>
      <c r="J97" s="388"/>
      <c r="K97" s="389"/>
      <c r="L97" s="389"/>
      <c r="M97" s="389"/>
      <c r="N97" s="388"/>
      <c r="O97" s="388"/>
      <c r="P97" s="389"/>
      <c r="Q97" s="388"/>
      <c r="R97" s="388"/>
      <c r="S97" s="388"/>
      <c r="T97" s="372"/>
      <c r="U97" s="372"/>
      <c r="V97" s="372"/>
      <c r="W97" s="373"/>
      <c r="X97" s="372"/>
      <c r="Y97" s="372"/>
      <c r="Z97" s="372"/>
      <c r="AA97" s="373"/>
    </row>
    <row r="98" spans="1:27" s="1" customFormat="1">
      <c r="A98" s="182"/>
      <c r="B98" s="477"/>
      <c r="C98" s="390"/>
      <c r="D98" s="107"/>
      <c r="E98" s="107"/>
      <c r="F98" s="107"/>
      <c r="G98" s="107"/>
      <c r="H98" s="107"/>
      <c r="I98" s="390"/>
      <c r="J98" s="390"/>
      <c r="K98" s="107"/>
      <c r="L98" s="107"/>
      <c r="M98" s="107"/>
      <c r="N98" s="390"/>
      <c r="O98" s="390"/>
      <c r="P98" s="107"/>
      <c r="Q98" s="390"/>
      <c r="R98" s="390"/>
      <c r="S98" s="390"/>
      <c r="T98" s="374"/>
      <c r="U98" s="374"/>
      <c r="V98" s="374"/>
      <c r="W98" s="375"/>
      <c r="X98" s="374"/>
      <c r="Y98" s="374"/>
      <c r="Z98" s="374"/>
      <c r="AA98" s="375"/>
    </row>
    <row r="99" spans="1:27">
      <c r="A99" s="182"/>
      <c r="B99" s="476"/>
      <c r="C99" s="476"/>
      <c r="D99" s="511"/>
      <c r="E99" s="511"/>
      <c r="F99" s="511"/>
      <c r="G99" s="511"/>
      <c r="H99" s="511"/>
      <c r="I99" s="476"/>
      <c r="J99" s="476"/>
      <c r="K99" s="511"/>
      <c r="L99" s="511"/>
      <c r="M99" s="511"/>
      <c r="N99" s="476"/>
      <c r="O99" s="476"/>
      <c r="P99" s="511"/>
      <c r="Q99" s="476"/>
      <c r="R99" s="476"/>
      <c r="S99" s="476"/>
      <c r="T99" s="376"/>
      <c r="U99" s="376"/>
      <c r="V99" s="376"/>
      <c r="W99" s="377"/>
      <c r="X99" s="376"/>
      <c r="Y99" s="376"/>
      <c r="Z99" s="376"/>
      <c r="AA99" s="377"/>
    </row>
    <row r="100" spans="1:27" s="1" customFormat="1">
      <c r="A100" s="182"/>
      <c r="B100" s="477"/>
      <c r="C100" s="390"/>
      <c r="D100" s="107"/>
      <c r="E100" s="107"/>
      <c r="F100" s="107"/>
      <c r="G100" s="107"/>
      <c r="H100" s="107"/>
      <c r="I100" s="390"/>
      <c r="J100" s="390"/>
      <c r="K100" s="107"/>
      <c r="L100" s="107"/>
      <c r="M100" s="107"/>
      <c r="N100" s="390"/>
      <c r="O100" s="390"/>
      <c r="P100" s="107"/>
      <c r="Q100" s="390"/>
      <c r="R100" s="390"/>
      <c r="S100" s="390"/>
      <c r="T100" s="374"/>
      <c r="U100" s="374"/>
      <c r="V100" s="374"/>
      <c r="W100" s="375"/>
      <c r="X100" s="374"/>
      <c r="Y100" s="374"/>
      <c r="Z100" s="374"/>
      <c r="AA100" s="375"/>
    </row>
    <row r="101" spans="1:27">
      <c r="A101" s="182"/>
      <c r="B101" s="477"/>
      <c r="C101" s="390"/>
      <c r="D101" s="107"/>
      <c r="E101" s="107"/>
      <c r="F101" s="107"/>
      <c r="G101" s="107"/>
      <c r="H101" s="107"/>
      <c r="I101" s="390"/>
      <c r="J101" s="390"/>
      <c r="K101" s="107"/>
      <c r="L101" s="107"/>
      <c r="M101" s="107"/>
      <c r="N101" s="390"/>
      <c r="O101" s="390"/>
      <c r="P101" s="107"/>
      <c r="Q101" s="390"/>
      <c r="R101" s="390"/>
      <c r="S101" s="390"/>
      <c r="T101" s="374"/>
      <c r="U101" s="374"/>
      <c r="V101" s="374"/>
      <c r="W101" s="375"/>
      <c r="X101" s="374"/>
      <c r="Y101" s="374"/>
      <c r="Z101" s="374"/>
      <c r="AA101" s="375"/>
    </row>
    <row r="102" spans="1:27">
      <c r="A102" s="182"/>
      <c r="B102" s="475"/>
      <c r="C102" s="476"/>
      <c r="D102" s="511"/>
      <c r="E102" s="511"/>
      <c r="F102" s="511"/>
      <c r="G102" s="511"/>
      <c r="H102" s="511"/>
      <c r="I102" s="476"/>
      <c r="J102" s="476"/>
      <c r="K102" s="511"/>
      <c r="L102" s="511"/>
      <c r="M102" s="511"/>
      <c r="N102" s="476"/>
      <c r="O102" s="476"/>
      <c r="P102" s="511"/>
      <c r="Q102" s="476"/>
      <c r="R102" s="475"/>
      <c r="S102" s="475"/>
      <c r="T102" s="378"/>
      <c r="U102" s="378"/>
      <c r="V102" s="378"/>
      <c r="W102" s="379"/>
      <c r="X102" s="378"/>
      <c r="Y102" s="378"/>
      <c r="Z102" s="378"/>
      <c r="AA102" s="379"/>
    </row>
    <row r="103" spans="1:27">
      <c r="A103" s="182"/>
      <c r="B103" s="474"/>
      <c r="C103" s="512"/>
      <c r="D103" s="513"/>
      <c r="E103" s="513"/>
      <c r="F103" s="513"/>
      <c r="G103" s="513"/>
      <c r="H103" s="513"/>
      <c r="I103" s="512"/>
      <c r="J103" s="516"/>
      <c r="K103" s="513"/>
      <c r="L103" s="513"/>
      <c r="M103" s="517"/>
      <c r="N103" s="512"/>
      <c r="O103" s="512"/>
      <c r="P103" s="513"/>
      <c r="Q103" s="512"/>
      <c r="R103" s="512"/>
      <c r="S103" s="512"/>
      <c r="T103" s="380"/>
      <c r="U103" s="380"/>
      <c r="V103" s="380"/>
      <c r="W103" s="381"/>
      <c r="X103" s="380"/>
      <c r="Y103" s="380"/>
      <c r="Z103" s="380"/>
      <c r="AA103" s="381"/>
    </row>
    <row r="104" spans="1:27">
      <c r="A104" s="365"/>
      <c r="B104" s="384"/>
      <c r="C104" s="388"/>
      <c r="D104" s="389"/>
      <c r="E104" s="389"/>
      <c r="F104" s="389"/>
      <c r="G104" s="389"/>
      <c r="H104" s="389"/>
      <c r="I104" s="388"/>
      <c r="J104" s="388"/>
      <c r="K104" s="389"/>
      <c r="L104" s="389"/>
      <c r="M104" s="389"/>
      <c r="N104" s="388"/>
      <c r="O104" s="388"/>
      <c r="P104" s="389"/>
      <c r="Q104" s="388"/>
      <c r="R104" s="388"/>
      <c r="S104" s="388"/>
      <c r="T104" s="372"/>
      <c r="U104" s="372"/>
      <c r="V104" s="372"/>
      <c r="W104" s="373"/>
      <c r="X104" s="372"/>
      <c r="Y104" s="372"/>
      <c r="Z104" s="372"/>
      <c r="AA104" s="373"/>
    </row>
    <row r="105" spans="1:27">
      <c r="A105" s="182"/>
      <c r="B105" s="477"/>
      <c r="C105" s="390"/>
      <c r="D105" s="107"/>
      <c r="E105" s="107"/>
      <c r="F105" s="107"/>
      <c r="G105" s="107"/>
      <c r="H105" s="107"/>
      <c r="I105" s="390"/>
      <c r="J105" s="390"/>
      <c r="K105" s="107"/>
      <c r="L105" s="107"/>
      <c r="M105" s="107"/>
      <c r="N105" s="390"/>
      <c r="O105" s="390"/>
      <c r="P105" s="107"/>
      <c r="Q105" s="390"/>
      <c r="R105" s="390"/>
      <c r="S105" s="390"/>
      <c r="T105" s="374"/>
      <c r="U105" s="374"/>
      <c r="V105" s="374"/>
      <c r="W105" s="375"/>
      <c r="X105" s="374"/>
      <c r="Y105" s="374"/>
      <c r="Z105" s="374"/>
      <c r="AA105" s="375"/>
    </row>
    <row r="106" spans="1:27">
      <c r="A106" s="182"/>
      <c r="B106" s="476"/>
      <c r="C106" s="476"/>
      <c r="D106" s="511"/>
      <c r="E106" s="511"/>
      <c r="F106" s="511"/>
      <c r="G106" s="511"/>
      <c r="H106" s="511"/>
      <c r="I106" s="476"/>
      <c r="J106" s="476"/>
      <c r="K106" s="511"/>
      <c r="L106" s="511"/>
      <c r="M106" s="511"/>
      <c r="N106" s="476"/>
      <c r="O106" s="476"/>
      <c r="P106" s="511"/>
      <c r="Q106" s="476"/>
      <c r="R106" s="476"/>
      <c r="S106" s="476"/>
      <c r="T106" s="376"/>
      <c r="U106" s="376"/>
      <c r="V106" s="376"/>
      <c r="W106" s="377"/>
      <c r="X106" s="376"/>
      <c r="Y106" s="376"/>
      <c r="Z106" s="376"/>
      <c r="AA106" s="377"/>
    </row>
    <row r="107" spans="1:27">
      <c r="A107" s="182"/>
      <c r="B107" s="477"/>
      <c r="C107" s="390"/>
      <c r="D107" s="107"/>
      <c r="E107" s="107"/>
      <c r="F107" s="107"/>
      <c r="G107" s="107"/>
      <c r="H107" s="107"/>
      <c r="I107" s="390"/>
      <c r="J107" s="390"/>
      <c r="K107" s="107"/>
      <c r="L107" s="107"/>
      <c r="M107" s="107"/>
      <c r="N107" s="390"/>
      <c r="O107" s="390"/>
      <c r="P107" s="107"/>
      <c r="Q107" s="390"/>
      <c r="R107" s="390"/>
      <c r="S107" s="390"/>
      <c r="T107" s="374"/>
      <c r="U107" s="374"/>
      <c r="V107" s="374"/>
      <c r="W107" s="375"/>
      <c r="X107" s="374"/>
      <c r="Y107" s="374"/>
      <c r="Z107" s="374"/>
      <c r="AA107" s="375"/>
    </row>
    <row r="108" spans="1:27">
      <c r="A108" s="182"/>
      <c r="B108" s="477"/>
      <c r="C108" s="390"/>
      <c r="D108" s="107"/>
      <c r="E108" s="107"/>
      <c r="F108" s="107"/>
      <c r="G108" s="107"/>
      <c r="H108" s="107"/>
      <c r="I108" s="390"/>
      <c r="J108" s="390"/>
      <c r="K108" s="107"/>
      <c r="L108" s="107"/>
      <c r="M108" s="107"/>
      <c r="N108" s="390"/>
      <c r="O108" s="390"/>
      <c r="P108" s="107"/>
      <c r="Q108" s="390"/>
      <c r="R108" s="390"/>
      <c r="S108" s="390"/>
      <c r="T108" s="374"/>
      <c r="U108" s="374"/>
      <c r="V108" s="374"/>
      <c r="W108" s="375"/>
      <c r="X108" s="374"/>
      <c r="Y108" s="374"/>
      <c r="Z108" s="374"/>
      <c r="AA108" s="375"/>
    </row>
    <row r="109" spans="1:27">
      <c r="A109" s="182"/>
      <c r="B109" s="475"/>
      <c r="C109" s="476"/>
      <c r="D109" s="511"/>
      <c r="E109" s="511"/>
      <c r="F109" s="511"/>
      <c r="G109" s="511"/>
      <c r="H109" s="511"/>
      <c r="I109" s="476"/>
      <c r="J109" s="476"/>
      <c r="K109" s="511"/>
      <c r="L109" s="511"/>
      <c r="M109" s="511"/>
      <c r="N109" s="476"/>
      <c r="O109" s="476"/>
      <c r="P109" s="511"/>
      <c r="Q109" s="476"/>
      <c r="R109" s="475"/>
      <c r="S109" s="475"/>
      <c r="T109" s="378"/>
      <c r="U109" s="378"/>
      <c r="V109" s="378"/>
      <c r="W109" s="379"/>
      <c r="X109" s="378"/>
      <c r="Y109" s="378"/>
      <c r="Z109" s="378"/>
      <c r="AA109" s="379"/>
    </row>
    <row r="110" spans="1:27">
      <c r="A110" s="182"/>
      <c r="B110" s="474"/>
      <c r="C110" s="512"/>
      <c r="D110" s="513"/>
      <c r="E110" s="513"/>
      <c r="F110" s="513"/>
      <c r="G110" s="513"/>
      <c r="H110" s="513"/>
      <c r="I110" s="512"/>
      <c r="J110" s="512"/>
      <c r="K110" s="513"/>
      <c r="L110" s="517"/>
      <c r="M110" s="517"/>
      <c r="N110" s="512"/>
      <c r="O110" s="512"/>
      <c r="P110" s="513"/>
      <c r="Q110" s="512"/>
      <c r="R110" s="512"/>
      <c r="S110" s="512"/>
      <c r="T110" s="380"/>
      <c r="U110" s="380"/>
      <c r="V110" s="380"/>
      <c r="W110" s="381"/>
      <c r="X110" s="380"/>
      <c r="Y110" s="380"/>
      <c r="Z110" s="380"/>
      <c r="AA110" s="381"/>
    </row>
    <row r="111" spans="1:27">
      <c r="A111" s="365"/>
      <c r="B111" s="384"/>
      <c r="C111" s="388"/>
      <c r="D111" s="389"/>
      <c r="E111" s="389"/>
      <c r="F111" s="389"/>
      <c r="G111" s="389"/>
      <c r="H111" s="389"/>
      <c r="I111" s="388"/>
      <c r="J111" s="388"/>
      <c r="K111" s="389"/>
      <c r="L111" s="389"/>
      <c r="M111" s="389"/>
      <c r="N111" s="388"/>
      <c r="O111" s="388"/>
      <c r="P111" s="389"/>
      <c r="Q111" s="388"/>
      <c r="R111" s="388"/>
      <c r="S111" s="388"/>
      <c r="T111" s="372"/>
      <c r="U111" s="372"/>
      <c r="V111" s="372"/>
      <c r="W111" s="373"/>
      <c r="X111" s="372"/>
      <c r="Y111" s="372"/>
      <c r="Z111" s="372"/>
      <c r="AA111" s="373"/>
    </row>
    <row r="112" spans="1:27">
      <c r="A112" s="182"/>
      <c r="B112" s="477"/>
      <c r="C112" s="390"/>
      <c r="D112" s="107"/>
      <c r="E112" s="107"/>
      <c r="F112" s="107"/>
      <c r="G112" s="107"/>
      <c r="H112" s="107"/>
      <c r="I112" s="390"/>
      <c r="J112" s="390"/>
      <c r="K112" s="107"/>
      <c r="L112" s="107"/>
      <c r="M112" s="107"/>
      <c r="N112" s="390"/>
      <c r="O112" s="390"/>
      <c r="P112" s="107"/>
      <c r="Q112" s="390"/>
      <c r="R112" s="390"/>
      <c r="S112" s="390"/>
      <c r="T112" s="374"/>
      <c r="U112" s="374"/>
      <c r="V112" s="374"/>
      <c r="W112" s="375"/>
      <c r="X112" s="374"/>
      <c r="Y112" s="374"/>
      <c r="Z112" s="374"/>
      <c r="AA112" s="375"/>
    </row>
    <row r="113" spans="1:27">
      <c r="A113" s="182"/>
      <c r="B113" s="476"/>
      <c r="C113" s="476"/>
      <c r="D113" s="511"/>
      <c r="E113" s="511"/>
      <c r="F113" s="511"/>
      <c r="G113" s="511"/>
      <c r="H113" s="511"/>
      <c r="I113" s="476"/>
      <c r="J113" s="476"/>
      <c r="K113" s="511"/>
      <c r="L113" s="511"/>
      <c r="M113" s="511"/>
      <c r="N113" s="476"/>
      <c r="O113" s="476"/>
      <c r="P113" s="511"/>
      <c r="Q113" s="476"/>
      <c r="R113" s="476"/>
      <c r="S113" s="476"/>
      <c r="T113" s="376"/>
      <c r="U113" s="376"/>
      <c r="V113" s="376"/>
      <c r="W113" s="377"/>
      <c r="X113" s="376"/>
      <c r="Y113" s="376"/>
      <c r="Z113" s="376"/>
      <c r="AA113" s="377"/>
    </row>
    <row r="114" spans="1:27">
      <c r="A114" s="182"/>
      <c r="B114" s="477"/>
      <c r="C114" s="390"/>
      <c r="D114" s="107"/>
      <c r="E114" s="107"/>
      <c r="F114" s="107"/>
      <c r="G114" s="107"/>
      <c r="H114" s="107"/>
      <c r="I114" s="390"/>
      <c r="J114" s="390"/>
      <c r="K114" s="107"/>
      <c r="L114" s="107"/>
      <c r="M114" s="107"/>
      <c r="N114" s="390"/>
      <c r="O114" s="390"/>
      <c r="P114" s="107"/>
      <c r="Q114" s="390"/>
      <c r="R114" s="390"/>
      <c r="S114" s="390"/>
      <c r="T114" s="374"/>
      <c r="U114" s="374"/>
      <c r="V114" s="374"/>
      <c r="W114" s="375"/>
      <c r="X114" s="374"/>
      <c r="Y114" s="374"/>
      <c r="Z114" s="374"/>
      <c r="AA114" s="375"/>
    </row>
    <row r="115" spans="1:27">
      <c r="A115" s="182"/>
      <c r="B115" s="477"/>
      <c r="C115" s="390"/>
      <c r="D115" s="107"/>
      <c r="E115" s="107"/>
      <c r="F115" s="107"/>
      <c r="G115" s="107"/>
      <c r="H115" s="107"/>
      <c r="I115" s="390"/>
      <c r="J115" s="390"/>
      <c r="K115" s="107"/>
      <c r="L115" s="107"/>
      <c r="M115" s="107"/>
      <c r="N115" s="390"/>
      <c r="O115" s="390"/>
      <c r="P115" s="107"/>
      <c r="Q115" s="390"/>
      <c r="R115" s="390"/>
      <c r="S115" s="390"/>
      <c r="T115" s="374"/>
      <c r="U115" s="374"/>
      <c r="V115" s="374"/>
      <c r="W115" s="375"/>
      <c r="X115" s="374"/>
      <c r="Y115" s="374"/>
      <c r="Z115" s="374"/>
      <c r="AA115" s="375"/>
    </row>
    <row r="116" spans="1:27">
      <c r="A116" s="182"/>
      <c r="B116" s="475"/>
      <c r="C116" s="476"/>
      <c r="D116" s="511"/>
      <c r="E116" s="511"/>
      <c r="F116" s="511"/>
      <c r="G116" s="511"/>
      <c r="H116" s="511"/>
      <c r="I116" s="476"/>
      <c r="J116" s="476"/>
      <c r="K116" s="511"/>
      <c r="L116" s="511"/>
      <c r="M116" s="511"/>
      <c r="N116" s="476"/>
      <c r="O116" s="476"/>
      <c r="P116" s="511"/>
      <c r="Q116" s="476"/>
      <c r="R116" s="475"/>
      <c r="S116" s="475"/>
      <c r="T116" s="378"/>
      <c r="U116" s="378"/>
      <c r="V116" s="378"/>
      <c r="W116" s="379"/>
      <c r="X116" s="378"/>
      <c r="Y116" s="378"/>
      <c r="Z116" s="378"/>
      <c r="AA116" s="379"/>
    </row>
    <row r="117" spans="1:27">
      <c r="A117" s="182"/>
      <c r="B117" s="474"/>
      <c r="C117" s="512"/>
      <c r="D117" s="513"/>
      <c r="E117" s="513"/>
      <c r="F117" s="513"/>
      <c r="G117" s="513"/>
      <c r="H117" s="513"/>
      <c r="I117" s="512"/>
      <c r="J117" s="512"/>
      <c r="K117" s="513"/>
      <c r="L117" s="513"/>
      <c r="M117" s="513"/>
      <c r="N117" s="512"/>
      <c r="O117" s="512"/>
      <c r="P117" s="513"/>
      <c r="Q117" s="512"/>
      <c r="R117" s="512"/>
      <c r="S117" s="512"/>
      <c r="T117" s="380"/>
      <c r="U117" s="380"/>
      <c r="V117" s="380"/>
      <c r="W117" s="381"/>
      <c r="X117" s="380"/>
      <c r="Y117" s="380"/>
      <c r="Z117" s="380"/>
      <c r="AA117" s="381"/>
    </row>
    <row r="118" spans="1:27">
      <c r="A118" s="523"/>
      <c r="B118" s="391"/>
      <c r="C118" s="392"/>
      <c r="D118" s="393"/>
      <c r="E118" s="393"/>
      <c r="F118" s="393"/>
      <c r="G118" s="393"/>
      <c r="H118" s="393"/>
      <c r="I118" s="392"/>
      <c r="J118" s="392"/>
      <c r="K118" s="393"/>
      <c r="L118" s="393"/>
      <c r="M118" s="393"/>
      <c r="N118" s="392"/>
      <c r="O118" s="392"/>
      <c r="P118" s="393"/>
      <c r="Q118" s="392"/>
      <c r="R118" s="392"/>
      <c r="S118" s="392"/>
      <c r="T118" s="372"/>
      <c r="U118" s="372"/>
      <c r="V118" s="372"/>
      <c r="W118" s="373"/>
      <c r="X118" s="372"/>
      <c r="Y118" s="372"/>
      <c r="Z118" s="372"/>
      <c r="AA118" s="373"/>
    </row>
    <row r="119" spans="1:27">
      <c r="A119" s="524"/>
      <c r="B119" s="394"/>
      <c r="C119" s="395"/>
      <c r="D119" s="362"/>
      <c r="E119" s="362"/>
      <c r="F119" s="362"/>
      <c r="G119" s="362"/>
      <c r="H119" s="362"/>
      <c r="I119" s="395"/>
      <c r="J119" s="395"/>
      <c r="K119" s="362"/>
      <c r="L119" s="362"/>
      <c r="M119" s="362"/>
      <c r="N119" s="395"/>
      <c r="O119" s="395"/>
      <c r="P119" s="362"/>
      <c r="Q119" s="395"/>
      <c r="R119" s="395"/>
      <c r="S119" s="395"/>
      <c r="T119" s="374"/>
      <c r="U119" s="374"/>
      <c r="V119" s="374"/>
      <c r="W119" s="375"/>
      <c r="X119" s="374"/>
      <c r="Y119" s="374"/>
      <c r="Z119" s="374"/>
      <c r="AA119" s="375"/>
    </row>
    <row r="120" spans="1:27">
      <c r="A120" s="524"/>
      <c r="B120" s="396"/>
      <c r="C120" s="396"/>
      <c r="D120" s="525"/>
      <c r="E120" s="525"/>
      <c r="F120" s="525"/>
      <c r="G120" s="525"/>
      <c r="H120" s="525"/>
      <c r="I120" s="396"/>
      <c r="J120" s="396"/>
      <c r="K120" s="525"/>
      <c r="L120" s="525"/>
      <c r="M120" s="525"/>
      <c r="N120" s="396"/>
      <c r="O120" s="396"/>
      <c r="P120" s="525"/>
      <c r="Q120" s="396"/>
      <c r="R120" s="396"/>
      <c r="S120" s="396"/>
      <c r="T120" s="376"/>
      <c r="U120" s="376"/>
      <c r="V120" s="376"/>
      <c r="W120" s="377"/>
      <c r="X120" s="376"/>
      <c r="Y120" s="376"/>
      <c r="Z120" s="376"/>
      <c r="AA120" s="377"/>
    </row>
    <row r="121" spans="1:27">
      <c r="A121" s="524"/>
      <c r="B121" s="394"/>
      <c r="C121" s="395"/>
      <c r="D121" s="362"/>
      <c r="E121" s="362"/>
      <c r="F121" s="362"/>
      <c r="G121" s="362"/>
      <c r="H121" s="362"/>
      <c r="I121" s="395"/>
      <c r="J121" s="395"/>
      <c r="K121" s="362"/>
      <c r="L121" s="362"/>
      <c r="M121" s="362"/>
      <c r="N121" s="395"/>
      <c r="O121" s="395"/>
      <c r="P121" s="362"/>
      <c r="Q121" s="395"/>
      <c r="R121" s="395"/>
      <c r="S121" s="395"/>
      <c r="T121" s="374"/>
      <c r="U121" s="374"/>
      <c r="V121" s="374"/>
      <c r="W121" s="375"/>
      <c r="X121" s="374"/>
      <c r="Y121" s="374"/>
      <c r="Z121" s="374"/>
      <c r="AA121" s="375"/>
    </row>
    <row r="122" spans="1:27">
      <c r="A122" s="524"/>
      <c r="B122" s="394"/>
      <c r="C122" s="395"/>
      <c r="D122" s="362"/>
      <c r="E122" s="362"/>
      <c r="F122" s="362"/>
      <c r="G122" s="362"/>
      <c r="H122" s="362"/>
      <c r="I122" s="395"/>
      <c r="J122" s="395"/>
      <c r="K122" s="362"/>
      <c r="L122" s="362"/>
      <c r="M122" s="362"/>
      <c r="N122" s="395"/>
      <c r="O122" s="395"/>
      <c r="P122" s="362"/>
      <c r="Q122" s="395"/>
      <c r="R122" s="395"/>
      <c r="S122" s="395"/>
      <c r="T122" s="374"/>
      <c r="U122" s="374"/>
      <c r="V122" s="374"/>
      <c r="W122" s="375"/>
      <c r="X122" s="374"/>
      <c r="Y122" s="374"/>
      <c r="Z122" s="374"/>
      <c r="AA122" s="375"/>
    </row>
    <row r="123" spans="1:27">
      <c r="A123" s="524"/>
      <c r="B123" s="397"/>
      <c r="C123" s="396"/>
      <c r="D123" s="525"/>
      <c r="E123" s="525"/>
      <c r="F123" s="525"/>
      <c r="G123" s="525"/>
      <c r="H123" s="525"/>
      <c r="I123" s="396"/>
      <c r="J123" s="396"/>
      <c r="K123" s="525"/>
      <c r="L123" s="525"/>
      <c r="M123" s="525"/>
      <c r="N123" s="396"/>
      <c r="O123" s="396"/>
      <c r="P123" s="525"/>
      <c r="Q123" s="396"/>
      <c r="R123" s="397"/>
      <c r="S123" s="397"/>
      <c r="T123" s="378"/>
      <c r="U123" s="378"/>
      <c r="V123" s="378"/>
      <c r="W123" s="379"/>
      <c r="X123" s="378"/>
      <c r="Y123" s="378"/>
      <c r="Z123" s="378"/>
      <c r="AA123" s="379"/>
    </row>
    <row r="124" spans="1:27">
      <c r="A124" s="524"/>
      <c r="B124" s="526"/>
      <c r="C124" s="516"/>
      <c r="D124" s="517"/>
      <c r="E124" s="517"/>
      <c r="F124" s="517"/>
      <c r="G124" s="517"/>
      <c r="H124" s="517"/>
      <c r="I124" s="516"/>
      <c r="J124" s="516"/>
      <c r="K124" s="517"/>
      <c r="L124" s="517"/>
      <c r="M124" s="517"/>
      <c r="N124" s="516"/>
      <c r="O124" s="516"/>
      <c r="P124" s="517"/>
      <c r="Q124" s="516"/>
      <c r="R124" s="516"/>
      <c r="S124" s="516"/>
      <c r="T124" s="380"/>
      <c r="U124" s="380"/>
      <c r="V124" s="380"/>
      <c r="W124" s="381"/>
      <c r="X124" s="380"/>
      <c r="Y124" s="380"/>
      <c r="Z124" s="380"/>
      <c r="AA124" s="381"/>
    </row>
    <row r="125" spans="1:27">
      <c r="A125" s="398"/>
      <c r="B125"/>
      <c r="C125" s="334"/>
      <c r="D125" s="334"/>
      <c r="E125" s="334"/>
      <c r="F125" s="334"/>
      <c r="G125" s="334"/>
      <c r="H125" s="334"/>
      <c r="I125" s="334"/>
      <c r="J125" s="334"/>
      <c r="K125" s="334"/>
      <c r="L125" s="334"/>
      <c r="M125" s="334"/>
      <c r="N125" s="334"/>
      <c r="O125" s="334"/>
      <c r="P125" s="334"/>
      <c r="Q125" s="334"/>
      <c r="R125" s="334"/>
      <c r="S125" s="334"/>
      <c r="T125"/>
      <c r="U125"/>
      <c r="V125"/>
      <c r="W125"/>
      <c r="X125"/>
      <c r="Y125"/>
      <c r="Z125"/>
      <c r="AA125"/>
    </row>
    <row r="126" spans="1:27">
      <c r="A126"/>
      <c r="B126"/>
      <c r="C126" s="334"/>
      <c r="D126" s="334"/>
      <c r="E126" s="334"/>
      <c r="F126" s="334"/>
      <c r="G126" s="334"/>
      <c r="H126" s="334"/>
      <c r="I126" s="334"/>
      <c r="J126" s="334"/>
      <c r="K126" s="334"/>
      <c r="L126" s="334"/>
      <c r="M126" s="334"/>
      <c r="N126" s="334"/>
      <c r="O126" s="334"/>
      <c r="P126" s="334"/>
      <c r="Q126" s="334"/>
      <c r="R126" s="334"/>
      <c r="S126" s="334"/>
      <c r="T126"/>
      <c r="U126"/>
      <c r="V126"/>
      <c r="W126"/>
      <c r="X126"/>
      <c r="Y126"/>
      <c r="Z126"/>
      <c r="AA126"/>
    </row>
    <row r="127" spans="1:27">
      <c r="A127"/>
      <c r="B127"/>
      <c r="C127" s="334"/>
      <c r="D127" s="334"/>
      <c r="E127" s="334"/>
      <c r="F127" s="334"/>
      <c r="G127" s="334"/>
      <c r="H127" s="334"/>
      <c r="I127" s="334"/>
      <c r="J127" s="334"/>
      <c r="K127" s="334"/>
      <c r="L127" s="334"/>
      <c r="M127" s="334"/>
      <c r="N127" s="334"/>
      <c r="O127" s="334"/>
      <c r="P127" s="334"/>
      <c r="Q127" s="334"/>
      <c r="R127" s="334"/>
      <c r="S127" s="334"/>
      <c r="T127"/>
      <c r="U127"/>
      <c r="V127"/>
      <c r="W127"/>
      <c r="X127"/>
      <c r="Y127"/>
      <c r="Z127"/>
      <c r="AA127"/>
    </row>
    <row r="128" spans="1:27">
      <c r="A128"/>
      <c r="B128"/>
      <c r="C128" s="334"/>
      <c r="D128" s="334"/>
      <c r="E128" s="334"/>
      <c r="F128" s="334"/>
      <c r="G128" s="334"/>
      <c r="H128" s="334"/>
      <c r="I128" s="334"/>
      <c r="J128" s="334"/>
      <c r="K128" s="334"/>
      <c r="L128" s="334"/>
      <c r="M128" s="334"/>
      <c r="N128" s="334"/>
      <c r="O128" s="334"/>
      <c r="P128" s="334"/>
      <c r="Q128" s="334"/>
      <c r="R128" s="334"/>
      <c r="S128" s="334"/>
      <c r="T128"/>
      <c r="U128"/>
      <c r="V128"/>
      <c r="W128"/>
      <c r="X128"/>
      <c r="Y128"/>
      <c r="Z128"/>
      <c r="AA128"/>
    </row>
    <row r="129" spans="1:27">
      <c r="A129"/>
      <c r="B129"/>
      <c r="C129" s="334"/>
      <c r="D129" s="334"/>
      <c r="E129" s="334"/>
      <c r="F129" s="334"/>
      <c r="G129" s="334"/>
      <c r="H129" s="334"/>
      <c r="I129" s="334"/>
      <c r="J129" s="334"/>
      <c r="K129" s="334"/>
      <c r="L129" s="334"/>
      <c r="M129" s="334"/>
      <c r="N129" s="334"/>
      <c r="O129" s="334"/>
      <c r="P129" s="334"/>
      <c r="Q129" s="334"/>
      <c r="R129" s="334"/>
      <c r="S129" s="334"/>
      <c r="T129"/>
      <c r="U129"/>
      <c r="V129"/>
      <c r="W129"/>
      <c r="X129"/>
      <c r="Y129"/>
      <c r="Z129"/>
      <c r="AA129"/>
    </row>
    <row r="130" spans="1:27">
      <c r="A130"/>
      <c r="B130"/>
      <c r="C130" s="334"/>
      <c r="D130" s="334"/>
      <c r="E130" s="334"/>
      <c r="F130" s="334"/>
      <c r="G130" s="334"/>
      <c r="H130" s="334"/>
      <c r="I130" s="334"/>
      <c r="J130" s="334"/>
      <c r="K130" s="334"/>
      <c r="L130" s="334"/>
      <c r="M130" s="334"/>
      <c r="N130" s="334"/>
      <c r="O130" s="334"/>
      <c r="P130" s="334"/>
      <c r="Q130" s="334"/>
      <c r="R130" s="334"/>
      <c r="S130" s="334"/>
      <c r="T130"/>
      <c r="U130"/>
      <c r="V130"/>
      <c r="W130"/>
      <c r="X130"/>
      <c r="Y130"/>
      <c r="Z130"/>
      <c r="AA130"/>
    </row>
    <row r="131" spans="1:27">
      <c r="A131"/>
      <c r="B131"/>
      <c r="C131" s="334"/>
      <c r="D131" s="334"/>
      <c r="E131" s="334"/>
      <c r="F131" s="334"/>
      <c r="G131" s="334"/>
      <c r="H131" s="334"/>
      <c r="I131" s="334"/>
      <c r="J131" s="334"/>
      <c r="K131" s="334"/>
      <c r="L131" s="334"/>
      <c r="M131" s="334"/>
      <c r="N131" s="334"/>
      <c r="O131" s="334"/>
      <c r="P131" s="334"/>
      <c r="Q131" s="334"/>
      <c r="R131" s="334"/>
      <c r="S131" s="334"/>
      <c r="T131"/>
      <c r="U131"/>
      <c r="V131"/>
      <c r="W131"/>
      <c r="X131"/>
      <c r="Y131"/>
      <c r="Z131"/>
      <c r="AA131"/>
    </row>
    <row r="132" spans="1:27">
      <c r="A132"/>
      <c r="B132"/>
      <c r="C132" s="334"/>
      <c r="D132" s="334"/>
      <c r="E132" s="334"/>
      <c r="F132" s="334"/>
      <c r="G132" s="334"/>
      <c r="H132" s="334"/>
      <c r="I132" s="334"/>
      <c r="J132" s="334"/>
      <c r="K132" s="334"/>
      <c r="L132" s="334"/>
      <c r="M132" s="334"/>
      <c r="N132" s="334"/>
      <c r="O132" s="334"/>
      <c r="P132" s="334"/>
      <c r="Q132" s="334"/>
      <c r="R132" s="334"/>
      <c r="S132" s="334"/>
      <c r="T132"/>
      <c r="X132"/>
    </row>
    <row r="133" spans="1:27">
      <c r="A133"/>
      <c r="B133"/>
      <c r="C133" s="334"/>
      <c r="D133" s="334"/>
      <c r="E133" s="334"/>
      <c r="F133" s="334"/>
      <c r="G133" s="334"/>
      <c r="H133" s="334"/>
      <c r="I133" s="334"/>
      <c r="J133" s="334"/>
      <c r="K133" s="334"/>
      <c r="L133" s="334"/>
      <c r="M133" s="334"/>
      <c r="N133" s="334"/>
      <c r="O133" s="334"/>
      <c r="P133" s="334"/>
      <c r="Q133" s="334"/>
      <c r="R133" s="334"/>
      <c r="S133" s="334"/>
      <c r="T133"/>
      <c r="X133"/>
    </row>
    <row r="134" spans="1:27">
      <c r="A134"/>
      <c r="B134"/>
      <c r="C134" s="334"/>
      <c r="D134" s="334"/>
      <c r="E134" s="334"/>
      <c r="F134" s="334"/>
      <c r="G134" s="334"/>
      <c r="H134" s="334"/>
      <c r="I134" s="334"/>
      <c r="J134" s="334"/>
      <c r="K134" s="334"/>
      <c r="L134" s="334"/>
      <c r="M134" s="334"/>
      <c r="N134" s="334"/>
      <c r="O134" s="334"/>
      <c r="P134" s="334"/>
      <c r="Q134" s="334"/>
      <c r="R134" s="334"/>
      <c r="S134" s="334"/>
      <c r="T134"/>
      <c r="X134"/>
    </row>
    <row r="135" spans="1:27">
      <c r="A135"/>
      <c r="B135"/>
      <c r="C135" s="334"/>
      <c r="D135" s="334"/>
      <c r="E135" s="334"/>
      <c r="F135" s="334"/>
      <c r="G135" s="334"/>
      <c r="H135" s="334"/>
      <c r="I135" s="334"/>
      <c r="J135" s="334"/>
      <c r="K135" s="334"/>
      <c r="L135" s="334"/>
      <c r="M135" s="334"/>
      <c r="N135" s="334"/>
      <c r="O135" s="334"/>
      <c r="P135" s="334"/>
      <c r="Q135" s="334"/>
      <c r="R135" s="334"/>
      <c r="S135" s="334"/>
      <c r="T135"/>
      <c r="X135"/>
    </row>
    <row r="136" spans="1:27">
      <c r="A136"/>
      <c r="B136"/>
      <c r="C136" s="334"/>
      <c r="D136" s="334"/>
      <c r="E136" s="334"/>
      <c r="F136" s="334"/>
      <c r="G136" s="334"/>
      <c r="H136" s="334"/>
      <c r="I136" s="334"/>
      <c r="J136" s="334"/>
      <c r="K136" s="334"/>
      <c r="L136" s="334"/>
      <c r="M136" s="334"/>
      <c r="N136" s="334"/>
      <c r="O136" s="334"/>
      <c r="P136" s="334"/>
      <c r="Q136" s="334"/>
      <c r="R136" s="334"/>
      <c r="S136" s="334"/>
      <c r="T136"/>
      <c r="X136"/>
    </row>
    <row r="137" spans="1:27">
      <c r="A137"/>
      <c r="B137"/>
      <c r="C137" s="334"/>
      <c r="D137" s="334"/>
      <c r="E137" s="334"/>
      <c r="F137" s="334"/>
      <c r="G137" s="334"/>
      <c r="H137" s="334"/>
      <c r="I137" s="334"/>
      <c r="J137" s="334"/>
      <c r="K137" s="334"/>
      <c r="L137" s="334"/>
      <c r="M137" s="334"/>
      <c r="N137" s="334"/>
      <c r="O137" s="334"/>
      <c r="P137" s="334"/>
      <c r="Q137" s="334"/>
      <c r="R137" s="334"/>
      <c r="S137" s="334"/>
      <c r="T137"/>
      <c r="X137"/>
    </row>
    <row r="138" spans="1:27">
      <c r="A138"/>
      <c r="B138"/>
      <c r="C138" s="334"/>
      <c r="D138" s="334"/>
      <c r="E138" s="334"/>
      <c r="F138" s="334"/>
      <c r="G138" s="334"/>
      <c r="H138" s="334"/>
      <c r="I138" s="334"/>
      <c r="J138" s="334"/>
      <c r="K138" s="334"/>
      <c r="L138" s="334"/>
      <c r="M138" s="334"/>
      <c r="N138" s="334"/>
      <c r="O138" s="334"/>
      <c r="P138" s="334"/>
      <c r="Q138" s="334"/>
      <c r="R138" s="334"/>
      <c r="S138" s="334"/>
      <c r="T138"/>
      <c r="X138"/>
    </row>
    <row r="139" spans="1:27">
      <c r="A139"/>
      <c r="B139"/>
      <c r="C139" s="334"/>
      <c r="D139" s="334"/>
      <c r="E139" s="334"/>
      <c r="F139" s="334"/>
      <c r="G139" s="334"/>
      <c r="H139" s="334"/>
      <c r="I139" s="334"/>
      <c r="J139" s="334"/>
      <c r="K139" s="334"/>
      <c r="L139" s="334"/>
      <c r="M139" s="334"/>
      <c r="N139" s="334"/>
      <c r="O139" s="334"/>
      <c r="P139" s="334"/>
      <c r="Q139" s="334"/>
      <c r="R139" s="334"/>
      <c r="S139" s="334"/>
      <c r="T139"/>
      <c r="X139"/>
    </row>
    <row r="140" spans="1:27">
      <c r="A140"/>
      <c r="B140"/>
      <c r="C140" s="334"/>
      <c r="D140" s="334"/>
      <c r="E140" s="334"/>
      <c r="F140" s="334"/>
      <c r="G140" s="334"/>
      <c r="H140" s="334"/>
      <c r="I140" s="334"/>
      <c r="J140" s="334"/>
      <c r="K140" s="334"/>
      <c r="L140" s="334"/>
      <c r="M140" s="334"/>
      <c r="N140" s="334"/>
      <c r="O140" s="334"/>
      <c r="P140" s="334"/>
      <c r="Q140" s="334"/>
      <c r="R140" s="334"/>
      <c r="S140" s="334"/>
      <c r="T140"/>
      <c r="X140"/>
    </row>
    <row r="141" spans="1:27">
      <c r="A141"/>
      <c r="B141"/>
      <c r="C141" s="334"/>
      <c r="D141" s="334"/>
      <c r="E141" s="334"/>
      <c r="F141" s="334"/>
      <c r="G141" s="334"/>
      <c r="H141" s="334"/>
      <c r="I141" s="334"/>
      <c r="J141" s="334"/>
      <c r="K141" s="334"/>
      <c r="L141" s="334"/>
      <c r="M141" s="334"/>
      <c r="N141" s="334"/>
      <c r="O141" s="334"/>
      <c r="P141" s="334"/>
      <c r="Q141" s="334"/>
      <c r="R141" s="334"/>
      <c r="S141" s="334"/>
      <c r="T141"/>
      <c r="X141"/>
    </row>
    <row r="145" spans="3:19">
      <c r="C145" s="181"/>
      <c r="D145" s="181"/>
      <c r="E145" s="181"/>
      <c r="F145" s="181"/>
      <c r="G145" s="181"/>
      <c r="H145" s="181"/>
      <c r="I145" s="181"/>
      <c r="J145" s="181"/>
      <c r="K145" s="181"/>
      <c r="L145" s="181"/>
      <c r="M145" s="181"/>
      <c r="N145" s="181"/>
      <c r="O145" s="181"/>
      <c r="P145" s="181"/>
      <c r="Q145" s="181"/>
      <c r="R145" s="181"/>
      <c r="S145" s="181"/>
    </row>
    <row r="146" spans="3:19">
      <c r="C146" s="181"/>
      <c r="D146" s="181"/>
      <c r="E146" s="181"/>
      <c r="F146" s="181"/>
      <c r="G146" s="181"/>
      <c r="H146" s="181"/>
      <c r="I146" s="181"/>
      <c r="J146" s="181"/>
      <c r="K146" s="181"/>
      <c r="L146" s="181"/>
      <c r="M146" s="181"/>
      <c r="N146" s="181"/>
      <c r="O146" s="181"/>
      <c r="P146" s="181"/>
      <c r="Q146" s="181"/>
      <c r="R146" s="181"/>
      <c r="S146" s="181"/>
    </row>
    <row r="147" spans="3:19">
      <c r="C147" s="181"/>
      <c r="D147" s="181"/>
      <c r="E147" s="181"/>
      <c r="F147" s="181"/>
      <c r="G147" s="181"/>
      <c r="H147" s="181"/>
      <c r="I147" s="181"/>
      <c r="J147" s="181"/>
      <c r="K147" s="181"/>
      <c r="L147" s="181"/>
      <c r="M147" s="181"/>
      <c r="N147" s="181"/>
      <c r="O147" s="181"/>
      <c r="P147" s="181"/>
      <c r="Q147" s="181"/>
      <c r="R147" s="181"/>
      <c r="S147" s="181"/>
    </row>
    <row r="148" spans="3:19">
      <c r="C148" s="181"/>
      <c r="D148" s="181"/>
      <c r="E148" s="181"/>
      <c r="F148" s="181"/>
      <c r="G148" s="181"/>
      <c r="H148" s="181"/>
      <c r="I148" s="181"/>
      <c r="J148" s="181"/>
      <c r="K148" s="181"/>
      <c r="L148" s="181"/>
      <c r="M148" s="181"/>
      <c r="N148" s="181"/>
      <c r="O148" s="181"/>
      <c r="P148" s="181"/>
      <c r="Q148" s="181"/>
      <c r="R148" s="181"/>
      <c r="S148" s="18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18</vt:i4>
      </vt:variant>
    </vt:vector>
  </HeadingPairs>
  <TitlesOfParts>
    <vt:vector size="25" baseType="lpstr">
      <vt:lpstr>NEW-Tables 80-86</vt:lpstr>
      <vt:lpstr>OLD Tables</vt:lpstr>
      <vt:lpstr>FTE Pivot for regular counts</vt:lpstr>
      <vt:lpstr>Pivot-HS Student % of Undergrad</vt:lpstr>
      <vt:lpstr>SCH Data</vt:lpstr>
      <vt:lpstr>Format for FTE</vt:lpstr>
      <vt:lpstr>Format for HS%</vt:lpstr>
      <vt:lpstr>'SCH Data'!CH13ug1_1</vt:lpstr>
      <vt:lpstr>'SCH Data'!CH13ug2_1</vt:lpstr>
      <vt:lpstr>'SCH Data'!CH13ug3</vt:lpstr>
      <vt:lpstr>'SCH Data'!CH13ug4</vt:lpstr>
      <vt:lpstr>'SCH Data'!Dual07_1</vt:lpstr>
      <vt:lpstr>'SCH Data'!Dual07_3</vt:lpstr>
      <vt:lpstr>'SCH Data'!Dual13</vt:lpstr>
      <vt:lpstr>'FTE Pivot for regular counts'!Print_Area</vt:lpstr>
      <vt:lpstr>'NEW-Tables 80-86'!Print_Area</vt:lpstr>
      <vt:lpstr>'OLD Tables'!Print_Area</vt:lpstr>
      <vt:lpstr>'Pivot-HS Student % of Undergrad'!Print_Area</vt:lpstr>
      <vt:lpstr>'SCH Data'!Print_Area</vt:lpstr>
      <vt:lpstr>'FTE Pivot for regular counts'!Print_Titles</vt:lpstr>
      <vt:lpstr>'Pivot-HS Student % of Undergrad'!Print_Titles</vt:lpstr>
      <vt:lpstr>'SCH Data'!Print_Titles</vt:lpstr>
      <vt:lpstr>'SCH Data'!SCH13ug2</vt:lpstr>
      <vt:lpstr>'SCH Data'!SCH13ug3</vt:lpstr>
      <vt:lpstr>'SCH Data'!SCH13ug4</vt:lpstr>
    </vt:vector>
  </TitlesOfParts>
  <Company>SREB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Cowan</dc:creator>
  <cp:lastModifiedBy>Susan Lounsbury</cp:lastModifiedBy>
  <cp:lastPrinted>2013-01-15T20:05:02Z</cp:lastPrinted>
  <dcterms:created xsi:type="dcterms:W3CDTF">1999-02-24T13:58:47Z</dcterms:created>
  <dcterms:modified xsi:type="dcterms:W3CDTF">2015-03-25T16:00:38Z</dcterms:modified>
</cp:coreProperties>
</file>